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G:\Mi unidad\PARQUES NACIONALES\CONTRATO 2023 RICARDO C\PNN TUPARRO\EP DEFINITIVOS\"/>
    </mc:Choice>
  </mc:AlternateContent>
  <xr:revisionPtr revIDLastSave="0" documentId="13_ncr:1_{0F032E14-44CC-4D62-A1C1-005CDB2C60AC}" xr6:coauthVersionLast="47" xr6:coauthVersionMax="47" xr10:uidLastSave="{00000000-0000-0000-0000-000000000000}"/>
  <bookViews>
    <workbookView xWindow="-108" yWindow="-108" windowWidth="23256" windowHeight="12456" tabRatio="738" firstSheet="3" activeTab="3" xr2:uid="{00000000-000D-0000-FFFF-FFFF00000000}"/>
  </bookViews>
  <sheets>
    <sheet name="Hoja1" sheetId="1" state="hidden" r:id="rId1"/>
    <sheet name="Valores Base" sheetId="2" state="hidden" r:id="rId2"/>
    <sheet name="RESUMEN" sheetId="12" state="hidden" r:id="rId3"/>
    <sheet name="PPTO" sheetId="3" r:id="rId4"/>
    <sheet name="APU" sheetId="13" state="hidden" r:id="rId5"/>
    <sheet name="INSUMOS" sheetId="4" state="hidden" r:id="rId6"/>
    <sheet name="CÁLCULO ADMINISTRACIÓN " sheetId="5" state="hidden" r:id="rId7"/>
    <sheet name="CÁLCULO POLIZAS" sheetId="6" state="hidden" r:id="rId8"/>
    <sheet name="MER PERS DIS" sheetId="7" state="hidden" r:id="rId9"/>
    <sheet name="PERSONAL OBRA " sheetId="8" state="hidden" r:id="rId10"/>
    <sheet name="FACTOR PRESTACIONAL" sheetId="9" state="hidden" r:id="rId11"/>
    <sheet name="DISEÑOS (2)" sheetId="10" state="hidden" r:id="rId12"/>
    <sheet name="DISEÑOS (3)" sheetId="11" state="hidden" r:id="rId13"/>
  </sheets>
  <definedNames>
    <definedName name="_xlnm._FilterDatabase" localSheetId="5" hidden="1">INSUMOS!$A$1:$A$114</definedName>
    <definedName name="A_IMPRESIÓN_IM">#REF!</definedName>
    <definedName name="aa">#REF!</definedName>
    <definedName name="ADFR">#REF!</definedName>
    <definedName name="_xlnm.Print_Area" localSheetId="3">PPTO!$A$1:$F$245</definedName>
    <definedName name="AS">#REF!</definedName>
    <definedName name="ed">#REF!</definedName>
    <definedName name="impresiona">#REF!</definedName>
    <definedName name="ITEM">#REF!</definedName>
    <definedName name="KPO">#REF!</definedName>
    <definedName name="matriz">#REF!</definedName>
    <definedName name="MATRIZED">#REF!</definedName>
    <definedName name="oui">#REF!</definedName>
    <definedName name="q">#REF!</definedName>
    <definedName name="RELLENO">#REF!</definedName>
    <definedName name="SSS">#REF!</definedName>
    <definedName name="V_U_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06" i="13" l="1"/>
  <c r="H3905" i="13"/>
  <c r="H3915" i="13"/>
  <c r="I3916" i="13" s="1"/>
  <c r="I3912" i="13"/>
  <c r="H3904" i="13"/>
  <c r="I3908" i="13" s="1"/>
  <c r="H3903" i="13"/>
  <c r="H3902" i="13"/>
  <c r="H3896" i="13"/>
  <c r="I3899" i="13" s="1"/>
  <c r="H3881" i="13"/>
  <c r="H3889" i="13"/>
  <c r="I3890" i="13" s="1"/>
  <c r="I3886" i="13"/>
  <c r="H3880" i="13"/>
  <c r="H3879" i="13"/>
  <c r="H3873" i="13"/>
  <c r="I3876" i="13" s="1"/>
  <c r="H3866" i="13"/>
  <c r="I3867" i="13" s="1"/>
  <c r="I3863" i="13"/>
  <c r="H3857" i="13"/>
  <c r="H3856" i="13"/>
  <c r="H3855" i="13"/>
  <c r="H3849" i="13"/>
  <c r="I3852" i="13" s="1"/>
  <c r="H3833" i="13"/>
  <c r="H3832" i="13"/>
  <c r="H3831" i="13"/>
  <c r="H3842" i="13"/>
  <c r="I3843" i="13" s="1"/>
  <c r="I3839" i="13"/>
  <c r="H3825" i="13"/>
  <c r="I3828" i="13" s="1"/>
  <c r="H3816" i="13"/>
  <c r="I3817" i="13" s="1"/>
  <c r="I3813" i="13"/>
  <c r="I3809" i="13"/>
  <c r="H3799" i="13"/>
  <c r="I3802" i="13" s="1"/>
  <c r="H3792" i="13"/>
  <c r="I3793" i="13" s="1"/>
  <c r="I3789" i="13"/>
  <c r="H3783" i="13"/>
  <c r="H3782" i="13"/>
  <c r="H3781" i="13"/>
  <c r="H3775" i="13"/>
  <c r="I3778" i="13" s="1"/>
  <c r="H3744" i="13"/>
  <c r="I3745" i="13" s="1"/>
  <c r="I3741" i="13"/>
  <c r="H3734" i="13"/>
  <c r="H3733" i="13"/>
  <c r="H3727" i="13"/>
  <c r="I3730" i="13" s="1"/>
  <c r="A212" i="3"/>
  <c r="A213" i="3" s="1"/>
  <c r="A214" i="3" s="1"/>
  <c r="H3768" i="13"/>
  <c r="I3769" i="13" s="1"/>
  <c r="I3765" i="13"/>
  <c r="H3757" i="13"/>
  <c r="I3761" i="13" s="1"/>
  <c r="H3751" i="13"/>
  <c r="I3754" i="13" s="1"/>
  <c r="H3719" i="13"/>
  <c r="I3720" i="13" s="1"/>
  <c r="I3716" i="13"/>
  <c r="H3708" i="13"/>
  <c r="I3712" i="13" s="1"/>
  <c r="H3702" i="13"/>
  <c r="I3705" i="13" s="1"/>
  <c r="H3695" i="13"/>
  <c r="I3696" i="13" s="1"/>
  <c r="I3692" i="13"/>
  <c r="H3684" i="13"/>
  <c r="I3688" i="13" s="1"/>
  <c r="H3678" i="13"/>
  <c r="I3681" i="13" s="1"/>
  <c r="H3614" i="13"/>
  <c r="H3613" i="13"/>
  <c r="H3623" i="13"/>
  <c r="I3624" i="13" s="1"/>
  <c r="I3620" i="13"/>
  <c r="H3612" i="13"/>
  <c r="H3606" i="13"/>
  <c r="I3609" i="13" s="1"/>
  <c r="H3671" i="13"/>
  <c r="I3672" i="13" s="1"/>
  <c r="I3668" i="13"/>
  <c r="H3660" i="13"/>
  <c r="I3664" i="13" s="1"/>
  <c r="H3654" i="13"/>
  <c r="I3657" i="13" s="1"/>
  <c r="H3647" i="13"/>
  <c r="I3648" i="13" s="1"/>
  <c r="I3644" i="13"/>
  <c r="I3640" i="13"/>
  <c r="H3630" i="13"/>
  <c r="I3633" i="13" s="1"/>
  <c r="H3599" i="13"/>
  <c r="I3600" i="13" s="1"/>
  <c r="I3596" i="13"/>
  <c r="I3592" i="13"/>
  <c r="H3582" i="13"/>
  <c r="I3585" i="13" s="1"/>
  <c r="H3575" i="13"/>
  <c r="I3576" i="13" s="1"/>
  <c r="I3572" i="13"/>
  <c r="H3567" i="13"/>
  <c r="H3566" i="13"/>
  <c r="H3565" i="13"/>
  <c r="H3564" i="13"/>
  <c r="H3563" i="13"/>
  <c r="H3557" i="13"/>
  <c r="I3560" i="13" s="1"/>
  <c r="H3550" i="13"/>
  <c r="I3551" i="13" s="1"/>
  <c r="I3547" i="13"/>
  <c r="H3539" i="13"/>
  <c r="I3543" i="13" s="1"/>
  <c r="H3533" i="13"/>
  <c r="I3536" i="13" s="1"/>
  <c r="H3526" i="13"/>
  <c r="I3527" i="13" s="1"/>
  <c r="I3523" i="13"/>
  <c r="H3515" i="13"/>
  <c r="I3519" i="13" s="1"/>
  <c r="H3509" i="13"/>
  <c r="I3512" i="13" s="1"/>
  <c r="H3502" i="13"/>
  <c r="I3503" i="13" s="1"/>
  <c r="I3499" i="13"/>
  <c r="H3492" i="13"/>
  <c r="H3491" i="13"/>
  <c r="H3485" i="13"/>
  <c r="I3488" i="13" s="1"/>
  <c r="H3478" i="13"/>
  <c r="I3479" i="13" s="1"/>
  <c r="I3475" i="13"/>
  <c r="H3470" i="13"/>
  <c r="H3469" i="13"/>
  <c r="H3468" i="13"/>
  <c r="H3467" i="13"/>
  <c r="H3461" i="13"/>
  <c r="I3464" i="13" s="1"/>
  <c r="H3454" i="13"/>
  <c r="I3455" i="13" s="1"/>
  <c r="I3451" i="13"/>
  <c r="H3446" i="13"/>
  <c r="H3445" i="13"/>
  <c r="H3444" i="13"/>
  <c r="H3443" i="13"/>
  <c r="H3437" i="13"/>
  <c r="I3440" i="13" s="1"/>
  <c r="H3430" i="13"/>
  <c r="I3431" i="13" s="1"/>
  <c r="I3427" i="13"/>
  <c r="I3423" i="13"/>
  <c r="H3413" i="13"/>
  <c r="I3416" i="13" s="1"/>
  <c r="H3403" i="13"/>
  <c r="I3404" i="13" s="1"/>
  <c r="I3400" i="13"/>
  <c r="I3396" i="13"/>
  <c r="H3386" i="13"/>
  <c r="I3389" i="13" s="1"/>
  <c r="H3379" i="13"/>
  <c r="I3380" i="13" s="1"/>
  <c r="I3376" i="13"/>
  <c r="H3369" i="13"/>
  <c r="H3368" i="13"/>
  <c r="H3367" i="13"/>
  <c r="H3361" i="13"/>
  <c r="I3364" i="13" s="1"/>
  <c r="H3354" i="13"/>
  <c r="I3355" i="13" s="1"/>
  <c r="I3351" i="13"/>
  <c r="H3345" i="13"/>
  <c r="H3344" i="13"/>
  <c r="H3343" i="13"/>
  <c r="H3342" i="13"/>
  <c r="H3341" i="13"/>
  <c r="H3335" i="13"/>
  <c r="I3338" i="13" s="1"/>
  <c r="H3328" i="13"/>
  <c r="I3329" i="13" s="1"/>
  <c r="I3325" i="13"/>
  <c r="H3319" i="13"/>
  <c r="H3318" i="13"/>
  <c r="H3317" i="13"/>
  <c r="H3316" i="13"/>
  <c r="H3310" i="13"/>
  <c r="I3313" i="13" s="1"/>
  <c r="H3303" i="13"/>
  <c r="I3304" i="13" s="1"/>
  <c r="I3300" i="13"/>
  <c r="I3296" i="13"/>
  <c r="H3286" i="13"/>
  <c r="I3289" i="13" s="1"/>
  <c r="H3279" i="13"/>
  <c r="I3280" i="13" s="1"/>
  <c r="I3276" i="13"/>
  <c r="I3272" i="13"/>
  <c r="H3262" i="13"/>
  <c r="I3265" i="13" s="1"/>
  <c r="H3255" i="13"/>
  <c r="I3256" i="13" s="1"/>
  <c r="I3252" i="13"/>
  <c r="I3248" i="13"/>
  <c r="H3238" i="13"/>
  <c r="I3241" i="13" s="1"/>
  <c r="I3232" i="13"/>
  <c r="H3229" i="13"/>
  <c r="I3230" i="13" s="1"/>
  <c r="I3226" i="13"/>
  <c r="H3221" i="13"/>
  <c r="H3220" i="13"/>
  <c r="H3214" i="13"/>
  <c r="I3217" i="13" s="1"/>
  <c r="H3207" i="13"/>
  <c r="I3208" i="13" s="1"/>
  <c r="I3204" i="13"/>
  <c r="I3200" i="13"/>
  <c r="H3190" i="13"/>
  <c r="I3193" i="13" s="1"/>
  <c r="H3183" i="13"/>
  <c r="I3184" i="13" s="1"/>
  <c r="I3180" i="13"/>
  <c r="I3176" i="13"/>
  <c r="H3166" i="13"/>
  <c r="I3169" i="13" s="1"/>
  <c r="H3159" i="13"/>
  <c r="I3160" i="13" s="1"/>
  <c r="I3156" i="13"/>
  <c r="I3152" i="13"/>
  <c r="H3142" i="13"/>
  <c r="I3145" i="13" s="1"/>
  <c r="H3135" i="13"/>
  <c r="I3136" i="13" s="1"/>
  <c r="I3132" i="13"/>
  <c r="I3128" i="13"/>
  <c r="H3118" i="13"/>
  <c r="I3121" i="13" s="1"/>
  <c r="H3111" i="13"/>
  <c r="I3112" i="13" s="1"/>
  <c r="I3108" i="13"/>
  <c r="H3102" i="13"/>
  <c r="H3101" i="13"/>
  <c r="H3100" i="13"/>
  <c r="H3094" i="13"/>
  <c r="I3097" i="13" s="1"/>
  <c r="H3087" i="13"/>
  <c r="I3088" i="13" s="1"/>
  <c r="I3084" i="13"/>
  <c r="H3078" i="13"/>
  <c r="H3077" i="13"/>
  <c r="H3076" i="13"/>
  <c r="H3070" i="13"/>
  <c r="I3073" i="13" s="1"/>
  <c r="H3063" i="13"/>
  <c r="I3064" i="13" s="1"/>
  <c r="I3060" i="13"/>
  <c r="H3052" i="13"/>
  <c r="I3056" i="13" s="1"/>
  <c r="H3046" i="13"/>
  <c r="I3049" i="13" s="1"/>
  <c r="H3039" i="13"/>
  <c r="I3040" i="13" s="1"/>
  <c r="I3036" i="13"/>
  <c r="H3028" i="13"/>
  <c r="I3032" i="13" s="1"/>
  <c r="H3022" i="13"/>
  <c r="I3025" i="13" s="1"/>
  <c r="H3015" i="13"/>
  <c r="I3016" i="13" s="1"/>
  <c r="I3012" i="13"/>
  <c r="I3008" i="13"/>
  <c r="H2998" i="13"/>
  <c r="I3001" i="13" s="1"/>
  <c r="H2991" i="13"/>
  <c r="I2992" i="13" s="1"/>
  <c r="I2988" i="13"/>
  <c r="H2983" i="13"/>
  <c r="H2982" i="13"/>
  <c r="H2981" i="13"/>
  <c r="H2980" i="13"/>
  <c r="H2979" i="13"/>
  <c r="H2973" i="13"/>
  <c r="I2976" i="13" s="1"/>
  <c r="H2966" i="13"/>
  <c r="I2967" i="13" s="1"/>
  <c r="I2963" i="13"/>
  <c r="H2956" i="13"/>
  <c r="H2955" i="13"/>
  <c r="H2949" i="13"/>
  <c r="I2952" i="13" s="1"/>
  <c r="H2942" i="13"/>
  <c r="I2943" i="13" s="1"/>
  <c r="I2939" i="13"/>
  <c r="H2932" i="13"/>
  <c r="H2931" i="13"/>
  <c r="H2925" i="13"/>
  <c r="I2928" i="13" s="1"/>
  <c r="H2918" i="13"/>
  <c r="I2919" i="13" s="1"/>
  <c r="I2915" i="13"/>
  <c r="H2908" i="13"/>
  <c r="H2907" i="13"/>
  <c r="H2901" i="13"/>
  <c r="I2904" i="13" s="1"/>
  <c r="H2894" i="13"/>
  <c r="I2895" i="13" s="1"/>
  <c r="I2891" i="13"/>
  <c r="H2886" i="13"/>
  <c r="H2885" i="13"/>
  <c r="H2884" i="13"/>
  <c r="H2883" i="13"/>
  <c r="H2877" i="13"/>
  <c r="I2880" i="13" s="1"/>
  <c r="H2870" i="13"/>
  <c r="I2871" i="13" s="1"/>
  <c r="I2867" i="13"/>
  <c r="I2863" i="13"/>
  <c r="H2853" i="13"/>
  <c r="I2856" i="13" s="1"/>
  <c r="H2844" i="13"/>
  <c r="I2845" i="13" s="1"/>
  <c r="I2841" i="13"/>
  <c r="I2837" i="13"/>
  <c r="H2827" i="13"/>
  <c r="I2830" i="13" s="1"/>
  <c r="H2820" i="13"/>
  <c r="I2821" i="13" s="1"/>
  <c r="I2817" i="13"/>
  <c r="H2810" i="13"/>
  <c r="H2809" i="13"/>
  <c r="H2808" i="13"/>
  <c r="I2813" i="13" s="1"/>
  <c r="H2802" i="13"/>
  <c r="I2805" i="13" s="1"/>
  <c r="H2795" i="13"/>
  <c r="I2796" i="13" s="1"/>
  <c r="I2792" i="13"/>
  <c r="H2786" i="13"/>
  <c r="H2785" i="13"/>
  <c r="H2784" i="13"/>
  <c r="H2783" i="13"/>
  <c r="H2782" i="13"/>
  <c r="H2776" i="13"/>
  <c r="I2779" i="13" s="1"/>
  <c r="H2769" i="13"/>
  <c r="I2770" i="13" s="1"/>
  <c r="I2766" i="13"/>
  <c r="H2760" i="13"/>
  <c r="H2759" i="13"/>
  <c r="H2758" i="13"/>
  <c r="H2757" i="13"/>
  <c r="H2751" i="13"/>
  <c r="I2754" i="13" s="1"/>
  <c r="H2744" i="13"/>
  <c r="I2745" i="13" s="1"/>
  <c r="I2741" i="13"/>
  <c r="I2737" i="13"/>
  <c r="H2727" i="13"/>
  <c r="I2730" i="13" s="1"/>
  <c r="H2720" i="13"/>
  <c r="I2721" i="13" s="1"/>
  <c r="I2717" i="13"/>
  <c r="I2713" i="13"/>
  <c r="H2703" i="13"/>
  <c r="I2706" i="13" s="1"/>
  <c r="H2696" i="13"/>
  <c r="I2697" i="13" s="1"/>
  <c r="I2693" i="13"/>
  <c r="I2689" i="13"/>
  <c r="H2679" i="13"/>
  <c r="I2682" i="13" s="1"/>
  <c r="H2138" i="13"/>
  <c r="I2139" i="13" s="1"/>
  <c r="I2135" i="13"/>
  <c r="H2130" i="13"/>
  <c r="H2129" i="13"/>
  <c r="H2123" i="13"/>
  <c r="I2126" i="13" s="1"/>
  <c r="H692" i="13"/>
  <c r="I693" i="13" s="1"/>
  <c r="I689" i="13"/>
  <c r="H684" i="13"/>
  <c r="H683" i="13"/>
  <c r="H677" i="13"/>
  <c r="I680" i="13" s="1"/>
  <c r="H2664" i="13"/>
  <c r="H2663" i="13"/>
  <c r="H2672" i="13"/>
  <c r="I2673" i="13" s="1"/>
  <c r="I2669" i="13"/>
  <c r="H2657" i="13"/>
  <c r="I2660" i="13" s="1"/>
  <c r="H2650" i="13"/>
  <c r="I2651" i="13" s="1"/>
  <c r="I2647" i="13"/>
  <c r="I2643" i="13"/>
  <c r="H2633" i="13"/>
  <c r="I2636" i="13" s="1"/>
  <c r="H2626" i="13"/>
  <c r="I2627" i="13" s="1"/>
  <c r="I2623" i="13"/>
  <c r="I2619" i="13"/>
  <c r="H2609" i="13"/>
  <c r="I2612" i="13" s="1"/>
  <c r="H2602" i="13"/>
  <c r="I2603" i="13" s="1"/>
  <c r="I2599" i="13"/>
  <c r="I2595" i="13"/>
  <c r="H2585" i="13"/>
  <c r="I2588" i="13" s="1"/>
  <c r="H2578" i="13"/>
  <c r="I2579" i="13" s="1"/>
  <c r="I2575" i="13"/>
  <c r="I2571" i="13"/>
  <c r="H2561" i="13"/>
  <c r="I2564" i="13" s="1"/>
  <c r="H2554" i="13"/>
  <c r="I2555" i="13" s="1"/>
  <c r="I2551" i="13"/>
  <c r="H2545" i="13"/>
  <c r="H2544" i="13"/>
  <c r="H2543" i="13"/>
  <c r="H2537" i="13"/>
  <c r="I2540" i="13" s="1"/>
  <c r="H2529" i="13"/>
  <c r="I2530" i="13" s="1"/>
  <c r="I2526" i="13"/>
  <c r="H2518" i="13"/>
  <c r="I2522" i="13" s="1"/>
  <c r="H2512" i="13"/>
  <c r="I2515" i="13" s="1"/>
  <c r="H2505" i="13"/>
  <c r="I2506" i="13" s="1"/>
  <c r="I2502" i="13"/>
  <c r="H2494" i="13"/>
  <c r="I2498" i="13" s="1"/>
  <c r="H2488" i="13"/>
  <c r="I2491" i="13" s="1"/>
  <c r="H2481" i="13"/>
  <c r="I2482" i="13" s="1"/>
  <c r="I2478" i="13"/>
  <c r="I2474" i="13"/>
  <c r="H2464" i="13"/>
  <c r="I2467" i="13" s="1"/>
  <c r="H2457" i="13"/>
  <c r="I2458" i="13" s="1"/>
  <c r="I2454" i="13"/>
  <c r="H2447" i="13"/>
  <c r="H2446" i="13"/>
  <c r="H2440" i="13"/>
  <c r="I2443" i="13" s="1"/>
  <c r="H2433" i="13"/>
  <c r="I2434" i="13" s="1"/>
  <c r="I2430" i="13"/>
  <c r="H2423" i="13"/>
  <c r="H2422" i="13"/>
  <c r="H2416" i="13"/>
  <c r="I2419" i="13" s="1"/>
  <c r="H2409" i="13"/>
  <c r="I2410" i="13" s="1"/>
  <c r="I2406" i="13"/>
  <c r="H2399" i="13"/>
  <c r="H2398" i="13"/>
  <c r="H2392" i="13"/>
  <c r="I2395" i="13" s="1"/>
  <c r="H2385" i="13"/>
  <c r="I2386" i="13" s="1"/>
  <c r="I2382" i="13"/>
  <c r="H2377" i="13"/>
  <c r="H2376" i="13"/>
  <c r="H2375" i="13"/>
  <c r="H2374" i="13"/>
  <c r="H2368" i="13"/>
  <c r="I2371" i="13" s="1"/>
  <c r="H2313" i="13"/>
  <c r="I2314" i="13" s="1"/>
  <c r="I2310" i="13"/>
  <c r="I2306" i="13"/>
  <c r="H2296" i="13"/>
  <c r="I2299" i="13" s="1"/>
  <c r="A131" i="3"/>
  <c r="A132" i="3"/>
  <c r="H2337" i="13"/>
  <c r="I2338" i="13" s="1"/>
  <c r="I2334" i="13"/>
  <c r="I2330" i="13"/>
  <c r="H2320" i="13"/>
  <c r="I2323" i="13" s="1"/>
  <c r="H2361" i="13"/>
  <c r="I2362" i="13" s="1"/>
  <c r="I2358" i="13"/>
  <c r="I2354" i="13"/>
  <c r="H2344" i="13"/>
  <c r="I2347" i="13" s="1"/>
  <c r="H2286" i="13"/>
  <c r="I2287" i="13" s="1"/>
  <c r="I2283" i="13"/>
  <c r="I2279" i="13"/>
  <c r="H2269" i="13"/>
  <c r="I2272" i="13" s="1"/>
  <c r="H2262" i="13"/>
  <c r="I2263" i="13" s="1"/>
  <c r="I2259" i="13"/>
  <c r="H2252" i="13"/>
  <c r="H2251" i="13"/>
  <c r="H2250" i="13"/>
  <c r="H2244" i="13"/>
  <c r="I2247" i="13" s="1"/>
  <c r="H2237" i="13"/>
  <c r="I2238" i="13" s="1"/>
  <c r="I2234" i="13"/>
  <c r="H2228" i="13"/>
  <c r="H2227" i="13"/>
  <c r="H2226" i="13"/>
  <c r="H2225" i="13"/>
  <c r="H2224" i="13"/>
  <c r="H2218" i="13"/>
  <c r="I2221" i="13" s="1"/>
  <c r="H2211" i="13"/>
  <c r="I2212" i="13" s="1"/>
  <c r="I2208" i="13"/>
  <c r="H2202" i="13"/>
  <c r="H2201" i="13"/>
  <c r="H2200" i="13"/>
  <c r="H2199" i="13"/>
  <c r="H2193" i="13"/>
  <c r="I2196" i="13" s="1"/>
  <c r="A117" i="3"/>
  <c r="A118" i="3" s="1"/>
  <c r="A119" i="3" s="1"/>
  <c r="A120" i="3" s="1"/>
  <c r="A121" i="3" s="1"/>
  <c r="A122" i="3" s="1"/>
  <c r="A123" i="3" s="1"/>
  <c r="A124" i="3" s="1"/>
  <c r="A125" i="3" s="1"/>
  <c r="H2186" i="13"/>
  <c r="I2187" i="13" s="1"/>
  <c r="I2183" i="13"/>
  <c r="I2179" i="13"/>
  <c r="H2169" i="13"/>
  <c r="I2172" i="13" s="1"/>
  <c r="H2162" i="13"/>
  <c r="I2163" i="13" s="1"/>
  <c r="I2159" i="13"/>
  <c r="I2155" i="13"/>
  <c r="H2145" i="13"/>
  <c r="I2148" i="13" s="1"/>
  <c r="H2116" i="13"/>
  <c r="I2117" i="13" s="1"/>
  <c r="I2113" i="13"/>
  <c r="I2109" i="13"/>
  <c r="H2099" i="13"/>
  <c r="I2102" i="13" s="1"/>
  <c r="H2092" i="13"/>
  <c r="I2093" i="13" s="1"/>
  <c r="I2089" i="13"/>
  <c r="I2085" i="13"/>
  <c r="H2075" i="13"/>
  <c r="I2078" i="13" s="1"/>
  <c r="H2068" i="13"/>
  <c r="I2069" i="13" s="1"/>
  <c r="I2065" i="13"/>
  <c r="I2061" i="13"/>
  <c r="H2051" i="13"/>
  <c r="I2054" i="13" s="1"/>
  <c r="H2044" i="13"/>
  <c r="I2045" i="13" s="1"/>
  <c r="I2041" i="13"/>
  <c r="I2037" i="13"/>
  <c r="H2027" i="13"/>
  <c r="I2030" i="13" s="1"/>
  <c r="H2020" i="13"/>
  <c r="I2021" i="13" s="1"/>
  <c r="I2017" i="13"/>
  <c r="H2009" i="13"/>
  <c r="I2013" i="13" s="1"/>
  <c r="H2003" i="13"/>
  <c r="I2006" i="13" s="1"/>
  <c r="H1996" i="13"/>
  <c r="I1997" i="13" s="1"/>
  <c r="I1993" i="13"/>
  <c r="H1985" i="13"/>
  <c r="I1989" i="13" s="1"/>
  <c r="H1979" i="13"/>
  <c r="I1982" i="13" s="1"/>
  <c r="H1972" i="13"/>
  <c r="I1973" i="13" s="1"/>
  <c r="I1969" i="13"/>
  <c r="H1961" i="13"/>
  <c r="I1965" i="13" s="1"/>
  <c r="H1955" i="13"/>
  <c r="I1958" i="13" s="1"/>
  <c r="H1948" i="13"/>
  <c r="I1949" i="13" s="1"/>
  <c r="I1945" i="13"/>
  <c r="H1937" i="13"/>
  <c r="I1941" i="13" s="1"/>
  <c r="H1931" i="13"/>
  <c r="I1934" i="13" s="1"/>
  <c r="H1924" i="13"/>
  <c r="I1925" i="13" s="1"/>
  <c r="I1921" i="13"/>
  <c r="H1913" i="13"/>
  <c r="I1917" i="13" s="1"/>
  <c r="H1907" i="13"/>
  <c r="I1910" i="13" s="1"/>
  <c r="H1900" i="13"/>
  <c r="I1901" i="13" s="1"/>
  <c r="I1897" i="13"/>
  <c r="I1893" i="13"/>
  <c r="H1883" i="13"/>
  <c r="I1886" i="13" s="1"/>
  <c r="H1876" i="13"/>
  <c r="I1877" i="13" s="1"/>
  <c r="I1873" i="13"/>
  <c r="H1867" i="13"/>
  <c r="H1866" i="13"/>
  <c r="H1865" i="13"/>
  <c r="H1859" i="13"/>
  <c r="I1862" i="13" s="1"/>
  <c r="H1852" i="13"/>
  <c r="I1853" i="13" s="1"/>
  <c r="I1849" i="13"/>
  <c r="H1843" i="13"/>
  <c r="H1842" i="13"/>
  <c r="H1841" i="13"/>
  <c r="H1835" i="13"/>
  <c r="I1838" i="13" s="1"/>
  <c r="H1828" i="13"/>
  <c r="I1829" i="13" s="1"/>
  <c r="I1825" i="13"/>
  <c r="H1818" i="13"/>
  <c r="H1817" i="13"/>
  <c r="H1811" i="13"/>
  <c r="I1814" i="13" s="1"/>
  <c r="H1804" i="13"/>
  <c r="I1805" i="13" s="1"/>
  <c r="I1801" i="13"/>
  <c r="H1794" i="13"/>
  <c r="H1793" i="13"/>
  <c r="H1787" i="13"/>
  <c r="I1790" i="13" s="1"/>
  <c r="H1780" i="13"/>
  <c r="I1781" i="13" s="1"/>
  <c r="I1777" i="13"/>
  <c r="H1770" i="13"/>
  <c r="H1769" i="13"/>
  <c r="H1763" i="13"/>
  <c r="I1766" i="13" s="1"/>
  <c r="H1756" i="13"/>
  <c r="I1757" i="13" s="1"/>
  <c r="I1753" i="13"/>
  <c r="H1746" i="13"/>
  <c r="H1745" i="13"/>
  <c r="H1739" i="13"/>
  <c r="I1742" i="13" s="1"/>
  <c r="H1732" i="13"/>
  <c r="I1733" i="13" s="1"/>
  <c r="I1729" i="13"/>
  <c r="H1721" i="13"/>
  <c r="I1725" i="13" s="1"/>
  <c r="H1715" i="13"/>
  <c r="I1718" i="13" s="1"/>
  <c r="H1708" i="13"/>
  <c r="I1709" i="13" s="1"/>
  <c r="I1705" i="13"/>
  <c r="H1697" i="13"/>
  <c r="I1701" i="13" s="1"/>
  <c r="H1691" i="13"/>
  <c r="I1694" i="13" s="1"/>
  <c r="H1684" i="13"/>
  <c r="I1685" i="13" s="1"/>
  <c r="I1681" i="13"/>
  <c r="I1677" i="13"/>
  <c r="H1667" i="13"/>
  <c r="I1670" i="13" s="1"/>
  <c r="H1652" i="13"/>
  <c r="H1651" i="13"/>
  <c r="H1650" i="13"/>
  <c r="H1660" i="13"/>
  <c r="I1661" i="13" s="1"/>
  <c r="I1657" i="13"/>
  <c r="H1649" i="13"/>
  <c r="H1648" i="13"/>
  <c r="H1642" i="13"/>
  <c r="I1645" i="13" s="1"/>
  <c r="H1635" i="13"/>
  <c r="I1636" i="13" s="1"/>
  <c r="I1632" i="13"/>
  <c r="H1625" i="13"/>
  <c r="H1624" i="13"/>
  <c r="H1618" i="13"/>
  <c r="I1621" i="13" s="1"/>
  <c r="H1611" i="13"/>
  <c r="I1612" i="13" s="1"/>
  <c r="I1608" i="13"/>
  <c r="H1601" i="13"/>
  <c r="H1600" i="13"/>
  <c r="H1594" i="13"/>
  <c r="I1597" i="13" s="1"/>
  <c r="H1587" i="13"/>
  <c r="I1588" i="13" s="1"/>
  <c r="I1584" i="13"/>
  <c r="H1577" i="13"/>
  <c r="H1576" i="13"/>
  <c r="H1570" i="13"/>
  <c r="I1573" i="13" s="1"/>
  <c r="H1563" i="13"/>
  <c r="I1564" i="13" s="1"/>
  <c r="I1560" i="13"/>
  <c r="H1553" i="13"/>
  <c r="H1552" i="13"/>
  <c r="H1546" i="13"/>
  <c r="I1549" i="13" s="1"/>
  <c r="H1531" i="13"/>
  <c r="H1529" i="13"/>
  <c r="H1530" i="13"/>
  <c r="H1528" i="13"/>
  <c r="H1539" i="13"/>
  <c r="I1540" i="13" s="1"/>
  <c r="I1536" i="13"/>
  <c r="H1522" i="13"/>
  <c r="I1525" i="13" s="1"/>
  <c r="H1515" i="13"/>
  <c r="I1516" i="13" s="1"/>
  <c r="I1512" i="13"/>
  <c r="I1508" i="13"/>
  <c r="H1498" i="13"/>
  <c r="I1501" i="13" s="1"/>
  <c r="H1491" i="13"/>
  <c r="I1492" i="13" s="1"/>
  <c r="I1488" i="13"/>
  <c r="I1484" i="13"/>
  <c r="H1474" i="13"/>
  <c r="I1477" i="13" s="1"/>
  <c r="H1467" i="13"/>
  <c r="I1468" i="13" s="1"/>
  <c r="I1464" i="13"/>
  <c r="I1460" i="13"/>
  <c r="H1450" i="13"/>
  <c r="I1453" i="13" s="1"/>
  <c r="H1443" i="13"/>
  <c r="I1444" i="13" s="1"/>
  <c r="I1440" i="13"/>
  <c r="I1436" i="13"/>
  <c r="H1426" i="13"/>
  <c r="I1429" i="13" s="1"/>
  <c r="H1416" i="13"/>
  <c r="I1417" i="13" s="1"/>
  <c r="I1413" i="13"/>
  <c r="I1409" i="13"/>
  <c r="H1399" i="13"/>
  <c r="I1402" i="13" s="1"/>
  <c r="H1392" i="13"/>
  <c r="I1393" i="13" s="1"/>
  <c r="I1389" i="13"/>
  <c r="I1385" i="13"/>
  <c r="H1374" i="13"/>
  <c r="I1377" i="13" s="1"/>
  <c r="H1367" i="13"/>
  <c r="I1368" i="13" s="1"/>
  <c r="I1364" i="13"/>
  <c r="H1357" i="13"/>
  <c r="H1356" i="13"/>
  <c r="H1355" i="13"/>
  <c r="H1349" i="13"/>
  <c r="I1352" i="13" s="1"/>
  <c r="H1342" i="13"/>
  <c r="I1343" i="13" s="1"/>
  <c r="I1339" i="13"/>
  <c r="H1332" i="13"/>
  <c r="H1331" i="13"/>
  <c r="H1330" i="13"/>
  <c r="H1324" i="13"/>
  <c r="I1327" i="13" s="1"/>
  <c r="H1317" i="13"/>
  <c r="I1318" i="13" s="1"/>
  <c r="I1314" i="13"/>
  <c r="I1310" i="13"/>
  <c r="H1299" i="13"/>
  <c r="I1302" i="13" s="1"/>
  <c r="H1067" i="13"/>
  <c r="I1068" i="13" s="1"/>
  <c r="I1064" i="13"/>
  <c r="I1060" i="13"/>
  <c r="H1049" i="13"/>
  <c r="I1052" i="13" s="1"/>
  <c r="H1292" i="13"/>
  <c r="I1293" i="13" s="1"/>
  <c r="I1289" i="13"/>
  <c r="H1282" i="13"/>
  <c r="H1281" i="13"/>
  <c r="H1280" i="13"/>
  <c r="H1274" i="13"/>
  <c r="I1277" i="13" s="1"/>
  <c r="H1267" i="13"/>
  <c r="I1268" i="13" s="1"/>
  <c r="I1264" i="13"/>
  <c r="I1260" i="13"/>
  <c r="H1249" i="13"/>
  <c r="I1252" i="13" s="1"/>
  <c r="H1242" i="13"/>
  <c r="I1243" i="13" s="1"/>
  <c r="I1239" i="13"/>
  <c r="I1235" i="13"/>
  <c r="H1224" i="13"/>
  <c r="I1227" i="13" s="1"/>
  <c r="H1217" i="13"/>
  <c r="I1218" i="13" s="1"/>
  <c r="I1214" i="13"/>
  <c r="H1205" i="13"/>
  <c r="I1210" i="13" s="1"/>
  <c r="H1199" i="13"/>
  <c r="I1202" i="13" s="1"/>
  <c r="H1192" i="13"/>
  <c r="I1193" i="13" s="1"/>
  <c r="I1189" i="13"/>
  <c r="I1185" i="13"/>
  <c r="H1174" i="13"/>
  <c r="I1177" i="13" s="1"/>
  <c r="I3835" i="13" l="1"/>
  <c r="I3616" i="13"/>
  <c r="I2402" i="13"/>
  <c r="I3917" i="13"/>
  <c r="I3893" i="13" s="1"/>
  <c r="I3882" i="13"/>
  <c r="I3891" i="13" s="1"/>
  <c r="I3870" i="13" s="1"/>
  <c r="I3785" i="13"/>
  <c r="I3794" i="13" s="1"/>
  <c r="I3772" i="13" s="1"/>
  <c r="I1604" i="13"/>
  <c r="I3859" i="13"/>
  <c r="I3868" i="13" s="1"/>
  <c r="I3846" i="13" s="1"/>
  <c r="I3844" i="13"/>
  <c r="I3822" i="13" s="1"/>
  <c r="I3818" i="13"/>
  <c r="I3796" i="13" s="1"/>
  <c r="I2959" i="13"/>
  <c r="I3737" i="13"/>
  <c r="I3721" i="13"/>
  <c r="I3699" i="13" s="1"/>
  <c r="I3697" i="13"/>
  <c r="I3675" i="13" s="1"/>
  <c r="I3746" i="13"/>
  <c r="I3724" i="13" s="1"/>
  <c r="I3770" i="13"/>
  <c r="I3748" i="13" s="1"/>
  <c r="I3471" i="13"/>
  <c r="I3495" i="13"/>
  <c r="I3504" i="13" s="1"/>
  <c r="I3482" i="13" s="1"/>
  <c r="I3447" i="13"/>
  <c r="I3456" i="13" s="1"/>
  <c r="I3434" i="13" s="1"/>
  <c r="I3625" i="13"/>
  <c r="I3603" i="13" s="1"/>
  <c r="I3649" i="13"/>
  <c r="I3627" i="13" s="1"/>
  <c r="I3432" i="13"/>
  <c r="I3410" i="13" s="1"/>
  <c r="I2255" i="13"/>
  <c r="I2264" i="13" s="1"/>
  <c r="I2241" i="13" s="1"/>
  <c r="I3568" i="13"/>
  <c r="I3577" i="13" s="1"/>
  <c r="I3554" i="13" s="1"/>
  <c r="I3321" i="13"/>
  <c r="I3330" i="13" s="1"/>
  <c r="I3307" i="13" s="1"/>
  <c r="I3601" i="13"/>
  <c r="I3579" i="13" s="1"/>
  <c r="I3347" i="13"/>
  <c r="I3356" i="13" s="1"/>
  <c r="I3332" i="13" s="1"/>
  <c r="I3673" i="13"/>
  <c r="I3651" i="13" s="1"/>
  <c r="I3552" i="13"/>
  <c r="I3530" i="13" s="1"/>
  <c r="I3528" i="13"/>
  <c r="I3506" i="13" s="1"/>
  <c r="I3480" i="13"/>
  <c r="I3458" i="13" s="1"/>
  <c r="I3405" i="13"/>
  <c r="I3383" i="13" s="1"/>
  <c r="I3222" i="13"/>
  <c r="I3231" i="13" s="1"/>
  <c r="I3211" i="13" s="1"/>
  <c r="I2788" i="13"/>
  <c r="I2797" i="13" s="1"/>
  <c r="I2773" i="13" s="1"/>
  <c r="I2887" i="13"/>
  <c r="I2896" i="13" s="1"/>
  <c r="I2874" i="13" s="1"/>
  <c r="I2131" i="13"/>
  <c r="I2762" i="13"/>
  <c r="I2771" i="13" s="1"/>
  <c r="I2748" i="13" s="1"/>
  <c r="I3104" i="13"/>
  <c r="I3113" i="13" s="1"/>
  <c r="I3091" i="13" s="1"/>
  <c r="I3281" i="13"/>
  <c r="I3259" i="13" s="1"/>
  <c r="I3372" i="13"/>
  <c r="I3381" i="13" s="1"/>
  <c r="I3358" i="13" s="1"/>
  <c r="I2984" i="13"/>
  <c r="I2993" i="13" s="1"/>
  <c r="I2970" i="13" s="1"/>
  <c r="I3209" i="13"/>
  <c r="I3187" i="13" s="1"/>
  <c r="I2450" i="13"/>
  <c r="I2459" i="13" s="1"/>
  <c r="I2437" i="13" s="1"/>
  <c r="I2746" i="13"/>
  <c r="I2724" i="13" s="1"/>
  <c r="I2872" i="13"/>
  <c r="I2850" i="13" s="1"/>
  <c r="I3257" i="13"/>
  <c r="I3235" i="13" s="1"/>
  <c r="I2935" i="13"/>
  <c r="I2944" i="13" s="1"/>
  <c r="I2922" i="13" s="1"/>
  <c r="I3065" i="13"/>
  <c r="I3043" i="13" s="1"/>
  <c r="I3137" i="13"/>
  <c r="I3115" i="13" s="1"/>
  <c r="I3233" i="13"/>
  <c r="I3080" i="13"/>
  <c r="I3089" i="13" s="1"/>
  <c r="I3067" i="13" s="1"/>
  <c r="I2911" i="13"/>
  <c r="I2920" i="13" s="1"/>
  <c r="I2898" i="13" s="1"/>
  <c r="I3161" i="13"/>
  <c r="I3139" i="13" s="1"/>
  <c r="I3305" i="13"/>
  <c r="I3283" i="13" s="1"/>
  <c r="I3185" i="13"/>
  <c r="I3163" i="13" s="1"/>
  <c r="I3017" i="13"/>
  <c r="I2995" i="13" s="1"/>
  <c r="I3041" i="13"/>
  <c r="I3019" i="13" s="1"/>
  <c r="I2968" i="13"/>
  <c r="I2946" i="13" s="1"/>
  <c r="I2846" i="13"/>
  <c r="I2824" i="13" s="1"/>
  <c r="I2822" i="13"/>
  <c r="I2799" i="13" s="1"/>
  <c r="I685" i="13"/>
  <c r="I694" i="13" s="1"/>
  <c r="I674" i="13" s="1"/>
  <c r="I2722" i="13"/>
  <c r="I2700" i="13" s="1"/>
  <c r="I2698" i="13"/>
  <c r="I2676" i="13" s="1"/>
  <c r="I1845" i="13"/>
  <c r="I1854" i="13" s="1"/>
  <c r="I1832" i="13" s="1"/>
  <c r="I1773" i="13"/>
  <c r="I1782" i="13" s="1"/>
  <c r="I1760" i="13" s="1"/>
  <c r="I2230" i="13"/>
  <c r="I2239" i="13" s="1"/>
  <c r="I2215" i="13" s="1"/>
  <c r="I2140" i="13"/>
  <c r="I2120" i="13" s="1"/>
  <c r="I2483" i="13"/>
  <c r="I2461" i="13" s="1"/>
  <c r="I2426" i="13"/>
  <c r="I2435" i="13" s="1"/>
  <c r="I2413" i="13" s="1"/>
  <c r="I2604" i="13"/>
  <c r="I2582" i="13" s="1"/>
  <c r="I2378" i="13"/>
  <c r="I2387" i="13" s="1"/>
  <c r="I2365" i="13" s="1"/>
  <c r="I2547" i="13"/>
  <c r="I2556" i="13" s="1"/>
  <c r="I2534" i="13" s="1"/>
  <c r="I1821" i="13"/>
  <c r="I1830" i="13" s="1"/>
  <c r="I1808" i="13" s="1"/>
  <c r="I2411" i="13"/>
  <c r="I2389" i="13" s="1"/>
  <c r="I2580" i="13"/>
  <c r="I2558" i="13" s="1"/>
  <c r="I2315" i="13"/>
  <c r="I2293" i="13" s="1"/>
  <c r="I2665" i="13"/>
  <c r="I2674" i="13" s="1"/>
  <c r="I2654" i="13" s="1"/>
  <c r="I2652" i="13"/>
  <c r="I2630" i="13" s="1"/>
  <c r="I2628" i="13"/>
  <c r="I2606" i="13" s="1"/>
  <c r="I2507" i="13"/>
  <c r="I2485" i="13" s="1"/>
  <c r="I2531" i="13"/>
  <c r="I2509" i="13" s="1"/>
  <c r="I1653" i="13"/>
  <c r="I1662" i="13" s="1"/>
  <c r="I1639" i="13" s="1"/>
  <c r="I1580" i="13"/>
  <c r="I1589" i="13" s="1"/>
  <c r="I1567" i="13" s="1"/>
  <c r="I1797" i="13"/>
  <c r="I1806" i="13" s="1"/>
  <c r="I1784" i="13" s="1"/>
  <c r="I1869" i="13"/>
  <c r="I1878" i="13" s="1"/>
  <c r="I1856" i="13" s="1"/>
  <c r="I2204" i="13"/>
  <c r="I2213" i="13" s="1"/>
  <c r="I2190" i="13" s="1"/>
  <c r="I2363" i="13"/>
  <c r="I2341" i="13" s="1"/>
  <c r="I2339" i="13"/>
  <c r="I2317" i="13" s="1"/>
  <c r="I2288" i="13"/>
  <c r="I2266" i="13" s="1"/>
  <c r="I2070" i="13"/>
  <c r="I2048" i="13" s="1"/>
  <c r="I2164" i="13"/>
  <c r="I2142" i="13" s="1"/>
  <c r="I1998" i="13"/>
  <c r="I1976" i="13" s="1"/>
  <c r="I1710" i="13"/>
  <c r="I1688" i="13" s="1"/>
  <c r="I2094" i="13"/>
  <c r="I2072" i="13" s="1"/>
  <c r="I1556" i="13"/>
  <c r="I1565" i="13" s="1"/>
  <c r="I1543" i="13" s="1"/>
  <c r="I1902" i="13"/>
  <c r="I1880" i="13" s="1"/>
  <c r="I2118" i="13"/>
  <c r="I2096" i="13" s="1"/>
  <c r="I2188" i="13"/>
  <c r="I2166" i="13" s="1"/>
  <c r="I2046" i="13"/>
  <c r="I2024" i="13" s="1"/>
  <c r="I2022" i="13"/>
  <c r="I2000" i="13" s="1"/>
  <c r="I1950" i="13"/>
  <c r="I1928" i="13" s="1"/>
  <c r="I1974" i="13"/>
  <c r="I1952" i="13" s="1"/>
  <c r="I1926" i="13"/>
  <c r="I1904" i="13" s="1"/>
  <c r="I1749" i="13"/>
  <c r="I1758" i="13" s="1"/>
  <c r="I1736" i="13" s="1"/>
  <c r="I1686" i="13"/>
  <c r="I1664" i="13" s="1"/>
  <c r="I1734" i="13"/>
  <c r="I1712" i="13" s="1"/>
  <c r="I1613" i="13"/>
  <c r="I1591" i="13" s="1"/>
  <c r="I1628" i="13"/>
  <c r="I1637" i="13" s="1"/>
  <c r="I1615" i="13" s="1"/>
  <c r="I1532" i="13"/>
  <c r="I1541" i="13" s="1"/>
  <c r="I1519" i="13" s="1"/>
  <c r="I1517" i="13"/>
  <c r="I1495" i="13" s="1"/>
  <c r="I1493" i="13"/>
  <c r="I1471" i="13" s="1"/>
  <c r="I1469" i="13"/>
  <c r="I1447" i="13" s="1"/>
  <c r="I1319" i="13"/>
  <c r="I1296" i="13" s="1"/>
  <c r="I1335" i="13"/>
  <c r="I1344" i="13" s="1"/>
  <c r="I1321" i="13" s="1"/>
  <c r="I1360" i="13"/>
  <c r="I1369" i="13" s="1"/>
  <c r="I1346" i="13" s="1"/>
  <c r="I1394" i="13"/>
  <c r="I1371" i="13" s="1"/>
  <c r="I1445" i="13"/>
  <c r="I1423" i="13" s="1"/>
  <c r="I1418" i="13"/>
  <c r="I1396" i="13" s="1"/>
  <c r="I1069" i="13"/>
  <c r="I1046" i="13" s="1"/>
  <c r="I1285" i="13"/>
  <c r="I1294" i="13" s="1"/>
  <c r="I1271" i="13" s="1"/>
  <c r="I1244" i="13"/>
  <c r="I1221" i="13" s="1"/>
  <c r="I1269" i="13"/>
  <c r="I1246" i="13" s="1"/>
  <c r="I1219" i="13"/>
  <c r="I1196" i="13" s="1"/>
  <c r="I1194" i="13"/>
  <c r="I1171" i="13" s="1"/>
  <c r="H1167" i="13" l="1"/>
  <c r="I1168" i="13" s="1"/>
  <c r="I1164" i="13"/>
  <c r="I1160" i="13"/>
  <c r="H1149" i="13"/>
  <c r="I1152" i="13" s="1"/>
  <c r="H1142" i="13"/>
  <c r="I1143" i="13" s="1"/>
  <c r="I1139" i="13"/>
  <c r="I1135" i="13"/>
  <c r="H1124" i="13"/>
  <c r="I1127" i="13" s="1"/>
  <c r="H1117" i="13"/>
  <c r="I1118" i="13" s="1"/>
  <c r="I1114" i="13"/>
  <c r="H1107" i="13"/>
  <c r="H1106" i="13"/>
  <c r="H1105" i="13"/>
  <c r="H1099" i="13"/>
  <c r="I1102" i="13" s="1"/>
  <c r="H1092" i="13"/>
  <c r="I1093" i="13" s="1"/>
  <c r="I1089" i="13"/>
  <c r="H1082" i="13"/>
  <c r="H1081" i="13"/>
  <c r="H1080" i="13"/>
  <c r="H1074" i="13"/>
  <c r="I1077" i="13" s="1"/>
  <c r="H1042" i="13"/>
  <c r="I1043" i="13" s="1"/>
  <c r="I1039" i="13"/>
  <c r="I1035" i="13"/>
  <c r="H1024" i="13"/>
  <c r="I1027" i="13" s="1"/>
  <c r="H1017" i="13"/>
  <c r="I1018" i="13" s="1"/>
  <c r="I1014" i="13"/>
  <c r="I1010" i="13"/>
  <c r="H999" i="13"/>
  <c r="I1002" i="13" s="1"/>
  <c r="H992" i="13"/>
  <c r="I993" i="13" s="1"/>
  <c r="I989" i="13"/>
  <c r="I985" i="13"/>
  <c r="H974" i="13"/>
  <c r="I977" i="13" s="1"/>
  <c r="H955" i="13"/>
  <c r="I960" i="13" s="1"/>
  <c r="H967" i="13"/>
  <c r="I968" i="13" s="1"/>
  <c r="I964" i="13"/>
  <c r="H949" i="13"/>
  <c r="I952" i="13" s="1"/>
  <c r="H942" i="13"/>
  <c r="I943" i="13" s="1"/>
  <c r="I939" i="13"/>
  <c r="I935" i="13"/>
  <c r="H924" i="13"/>
  <c r="I927" i="13" s="1"/>
  <c r="H917" i="13"/>
  <c r="I918" i="13" s="1"/>
  <c r="I914" i="13"/>
  <c r="H906" i="13"/>
  <c r="H905" i="13"/>
  <c r="H899" i="13"/>
  <c r="I902" i="13" s="1"/>
  <c r="H892" i="13"/>
  <c r="I893" i="13" s="1"/>
  <c r="I889" i="13"/>
  <c r="H882" i="13"/>
  <c r="H881" i="13"/>
  <c r="H880" i="13"/>
  <c r="H874" i="13"/>
  <c r="I877" i="13" s="1"/>
  <c r="H856" i="13"/>
  <c r="H857" i="13"/>
  <c r="H855" i="13"/>
  <c r="H854" i="13"/>
  <c r="H867" i="13"/>
  <c r="I868" i="13" s="1"/>
  <c r="I864" i="13"/>
  <c r="H858" i="13"/>
  <c r="H848" i="13"/>
  <c r="I851" i="13" s="1"/>
  <c r="H841" i="13"/>
  <c r="I842" i="13" s="1"/>
  <c r="I838" i="13"/>
  <c r="H832" i="13"/>
  <c r="H831" i="13"/>
  <c r="H830" i="13"/>
  <c r="H829" i="13"/>
  <c r="H823" i="13"/>
  <c r="I826" i="13" s="1"/>
  <c r="H816" i="13"/>
  <c r="I817" i="13" s="1"/>
  <c r="I813" i="13"/>
  <c r="H807" i="13"/>
  <c r="H806" i="13"/>
  <c r="H805" i="13"/>
  <c r="H804" i="13"/>
  <c r="I809" i="13" s="1"/>
  <c r="H798" i="13"/>
  <c r="I801" i="13" s="1"/>
  <c r="H782" i="13"/>
  <c r="H781" i="13"/>
  <c r="H780" i="13"/>
  <c r="H779" i="13"/>
  <c r="H791" i="13"/>
  <c r="I792" i="13" s="1"/>
  <c r="I788" i="13"/>
  <c r="H773" i="13"/>
  <c r="I776" i="13" s="1"/>
  <c r="H766" i="13"/>
  <c r="I767" i="13" s="1"/>
  <c r="I763" i="13"/>
  <c r="I759" i="13"/>
  <c r="H749" i="13"/>
  <c r="I752" i="13" s="1"/>
  <c r="H742" i="13"/>
  <c r="I743" i="13" s="1"/>
  <c r="I739" i="13"/>
  <c r="I735" i="13"/>
  <c r="H725" i="13"/>
  <c r="I728" i="13" s="1"/>
  <c r="H718" i="13"/>
  <c r="I719" i="13" s="1"/>
  <c r="I715" i="13"/>
  <c r="I711" i="13"/>
  <c r="H701" i="13"/>
  <c r="I704" i="13" s="1"/>
  <c r="I695" i="13"/>
  <c r="H670" i="13"/>
  <c r="I671" i="13" s="1"/>
  <c r="I667" i="13"/>
  <c r="I663" i="13"/>
  <c r="H653" i="13"/>
  <c r="I656" i="13" s="1"/>
  <c r="H646" i="13"/>
  <c r="I647" i="13" s="1"/>
  <c r="I643" i="13"/>
  <c r="I639" i="13"/>
  <c r="H629" i="13"/>
  <c r="I632" i="13" s="1"/>
  <c r="H622" i="13"/>
  <c r="I623" i="13" s="1"/>
  <c r="I619" i="13"/>
  <c r="I615" i="13"/>
  <c r="H605" i="13"/>
  <c r="I608" i="13" s="1"/>
  <c r="H598" i="13"/>
  <c r="I599" i="13" s="1"/>
  <c r="I595" i="13"/>
  <c r="I591" i="13"/>
  <c r="H581" i="13"/>
  <c r="I584" i="13" s="1"/>
  <c r="H574" i="13"/>
  <c r="I575" i="13" s="1"/>
  <c r="I571" i="13"/>
  <c r="H563" i="13"/>
  <c r="I567" i="13" s="1"/>
  <c r="H557" i="13"/>
  <c r="I560" i="13" s="1"/>
  <c r="H550" i="13"/>
  <c r="I551" i="13" s="1"/>
  <c r="I547" i="13"/>
  <c r="H539" i="13"/>
  <c r="I543" i="13" s="1"/>
  <c r="H533" i="13"/>
  <c r="I536" i="13" s="1"/>
  <c r="H526" i="13"/>
  <c r="I527" i="13" s="1"/>
  <c r="I523" i="13"/>
  <c r="H515" i="13"/>
  <c r="I519" i="13" s="1"/>
  <c r="H509" i="13"/>
  <c r="I512" i="13" s="1"/>
  <c r="H502" i="13"/>
  <c r="I503" i="13" s="1"/>
  <c r="I499" i="13"/>
  <c r="H491" i="13"/>
  <c r="I495" i="13" s="1"/>
  <c r="H485" i="13"/>
  <c r="I488" i="13" s="1"/>
  <c r="H478" i="13"/>
  <c r="I479" i="13" s="1"/>
  <c r="I475" i="13"/>
  <c r="H467" i="13"/>
  <c r="I471" i="13" s="1"/>
  <c r="H461" i="13"/>
  <c r="I464" i="13" s="1"/>
  <c r="H443" i="13"/>
  <c r="I447" i="13" s="1"/>
  <c r="H454" i="13"/>
  <c r="I455" i="13" s="1"/>
  <c r="I451" i="13"/>
  <c r="H437" i="13"/>
  <c r="I440" i="13" s="1"/>
  <c r="H430" i="13"/>
  <c r="I431" i="13" s="1"/>
  <c r="I427" i="13"/>
  <c r="I423" i="13"/>
  <c r="H413" i="13"/>
  <c r="I416" i="13" s="1"/>
  <c r="H406" i="13"/>
  <c r="I407" i="13" s="1"/>
  <c r="I403" i="13"/>
  <c r="H395" i="13"/>
  <c r="I399" i="13" s="1"/>
  <c r="H389" i="13"/>
  <c r="I392" i="13" s="1"/>
  <c r="H371" i="13"/>
  <c r="I375" i="13" s="1"/>
  <c r="H382" i="13"/>
  <c r="I383" i="13" s="1"/>
  <c r="I379" i="13"/>
  <c r="H365" i="13"/>
  <c r="I368" i="13" s="1"/>
  <c r="H358" i="13"/>
  <c r="I359" i="13" s="1"/>
  <c r="I355" i="13"/>
  <c r="I351" i="13"/>
  <c r="H341" i="13"/>
  <c r="I344" i="13" s="1"/>
  <c r="H334" i="13"/>
  <c r="I335" i="13" s="1"/>
  <c r="I331" i="13"/>
  <c r="H325" i="13"/>
  <c r="H324" i="13"/>
  <c r="H323" i="13"/>
  <c r="H317" i="13"/>
  <c r="I320" i="13" s="1"/>
  <c r="H301" i="13"/>
  <c r="I1085" i="13" l="1"/>
  <c r="I834" i="13"/>
  <c r="I1110" i="13"/>
  <c r="I1019" i="13"/>
  <c r="I996" i="13" s="1"/>
  <c r="I1169" i="13"/>
  <c r="I1146" i="13" s="1"/>
  <c r="I1144" i="13"/>
  <c r="I1121" i="13" s="1"/>
  <c r="I1119" i="13"/>
  <c r="I1096" i="13" s="1"/>
  <c r="I1094" i="13"/>
  <c r="I1071" i="13" s="1"/>
  <c r="I1044" i="13"/>
  <c r="I1021" i="13" s="1"/>
  <c r="I994" i="13"/>
  <c r="I971" i="13" s="1"/>
  <c r="I969" i="13"/>
  <c r="I946" i="13" s="1"/>
  <c r="I944" i="13"/>
  <c r="I921" i="13" s="1"/>
  <c r="I910" i="13"/>
  <c r="I885" i="13"/>
  <c r="I894" i="13" s="1"/>
  <c r="I871" i="13" s="1"/>
  <c r="I327" i="13"/>
  <c r="I336" i="13" s="1"/>
  <c r="I314" i="13" s="1"/>
  <c r="I600" i="13"/>
  <c r="I578" i="13" s="1"/>
  <c r="I860" i="13"/>
  <c r="I869" i="13" s="1"/>
  <c r="I845" i="13" s="1"/>
  <c r="I843" i="13"/>
  <c r="I820" i="13" s="1"/>
  <c r="I818" i="13"/>
  <c r="I795" i="13" s="1"/>
  <c r="I648" i="13"/>
  <c r="I626" i="13" s="1"/>
  <c r="I784" i="13"/>
  <c r="I793" i="13" s="1"/>
  <c r="I770" i="13" s="1"/>
  <c r="I768" i="13"/>
  <c r="I746" i="13" s="1"/>
  <c r="I744" i="13"/>
  <c r="I722" i="13" s="1"/>
  <c r="I720" i="13"/>
  <c r="I698" i="13" s="1"/>
  <c r="I696" i="13"/>
  <c r="I672" i="13"/>
  <c r="I650" i="13" s="1"/>
  <c r="I624" i="13"/>
  <c r="I602" i="13" s="1"/>
  <c r="I576" i="13"/>
  <c r="I554" i="13" s="1"/>
  <c r="I552" i="13"/>
  <c r="I530" i="13" s="1"/>
  <c r="I528" i="13"/>
  <c r="I506" i="13" s="1"/>
  <c r="I504" i="13"/>
  <c r="I482" i="13" s="1"/>
  <c r="I480" i="13"/>
  <c r="I458" i="13" s="1"/>
  <c r="I456" i="13"/>
  <c r="I434" i="13" s="1"/>
  <c r="I432" i="13"/>
  <c r="I410" i="13" s="1"/>
  <c r="I408" i="13"/>
  <c r="I386" i="13" s="1"/>
  <c r="I384" i="13"/>
  <c r="I362" i="13" s="1"/>
  <c r="I360" i="13"/>
  <c r="I338" i="13" s="1"/>
  <c r="I919" i="13" l="1"/>
  <c r="I896" i="13" s="1"/>
  <c r="H310" i="13"/>
  <c r="I311" i="13" s="1"/>
  <c r="I307" i="13"/>
  <c r="H300" i="13"/>
  <c r="H299" i="13"/>
  <c r="H293" i="13"/>
  <c r="I296" i="13" s="1"/>
  <c r="H286" i="13"/>
  <c r="I287" i="13" s="1"/>
  <c r="I283" i="13"/>
  <c r="H276" i="13"/>
  <c r="H275" i="13"/>
  <c r="H269" i="13"/>
  <c r="I272" i="13" s="1"/>
  <c r="I279" i="13" l="1"/>
  <c r="I303" i="13"/>
  <c r="I312" i="13" s="1"/>
  <c r="I290" i="13" s="1"/>
  <c r="I288" i="13"/>
  <c r="I266" i="13" s="1"/>
  <c r="H262" i="13" l="1"/>
  <c r="I263" i="13" s="1"/>
  <c r="I259" i="13"/>
  <c r="H252" i="13"/>
  <c r="H251" i="13"/>
  <c r="I255" i="13" s="1"/>
  <c r="H245" i="13"/>
  <c r="I248" i="13" s="1"/>
  <c r="H238" i="13"/>
  <c r="I239" i="13" s="1"/>
  <c r="I235" i="13"/>
  <c r="H228" i="13"/>
  <c r="H227" i="13"/>
  <c r="H221" i="13"/>
  <c r="I224" i="13" s="1"/>
  <c r="H214" i="13"/>
  <c r="I215" i="13" s="1"/>
  <c r="I211" i="13"/>
  <c r="H204" i="13"/>
  <c r="H203" i="13"/>
  <c r="H197" i="13"/>
  <c r="I200" i="13" s="1"/>
  <c r="H180" i="13"/>
  <c r="H190" i="13"/>
  <c r="I191" i="13" s="1"/>
  <c r="I187" i="13"/>
  <c r="H179" i="13"/>
  <c r="H173" i="13"/>
  <c r="I176" i="13" s="1"/>
  <c r="H166" i="13"/>
  <c r="I167" i="13" s="1"/>
  <c r="I163" i="13"/>
  <c r="H155" i="13"/>
  <c r="I159" i="13" s="1"/>
  <c r="H149" i="13"/>
  <c r="I152" i="13" s="1"/>
  <c r="H142" i="13"/>
  <c r="I143" i="13" s="1"/>
  <c r="I139" i="13"/>
  <c r="H131" i="13"/>
  <c r="I135" i="13" s="1"/>
  <c r="H125" i="13"/>
  <c r="I128" i="13" s="1"/>
  <c r="H118" i="13"/>
  <c r="I119" i="13" s="1"/>
  <c r="I115" i="13"/>
  <c r="H107" i="13"/>
  <c r="I111" i="13" s="1"/>
  <c r="H101" i="13"/>
  <c r="I104" i="13" s="1"/>
  <c r="H83" i="13"/>
  <c r="I87" i="13" s="1"/>
  <c r="H94" i="13"/>
  <c r="I95" i="13" s="1"/>
  <c r="I91" i="13"/>
  <c r="H77" i="13"/>
  <c r="I80" i="13" s="1"/>
  <c r="H61" i="13"/>
  <c r="H60" i="13"/>
  <c r="H59" i="13"/>
  <c r="H70" i="13"/>
  <c r="I71" i="13" s="1"/>
  <c r="I67" i="13"/>
  <c r="I63" i="13"/>
  <c r="H53" i="13"/>
  <c r="I56" i="13" s="1"/>
  <c r="H46" i="13"/>
  <c r="I47" i="13" s="1"/>
  <c r="I43" i="13"/>
  <c r="I39" i="13"/>
  <c r="H29" i="13"/>
  <c r="I32" i="13" s="1"/>
  <c r="H22" i="13"/>
  <c r="I23" i="13" s="1"/>
  <c r="H6" i="13"/>
  <c r="H5" i="13"/>
  <c r="I19" i="13"/>
  <c r="I15" i="13"/>
  <c r="I231" i="13" l="1"/>
  <c r="I168" i="13"/>
  <c r="I146" i="13" s="1"/>
  <c r="I264" i="13"/>
  <c r="I242" i="13" s="1"/>
  <c r="I240" i="13"/>
  <c r="I218" i="13" s="1"/>
  <c r="I207" i="13"/>
  <c r="I216" i="13" s="1"/>
  <c r="I194" i="13" s="1"/>
  <c r="I183" i="13"/>
  <c r="I192" i="13" s="1"/>
  <c r="I170" i="13" s="1"/>
  <c r="I144" i="13"/>
  <c r="I122" i="13" s="1"/>
  <c r="I120" i="13"/>
  <c r="I98" i="13" s="1"/>
  <c r="I96" i="13"/>
  <c r="I74" i="13" s="1"/>
  <c r="I72" i="13"/>
  <c r="I50" i="13" s="1"/>
  <c r="I48" i="13"/>
  <c r="I26" i="13" s="1"/>
  <c r="I8" i="13"/>
  <c r="I24" i="13" s="1"/>
  <c r="I2" i="13" s="1"/>
  <c r="E9" i="6" l="1"/>
  <c r="F23" i="3"/>
  <c r="H11" i="3"/>
  <c r="F11" i="3"/>
  <c r="A34" i="3"/>
  <c r="F2" i="12"/>
  <c r="F203" i="3"/>
  <c r="F202" i="3" s="1"/>
  <c r="D95" i="3"/>
  <c r="F95" i="3" s="1"/>
  <c r="H216" i="3"/>
  <c r="F216" i="3"/>
  <c r="F215" i="3" s="1"/>
  <c r="A216" i="3"/>
  <c r="H201" i="3"/>
  <c r="F201" i="3"/>
  <c r="F198" i="3"/>
  <c r="F197" i="3" s="1"/>
  <c r="H198" i="3"/>
  <c r="A198" i="3"/>
  <c r="H213" i="3"/>
  <c r="F213" i="3"/>
  <c r="I12" i="5"/>
  <c r="I11" i="5"/>
  <c r="B11" i="5"/>
  <c r="B12" i="5" s="1"/>
  <c r="F190" i="3"/>
  <c r="F189" i="3" s="1"/>
  <c r="A190" i="3"/>
  <c r="F188" i="3"/>
  <c r="F187" i="3"/>
  <c r="F186" i="3"/>
  <c r="F185" i="3"/>
  <c r="F184" i="3"/>
  <c r="F183" i="3"/>
  <c r="F182" i="3"/>
  <c r="F181" i="3"/>
  <c r="F180" i="3"/>
  <c r="F179" i="3"/>
  <c r="F178" i="3"/>
  <c r="A178" i="3"/>
  <c r="A179" i="3" s="1"/>
  <c r="A180" i="3" s="1"/>
  <c r="A181" i="3" s="1"/>
  <c r="A182" i="3" s="1"/>
  <c r="A183" i="3" s="1"/>
  <c r="A184" i="3" s="1"/>
  <c r="A185" i="3" s="1"/>
  <c r="A186" i="3" s="1"/>
  <c r="A187" i="3" s="1"/>
  <c r="A188" i="3" s="1"/>
  <c r="F176" i="3"/>
  <c r="F175" i="3"/>
  <c r="A175" i="3"/>
  <c r="A176" i="3" s="1"/>
  <c r="F173" i="3"/>
  <c r="F172" i="3"/>
  <c r="F171" i="3"/>
  <c r="A171" i="3"/>
  <c r="A172" i="3" s="1"/>
  <c r="A173" i="3" s="1"/>
  <c r="F169" i="3"/>
  <c r="F168" i="3" s="1"/>
  <c r="A169" i="3"/>
  <c r="F167" i="3"/>
  <c r="F166" i="3"/>
  <c r="F165" i="3"/>
  <c r="A165" i="3"/>
  <c r="A166" i="3" s="1"/>
  <c r="A167" i="3" s="1"/>
  <c r="F163" i="3"/>
  <c r="F162" i="3" s="1"/>
  <c r="A163" i="3"/>
  <c r="F161" i="3"/>
  <c r="F160" i="3" s="1"/>
  <c r="A161" i="3"/>
  <c r="F170" i="3" l="1"/>
  <c r="F174" i="3"/>
  <c r="F164" i="3"/>
  <c r="F177" i="3"/>
  <c r="F238" i="3"/>
  <c r="F131" i="3"/>
  <c r="F130" i="3"/>
  <c r="A130" i="3"/>
  <c r="A27" i="3"/>
  <c r="A28" i="3" s="1"/>
  <c r="D59" i="5"/>
  <c r="F159" i="3" l="1"/>
  <c r="C5" i="12" s="1"/>
  <c r="H30" i="3" l="1"/>
  <c r="I28" i="3"/>
  <c r="H28" i="3" s="1"/>
  <c r="H27" i="3"/>
  <c r="I27" i="3"/>
  <c r="H21" i="3"/>
  <c r="H20" i="3"/>
  <c r="H19" i="3"/>
  <c r="H16" i="3"/>
  <c r="H15" i="3"/>
  <c r="H14" i="3"/>
  <c r="H10" i="3"/>
  <c r="D6" i="5"/>
  <c r="D6" i="6"/>
  <c r="E19" i="6"/>
  <c r="H82" i="3"/>
  <c r="I23" i="5"/>
  <c r="I25" i="5"/>
  <c r="I29" i="5" s="1"/>
  <c r="A158" i="3" l="1"/>
  <c r="A193" i="3"/>
  <c r="A82" i="3"/>
  <c r="A10" i="3"/>
  <c r="A11" i="3" s="1"/>
  <c r="A79" i="3"/>
  <c r="H203" i="3" l="1"/>
  <c r="H200" i="3"/>
  <c r="H193" i="3"/>
  <c r="H144" i="3"/>
  <c r="H93" i="3"/>
  <c r="H138" i="3"/>
  <c r="H137" i="3"/>
  <c r="H136" i="3"/>
  <c r="H132" i="3"/>
  <c r="H106" i="3"/>
  <c r="H105" i="3"/>
  <c r="H103" i="3"/>
  <c r="H102" i="3"/>
  <c r="H101" i="3"/>
  <c r="H99" i="3"/>
  <c r="H98" i="3"/>
  <c r="H95" i="3"/>
  <c r="H91" i="3"/>
  <c r="H90" i="3"/>
  <c r="H89" i="3"/>
  <c r="H32" i="3"/>
  <c r="H31" i="3"/>
  <c r="H205" i="3"/>
  <c r="H140" i="3"/>
  <c r="A218" i="3" l="1"/>
  <c r="F218" i="3"/>
  <c r="F217" i="3" s="1"/>
  <c r="F205" i="3"/>
  <c r="F204" i="3" s="1"/>
  <c r="F141" i="3"/>
  <c r="F142" i="3"/>
  <c r="F158" i="3"/>
  <c r="F157" i="3" s="1"/>
  <c r="F140" i="3"/>
  <c r="A140" i="3"/>
  <c r="A141" i="3" s="1"/>
  <c r="A142" i="3" s="1"/>
  <c r="F144" i="3"/>
  <c r="A144" i="3"/>
  <c r="F137" i="3"/>
  <c r="F138" i="3"/>
  <c r="F127" i="3"/>
  <c r="F126" i="3" s="1"/>
  <c r="F109" i="3"/>
  <c r="F108" i="3"/>
  <c r="A108" i="3"/>
  <c r="A109" i="3" s="1"/>
  <c r="F143" i="3" l="1"/>
  <c r="F139" i="3"/>
  <c r="F107" i="3"/>
  <c r="F112" i="3" l="1"/>
  <c r="F113" i="3"/>
  <c r="F114" i="3"/>
  <c r="F106" i="3"/>
  <c r="A101" i="3"/>
  <c r="A102" i="3" s="1"/>
  <c r="A103" i="3" s="1"/>
  <c r="A93" i="3"/>
  <c r="F93" i="3"/>
  <c r="F92" i="3" s="1"/>
  <c r="F99" i="3"/>
  <c r="F98" i="3"/>
  <c r="H97" i="3"/>
  <c r="F239" i="3" s="1"/>
  <c r="F97" i="3"/>
  <c r="A97" i="3"/>
  <c r="A98" i="3" s="1"/>
  <c r="A99" i="3" s="1"/>
  <c r="F91" i="3"/>
  <c r="F90" i="3"/>
  <c r="F89" i="3"/>
  <c r="A89" i="3"/>
  <c r="A90" i="3" s="1"/>
  <c r="A91" i="3" s="1"/>
  <c r="F87" i="3"/>
  <c r="F86" i="3" s="1"/>
  <c r="A87" i="3"/>
  <c r="F82" i="3"/>
  <c r="F83" i="3"/>
  <c r="F84" i="3"/>
  <c r="F85" i="3"/>
  <c r="F79" i="3"/>
  <c r="F78" i="3" s="1"/>
  <c r="F28" i="3"/>
  <c r="F27" i="3"/>
  <c r="F25" i="3"/>
  <c r="F24" i="3" s="1"/>
  <c r="F22" i="3" s="1"/>
  <c r="F56" i="3"/>
  <c r="F34" i="3"/>
  <c r="F35" i="3"/>
  <c r="F21" i="3"/>
  <c r="F20" i="3"/>
  <c r="F19" i="3"/>
  <c r="A19" i="3"/>
  <c r="A20" i="3" s="1"/>
  <c r="A21" i="3" s="1"/>
  <c r="F14" i="3"/>
  <c r="F13" i="3"/>
  <c r="A13" i="3"/>
  <c r="A14" i="3" s="1"/>
  <c r="F10" i="3"/>
  <c r="F9" i="3" s="1"/>
  <c r="F15" i="3"/>
  <c r="F16" i="3"/>
  <c r="F17" i="3"/>
  <c r="F18" i="3" l="1"/>
  <c r="F96" i="3"/>
  <c r="F88" i="3"/>
  <c r="F94" i="3"/>
  <c r="F26" i="3"/>
  <c r="F30" i="3" l="1"/>
  <c r="F31" i="3"/>
  <c r="F32" i="3"/>
  <c r="F51" i="3"/>
  <c r="F103" i="3" l="1"/>
  <c r="F102" i="3"/>
  <c r="F63" i="3"/>
  <c r="F64" i="3"/>
  <c r="F65" i="3"/>
  <c r="F66" i="3"/>
  <c r="F67" i="3"/>
  <c r="F122" i="3" l="1"/>
  <c r="F123" i="3"/>
  <c r="F124" i="3"/>
  <c r="F53" i="3"/>
  <c r="F54" i="3"/>
  <c r="C6" i="11" l="1"/>
  <c r="C6" i="10"/>
  <c r="C9" i="9"/>
  <c r="C7" i="9"/>
  <c r="C18" i="9" s="1"/>
  <c r="C19" i="9" s="1"/>
  <c r="E17" i="8"/>
  <c r="D17" i="8"/>
  <c r="C17" i="8"/>
  <c r="B17" i="8"/>
  <c r="A17" i="8"/>
  <c r="E16" i="8"/>
  <c r="D16" i="8"/>
  <c r="C16" i="8"/>
  <c r="B16" i="8"/>
  <c r="A16" i="8"/>
  <c r="E15" i="8"/>
  <c r="D15" i="8"/>
  <c r="C15" i="8"/>
  <c r="B15" i="8"/>
  <c r="A15" i="8"/>
  <c r="E14" i="8"/>
  <c r="D14" i="8"/>
  <c r="C14" i="8"/>
  <c r="B14" i="8"/>
  <c r="A14" i="8"/>
  <c r="E13" i="8"/>
  <c r="C13" i="8"/>
  <c r="B13" i="8"/>
  <c r="A13" i="8"/>
  <c r="E12" i="8"/>
  <c r="C12" i="8"/>
  <c r="B12" i="8"/>
  <c r="A12" i="8"/>
  <c r="E11" i="8"/>
  <c r="C11" i="8"/>
  <c r="B11" i="8"/>
  <c r="A11" i="8"/>
  <c r="E10" i="8"/>
  <c r="C10" i="8"/>
  <c r="B10" i="8"/>
  <c r="A10" i="8"/>
  <c r="E9" i="8"/>
  <c r="C9" i="8"/>
  <c r="B9" i="8"/>
  <c r="A9" i="8"/>
  <c r="A3" i="8"/>
  <c r="G18" i="6"/>
  <c r="B14" i="6"/>
  <c r="B15" i="6" s="1"/>
  <c r="B16" i="6" s="1"/>
  <c r="B17" i="6" s="1"/>
  <c r="B18" i="6" s="1"/>
  <c r="B19" i="6" s="1"/>
  <c r="L9" i="6"/>
  <c r="L8" i="6"/>
  <c r="L7" i="6"/>
  <c r="L6" i="6"/>
  <c r="D58" i="5"/>
  <c r="D57" i="5"/>
  <c r="J38" i="5"/>
  <c r="B35" i="5"/>
  <c r="B36" i="5" s="1"/>
  <c r="B37" i="5" s="1"/>
  <c r="B38" i="5" s="1"/>
  <c r="B39" i="5" s="1"/>
  <c r="K31" i="5"/>
  <c r="K28" i="5"/>
  <c r="B27" i="5"/>
  <c r="B28" i="5" s="1"/>
  <c r="K26" i="5"/>
  <c r="K20" i="5"/>
  <c r="B20" i="5"/>
  <c r="B21" i="5" s="1"/>
  <c r="B22" i="5" s="1"/>
  <c r="B23" i="5" s="1"/>
  <c r="B25" i="5" s="1"/>
  <c r="B29" i="5" s="1"/>
  <c r="I14" i="5"/>
  <c r="D13" i="8" s="1"/>
  <c r="I13" i="5"/>
  <c r="D11" i="8"/>
  <c r="D10" i="8"/>
  <c r="D9" i="8"/>
  <c r="B13" i="5"/>
  <c r="B14" i="5" s="1"/>
  <c r="B15" i="5" s="1"/>
  <c r="H9" i="8"/>
  <c r="C110" i="4"/>
  <c r="C108" i="4"/>
  <c r="C106" i="4"/>
  <c r="C105" i="4"/>
  <c r="C104" i="4"/>
  <c r="C103" i="4"/>
  <c r="C100" i="4"/>
  <c r="C98" i="4"/>
  <c r="C97" i="4"/>
  <c r="C96" i="4"/>
  <c r="C94" i="4"/>
  <c r="C93" i="4"/>
  <c r="C92" i="4"/>
  <c r="C87" i="4"/>
  <c r="C82" i="4"/>
  <c r="H113" i="4" s="1"/>
  <c r="J113" i="4" s="1"/>
  <c r="C81" i="4"/>
  <c r="C111" i="4" s="1"/>
  <c r="C76" i="4"/>
  <c r="C75" i="4"/>
  <c r="C74" i="4"/>
  <c r="C73" i="4"/>
  <c r="C72" i="4"/>
  <c r="K70" i="4"/>
  <c r="I67" i="4"/>
  <c r="K67" i="4" s="1"/>
  <c r="C65" i="4"/>
  <c r="C66" i="4" s="1"/>
  <c r="C114" i="4" s="1"/>
  <c r="C64" i="4"/>
  <c r="H63" i="4"/>
  <c r="J63" i="4" s="1"/>
  <c r="C63" i="4"/>
  <c r="J62" i="4"/>
  <c r="C61" i="4"/>
  <c r="H59" i="4"/>
  <c r="J59" i="4" s="1"/>
  <c r="C59" i="4"/>
  <c r="C57" i="4"/>
  <c r="C55" i="4"/>
  <c r="C53" i="4"/>
  <c r="C50" i="4"/>
  <c r="C46" i="4"/>
  <c r="H45" i="4"/>
  <c r="J45" i="4" s="1"/>
  <c r="C45" i="4"/>
  <c r="H44" i="4"/>
  <c r="J44" i="4" s="1"/>
  <c r="C44" i="4"/>
  <c r="C42" i="4"/>
  <c r="C40" i="4"/>
  <c r="C39" i="4"/>
  <c r="H37" i="4"/>
  <c r="J37" i="4" s="1"/>
  <c r="C37" i="4"/>
  <c r="H36" i="4"/>
  <c r="J36" i="4" s="1"/>
  <c r="C36" i="4"/>
  <c r="H35" i="4"/>
  <c r="J35" i="4" s="1"/>
  <c r="C35" i="4"/>
  <c r="C34" i="4"/>
  <c r="H33" i="4"/>
  <c r="J33" i="4" s="1"/>
  <c r="H34" i="4" s="1"/>
  <c r="J34" i="4" s="1"/>
  <c r="C33" i="4"/>
  <c r="H32" i="4"/>
  <c r="J32" i="4" s="1"/>
  <c r="C32" i="4"/>
  <c r="C31" i="4"/>
  <c r="H27" i="4"/>
  <c r="J27" i="4" s="1"/>
  <c r="C27" i="4"/>
  <c r="H26" i="4"/>
  <c r="J26" i="4" s="1"/>
  <c r="C26" i="4"/>
  <c r="J25" i="4"/>
  <c r="J24" i="4"/>
  <c r="H23" i="4"/>
  <c r="J23" i="4" s="1"/>
  <c r="C23" i="4"/>
  <c r="H22" i="4"/>
  <c r="J22" i="4" s="1"/>
  <c r="C22" i="4"/>
  <c r="H21" i="4"/>
  <c r="J21" i="4" s="1"/>
  <c r="C21" i="4"/>
  <c r="H20" i="4"/>
  <c r="J20" i="4" s="1"/>
  <c r="C20" i="4"/>
  <c r="C19" i="4"/>
  <c r="C15" i="4"/>
  <c r="F224" i="3"/>
  <c r="F223" i="3"/>
  <c r="F222" i="3"/>
  <c r="F221" i="3"/>
  <c r="A221" i="3"/>
  <c r="A222" i="3" s="1"/>
  <c r="A223" i="3" s="1"/>
  <c r="A224" i="3" s="1"/>
  <c r="F214" i="3"/>
  <c r="F212" i="3"/>
  <c r="F211" i="3"/>
  <c r="A211" i="3"/>
  <c r="F209" i="3"/>
  <c r="F208" i="3"/>
  <c r="F207" i="3"/>
  <c r="A207" i="3"/>
  <c r="A208" i="3" s="1"/>
  <c r="A209" i="3" s="1"/>
  <c r="A200" i="3"/>
  <c r="A201" i="3" s="1"/>
  <c r="A195" i="3"/>
  <c r="A196" i="3" s="1"/>
  <c r="F156" i="3"/>
  <c r="F155" i="3"/>
  <c r="F154" i="3"/>
  <c r="F153" i="3"/>
  <c r="F152" i="3"/>
  <c r="F151" i="3"/>
  <c r="F150" i="3"/>
  <c r="F149" i="3"/>
  <c r="F148" i="3"/>
  <c r="F147" i="3"/>
  <c r="F146" i="3"/>
  <c r="A146" i="3"/>
  <c r="A147" i="3" s="1"/>
  <c r="A148" i="3" s="1"/>
  <c r="A149" i="3" s="1"/>
  <c r="A150" i="3" s="1"/>
  <c r="A151" i="3" s="1"/>
  <c r="A152" i="3" s="1"/>
  <c r="A153" i="3" s="1"/>
  <c r="A154" i="3" s="1"/>
  <c r="A155" i="3" s="1"/>
  <c r="A156" i="3" s="1"/>
  <c r="A136" i="3"/>
  <c r="A137" i="3" s="1"/>
  <c r="A138" i="3" s="1"/>
  <c r="A134" i="3"/>
  <c r="F132" i="3"/>
  <c r="F125" i="3"/>
  <c r="F121" i="3"/>
  <c r="F120" i="3"/>
  <c r="F119" i="3"/>
  <c r="F118" i="3"/>
  <c r="F117" i="3"/>
  <c r="F116" i="3"/>
  <c r="A116" i="3"/>
  <c r="F111" i="3"/>
  <c r="A111" i="3"/>
  <c r="A112" i="3" s="1"/>
  <c r="A113" i="3" s="1"/>
  <c r="A114" i="3" s="1"/>
  <c r="F105" i="3"/>
  <c r="F104" i="3" s="1"/>
  <c r="A105" i="3"/>
  <c r="A106" i="3" s="1"/>
  <c r="A83" i="3"/>
  <c r="A84" i="3" s="1"/>
  <c r="A85" i="3" s="1"/>
  <c r="F77" i="3"/>
  <c r="F76" i="3"/>
  <c r="F75" i="3"/>
  <c r="F74" i="3"/>
  <c r="F73" i="3"/>
  <c r="F72" i="3"/>
  <c r="F71" i="3"/>
  <c r="F70" i="3"/>
  <c r="F69" i="3"/>
  <c r="A69" i="3"/>
  <c r="A70" i="3" s="1"/>
  <c r="A71" i="3" s="1"/>
  <c r="A72" i="3" s="1"/>
  <c r="A73" i="3" s="1"/>
  <c r="A74" i="3" s="1"/>
  <c r="A75" i="3" s="1"/>
  <c r="A76" i="3" s="1"/>
  <c r="A77" i="3" s="1"/>
  <c r="F62" i="3"/>
  <c r="F61" i="3"/>
  <c r="F60" i="3"/>
  <c r="F59" i="3"/>
  <c r="F58" i="3"/>
  <c r="A58" i="3"/>
  <c r="A59" i="3" s="1"/>
  <c r="A60" i="3" s="1"/>
  <c r="A61" i="3" s="1"/>
  <c r="A62" i="3" s="1"/>
  <c r="F55" i="3"/>
  <c r="F52" i="3"/>
  <c r="F50" i="3"/>
  <c r="F49" i="3"/>
  <c r="F48" i="3"/>
  <c r="F47" i="3"/>
  <c r="F46" i="3"/>
  <c r="F45" i="3"/>
  <c r="F44" i="3"/>
  <c r="F43" i="3"/>
  <c r="A43" i="3"/>
  <c r="A44" i="3" s="1"/>
  <c r="A45" i="3" s="1"/>
  <c r="A46" i="3" s="1"/>
  <c r="A47" i="3" s="1"/>
  <c r="A48" i="3" s="1"/>
  <c r="A49" i="3" s="1"/>
  <c r="A50" i="3" s="1"/>
  <c r="A51" i="3" s="1"/>
  <c r="A52" i="3" s="1"/>
  <c r="A53" i="3" s="1"/>
  <c r="A54" i="3" s="1"/>
  <c r="A55" i="3" s="1"/>
  <c r="A56" i="3" s="1"/>
  <c r="F41" i="3"/>
  <c r="F40" i="3"/>
  <c r="F39" i="3"/>
  <c r="F38" i="3"/>
  <c r="F37" i="3"/>
  <c r="A37" i="3"/>
  <c r="A38" i="3" s="1"/>
  <c r="A39" i="3" s="1"/>
  <c r="A40" i="3" s="1"/>
  <c r="A41" i="3" s="1"/>
  <c r="A35" i="3"/>
  <c r="A30" i="3"/>
  <c r="A31" i="3" s="1"/>
  <c r="A32" i="3" s="1"/>
  <c r="A15" i="3"/>
  <c r="A16" i="3" s="1"/>
  <c r="A17" i="3" s="1"/>
  <c r="O23" i="2"/>
  <c r="O24" i="2" s="1"/>
  <c r="O25" i="2" s="1"/>
  <c r="O26" i="2" s="1"/>
  <c r="O27" i="2" s="1"/>
  <c r="O28" i="2" s="1"/>
  <c r="O29" i="2" s="1"/>
  <c r="O30" i="2" s="1"/>
  <c r="O31" i="2" s="1"/>
  <c r="O32" i="2" s="1"/>
  <c r="O33" i="2" s="1"/>
  <c r="O34" i="2" s="1"/>
  <c r="O35" i="2" s="1"/>
  <c r="O36" i="2" s="1"/>
  <c r="O8" i="2"/>
  <c r="O9" i="2" s="1"/>
  <c r="O10" i="2" s="1"/>
  <c r="O11" i="2" s="1"/>
  <c r="O12" i="2" s="1"/>
  <c r="O13" i="2" s="1"/>
  <c r="O14" i="2" s="1"/>
  <c r="O15" i="2" s="1"/>
  <c r="O16" i="2" s="1"/>
  <c r="O17" i="2" s="1"/>
  <c r="O18" i="2" s="1"/>
  <c r="O19" i="2" s="1"/>
  <c r="O20" i="2" s="1"/>
  <c r="O21" i="2" s="1"/>
  <c r="E158" i="1"/>
  <c r="D156" i="1"/>
  <c r="A115" i="1"/>
  <c r="E34" i="1"/>
  <c r="Y24" i="1"/>
  <c r="Y29" i="1" s="1"/>
  <c r="X14" i="1"/>
  <c r="X17" i="1" s="1"/>
  <c r="J15" i="5" l="1"/>
  <c r="K15" i="5" s="1"/>
  <c r="J11" i="5"/>
  <c r="K11" i="5" s="1"/>
  <c r="F220" i="3"/>
  <c r="F68" i="3"/>
  <c r="J12" i="5"/>
  <c r="F219" i="3"/>
  <c r="C7" i="12" s="1"/>
  <c r="F210" i="3"/>
  <c r="A63" i="3"/>
  <c r="A64" i="3" s="1"/>
  <c r="A65" i="3" s="1"/>
  <c r="A66" i="3" s="1"/>
  <c r="A67" i="3" s="1"/>
  <c r="B30" i="5"/>
  <c r="B31" i="5" s="1"/>
  <c r="H111" i="4"/>
  <c r="J111" i="4" s="1"/>
  <c r="H13" i="8"/>
  <c r="F195" i="3"/>
  <c r="F36" i="3"/>
  <c r="F42" i="3"/>
  <c r="F57" i="3"/>
  <c r="F110" i="3"/>
  <c r="F129" i="3"/>
  <c r="F145" i="3"/>
  <c r="F206" i="3"/>
  <c r="F33" i="3"/>
  <c r="F15" i="8"/>
  <c r="G15" i="8" s="1"/>
  <c r="F29" i="3"/>
  <c r="F136" i="3"/>
  <c r="F101" i="3"/>
  <c r="F134" i="3"/>
  <c r="F115" i="3"/>
  <c r="F196" i="3"/>
  <c r="F193" i="3"/>
  <c r="F200" i="3"/>
  <c r="F199" i="3" s="1"/>
  <c r="D12" i="8"/>
  <c r="J13" i="5"/>
  <c r="F12" i="8" s="1"/>
  <c r="J14" i="5"/>
  <c r="K14" i="5" s="1"/>
  <c r="H15" i="8"/>
  <c r="H12" i="8"/>
  <c r="H16" i="8"/>
  <c r="H11" i="8"/>
  <c r="K29" i="5"/>
  <c r="H17" i="8"/>
  <c r="H10" i="8"/>
  <c r="H14" i="8"/>
  <c r="C112" i="4"/>
  <c r="C113" i="4"/>
  <c r="F194" i="3" l="1"/>
  <c r="F11" i="8"/>
  <c r="G11" i="8" s="1"/>
  <c r="I11" i="8" s="1"/>
  <c r="K12" i="5"/>
  <c r="F237" i="3"/>
  <c r="G12" i="8"/>
  <c r="I12" i="8" s="1"/>
  <c r="F135" i="3"/>
  <c r="F192" i="3"/>
  <c r="F100" i="3"/>
  <c r="K10" i="5"/>
  <c r="F13" i="8"/>
  <c r="G13" i="8" s="1"/>
  <c r="I13" i="8" s="1"/>
  <c r="F17" i="8"/>
  <c r="G17" i="8" s="1"/>
  <c r="I17" i="8" s="1"/>
  <c r="F16" i="8"/>
  <c r="G16" i="8" s="1"/>
  <c r="I16" i="8" s="1"/>
  <c r="F12" i="3"/>
  <c r="F8" i="3" s="1"/>
  <c r="F14" i="8"/>
  <c r="G14" i="8" s="1"/>
  <c r="I14" i="8" s="1"/>
  <c r="F10" i="8"/>
  <c r="F9" i="8"/>
  <c r="G9" i="8" s="1"/>
  <c r="I9" i="8" s="1"/>
  <c r="K13" i="5"/>
  <c r="I15" i="8"/>
  <c r="F191" i="3" l="1"/>
  <c r="C2" i="12"/>
  <c r="G10" i="8"/>
  <c r="I10" i="8" s="1"/>
  <c r="I24" i="8" s="1"/>
  <c r="F133" i="3"/>
  <c r="F81" i="3"/>
  <c r="F80" i="3" l="1"/>
  <c r="F128" i="3"/>
  <c r="C4" i="12" s="1"/>
  <c r="C6" i="12"/>
  <c r="I18" i="8"/>
  <c r="C3" i="12" l="1"/>
  <c r="F226" i="3"/>
  <c r="F236" i="3"/>
  <c r="F235" i="3" s="1"/>
  <c r="I25" i="8"/>
  <c r="E8" i="6" l="1"/>
  <c r="E17" i="6" s="1"/>
  <c r="H17" i="6" s="1"/>
  <c r="F229" i="3"/>
  <c r="F231" i="3" s="1"/>
  <c r="C11" i="12" s="1"/>
  <c r="K40" i="5"/>
  <c r="L10" i="5" s="1"/>
  <c r="F228" i="3"/>
  <c r="C9" i="12" s="1"/>
  <c r="C13" i="12"/>
  <c r="K25" i="5"/>
  <c r="K23" i="5"/>
  <c r="J27" i="5" l="1"/>
  <c r="K27" i="5" s="1"/>
  <c r="O37" i="5"/>
  <c r="C10" i="12"/>
  <c r="K43" i="5"/>
  <c r="K45" i="5" s="1"/>
  <c r="J24" i="5"/>
  <c r="K24" i="5" s="1"/>
  <c r="K42" i="5"/>
  <c r="J21" i="5"/>
  <c r="K21" i="5" s="1"/>
  <c r="J22" i="5"/>
  <c r="K22" i="5" s="1"/>
  <c r="R37" i="5"/>
  <c r="S37" i="5" s="1"/>
  <c r="Q37" i="5"/>
  <c r="K18" i="5" l="1"/>
  <c r="H19" i="6"/>
  <c r="E7" i="6"/>
  <c r="L18" i="5" l="1"/>
  <c r="E16" i="6"/>
  <c r="H16" i="6" s="1"/>
  <c r="E18" i="6"/>
  <c r="H18" i="6" s="1"/>
  <c r="E15" i="6"/>
  <c r="H15" i="6" s="1"/>
  <c r="E14" i="6"/>
  <c r="H14" i="6" s="1"/>
  <c r="H13" i="6" l="1"/>
  <c r="H20" i="6" s="1"/>
  <c r="H22" i="6" s="1"/>
  <c r="H23" i="6" s="1"/>
  <c r="H24" i="6" s="1"/>
  <c r="K33" i="5" s="1"/>
  <c r="K32" i="5" s="1"/>
  <c r="H35" i="5" l="1"/>
  <c r="K35" i="5" s="1"/>
  <c r="L32" i="5"/>
  <c r="K36" i="5" l="1"/>
  <c r="K38" i="5"/>
  <c r="K37" i="5"/>
  <c r="J39" i="5"/>
  <c r="K39" i="5" s="1"/>
  <c r="K34" i="5" l="1"/>
  <c r="J41" i="5" s="1"/>
  <c r="F227" i="3" l="1"/>
  <c r="L34" i="5"/>
  <c r="K41" i="5" l="1"/>
  <c r="E230" i="3"/>
  <c r="J44" i="5"/>
  <c r="P37" i="5"/>
  <c r="K44" i="5" l="1"/>
  <c r="K46" i="5" s="1"/>
  <c r="K47" i="5" s="1"/>
  <c r="F230" i="3" l="1"/>
  <c r="F233" i="3" s="1"/>
  <c r="E240" i="3" s="1"/>
  <c r="C8" i="12"/>
  <c r="C12" i="12" s="1"/>
  <c r="C14" i="12" s="1"/>
  <c r="E14" i="12" l="1"/>
  <c r="E15" i="12" s="1"/>
  <c r="I7"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9" authorId="0" shapeId="0" xr:uid="{00000000-0006-0000-0500-000003000000}">
      <text>
        <r>
          <rPr>
            <sz val="11"/>
            <color theme="1"/>
            <rFont val="Calibri"/>
            <family val="2"/>
            <scheme val="minor"/>
          </rPr>
          <t>======
ID#AAAAVtRrX7A
MIGUEL ORLANDO BENAVIDES PENAGOS    (2022-03-14 19:48:04)
DIGITAR DURACION DEL PROYECTO SEGÚN CRONOGRAMA EN DIAS</t>
        </r>
      </text>
    </comment>
  </commentList>
  <extLst>
    <ext xmlns:r="http://schemas.openxmlformats.org/officeDocument/2006/relationships" uri="GoogleSheetsCustomDataVersion1">
      <go:sheetsCustomData xmlns:go="http://customooxmlschemas.google.com/" r:id="rId1" roundtripDataSignature="AMtx7mjwXZqVFeJAs2AzbAfNleVxDPlyb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J13" authorId="0" shapeId="0" xr:uid="{00000000-0006-0000-0900-000001000000}">
      <text>
        <r>
          <rPr>
            <sz val="11"/>
            <color theme="1"/>
            <rFont val="Calibri"/>
            <family val="2"/>
            <scheme val="minor"/>
          </rPr>
          <t>======
ID#AAAAVtT0inw
MIGUEL ORLANDO BENAVIDES PENAGOS    (2022-03-14 19:48:04)
CANTIDAD DE MESES DEL PROYECTO SEGÚN CRONOGRAMA</t>
        </r>
      </text>
    </comment>
    <comment ref="J14" authorId="0" shapeId="0" xr:uid="{00000000-0006-0000-0900-000003000000}">
      <text>
        <r>
          <rPr>
            <sz val="11"/>
            <color theme="1"/>
            <rFont val="Calibri"/>
            <family val="2"/>
            <scheme val="minor"/>
          </rPr>
          <t>======
ID#AAAAVtRrX6c
MIGUEL ORLANDO BENAVIDES PENAGOS    (2022-03-14 19:48:04)
CANTIDAD DE MESES DEL PROYECTO SEGÚN CRONOGRAMA</t>
        </r>
      </text>
    </comment>
    <comment ref="J23" authorId="0" shapeId="0" xr:uid="{00000000-0006-0000-0900-000002000000}">
      <text>
        <r>
          <rPr>
            <sz val="11"/>
            <color theme="1"/>
            <rFont val="Calibri"/>
            <family val="2"/>
            <scheme val="minor"/>
          </rPr>
          <t>======
ID#AAAAVtT0ins
MIGUEL ORLANDO BENAVIDES PENAGOS    (2022-03-14 19:48:04)
CANTIDAD DE MESES DEL PROYECTO SEGÚN CRONOGRAMA</t>
        </r>
      </text>
    </comment>
  </commentList>
  <extLst>
    <ext xmlns:r="http://schemas.openxmlformats.org/officeDocument/2006/relationships" uri="GoogleSheetsCustomDataVersion1">
      <go:sheetsCustomData xmlns:go="http://customooxmlschemas.google.com/" r:id="rId1" roundtripDataSignature="AMtx7mgvAUVQxKMIqikzd5Cp2sm3P+/vh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G13" authorId="0" shapeId="0" xr:uid="{00000000-0006-0000-0A00-000003000000}">
      <text>
        <r>
          <rPr>
            <sz val="11"/>
            <color theme="1"/>
            <rFont val="Calibri"/>
            <family val="2"/>
            <scheme val="minor"/>
          </rPr>
          <t>======
ID#AAAAVtRrX7M
MIGUEL ORLANDO BENAVIDES PENAGOS    (2022-03-14 19:48:04)
CANTIDAD DE MESES DEL PROYECTO SEGÚN CRONOGRAMA</t>
        </r>
      </text>
    </comment>
    <comment ref="G14" authorId="0" shapeId="0" xr:uid="{00000000-0006-0000-0A00-000002000000}">
      <text>
        <r>
          <rPr>
            <sz val="11"/>
            <color theme="1"/>
            <rFont val="Calibri"/>
            <family val="2"/>
            <scheme val="minor"/>
          </rPr>
          <t>======
ID#AAAAVtRrX7U
MIGUEL ORLANDO BENAVIDES PENAGOS    (2022-03-14 19:48:04)
CANTIDAD DE MESES DEL PROYECTO SEGÚN CRONOGRAMA</t>
        </r>
      </text>
    </comment>
    <comment ref="G23" authorId="0" shapeId="0" xr:uid="{00000000-0006-0000-0A00-000001000000}">
      <text>
        <r>
          <rPr>
            <sz val="11"/>
            <color theme="1"/>
            <rFont val="Calibri"/>
            <family val="2"/>
            <scheme val="minor"/>
          </rPr>
          <t>======
ID#AAAAVtT0ink
MIGUEL ORLANDO BENAVIDES PENAGOS    (2022-03-14 19:48:04)
CANTIDAD DE MESES DEL PROYECTO SEGÚN CRONOGRAMA</t>
        </r>
      </text>
    </comment>
  </commentList>
  <extLst>
    <ext xmlns:r="http://schemas.openxmlformats.org/officeDocument/2006/relationships" uri="GoogleSheetsCustomDataVersion1">
      <go:sheetsCustomData xmlns:go="http://customooxmlschemas.google.com/" r:id="rId1" roundtripDataSignature="AMtx7mgRnHNWJEmVwS2JVavF37vxpM92ug=="/>
    </ext>
  </extLst>
</comments>
</file>

<file path=xl/sharedStrings.xml><?xml version="1.0" encoding="utf-8"?>
<sst xmlns="http://schemas.openxmlformats.org/spreadsheetml/2006/main" count="7521" uniqueCount="808">
  <si>
    <t>Km</t>
  </si>
  <si>
    <t>Kg</t>
  </si>
  <si>
    <t>ton / 164 KM</t>
  </si>
  <si>
    <t>Ton/Km</t>
  </si>
  <si>
    <t xml:space="preserve">Lancha </t>
  </si>
  <si>
    <t>Cambio de puerta de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epódica y hojuelas de aluminio tipo Rothoblaas o similar para exteriores con fy=1000 MPa de entrada fluvial exterior</t>
  </si>
  <si>
    <t>Suministro e instalacion de pilotes cilindrados  en madera tipo pátula, inmunizada bajo el sistema vacío presión, con sales CCA 16 kg/m3 tipo Osmose, bajo estándares de calidad que permitan dar garantía contra hongos, insectos perforadores y pudrición por 20 años) incluye tornillería rothoblaas y accesorios de instalación - Ø0,16m</t>
  </si>
  <si>
    <t>Suministro e instalacion de pilotes cilindrados  en madera tipo pátula, inmunizada bajo el sistema vacío presión, con sales CCA 16 kg/m3 tipo Osmose, bajo estándares de calidad que permitan dar garantía contra hongos, insectos perforadores y pudrición por 20 años) incluye tornillería rothoblaas y accesorios de instalación - Ø0,20m</t>
  </si>
  <si>
    <t>Ensamble sumininistro e instalacion de zapatas madera tipo pátula, inmunizada bajo el sistema vacío presión, con sales CCA 16 kg/m3 tipo Osmose, bajo estándares de calidad que permitan dar garantía contra hongos, insectos perforadores y pudrición por 20 años) incluye tornillería rothoblaas y accesorios de instalación - 0,67m 0,48m x 0,2m</t>
  </si>
  <si>
    <t>Suministro e instalación de vigas V1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- 0,19x0,08.</t>
  </si>
  <si>
    <t>Suministro e instalación de vigas V3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- 0,19x0,04.</t>
  </si>
  <si>
    <t>Suministro e instalación de vigas V5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- 0,14x0,04.</t>
  </si>
  <si>
    <t>Suministro e instalación de vigas V7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0,08x0,04.</t>
  </si>
  <si>
    <t>Suministro e instalación de vigas gualderas madera tipo pátula, inmunizada bajo el sistema vacío presión, con sales CCA 9 kg/m3 tipo Osmose, bajo estándares de calidad que permitan dar garantía contra hongos, insectos perforadores y pudrición por 20 años)incluye tornillería rothoblaas y accesorios de instalación 0,19x0,04.</t>
  </si>
  <si>
    <t>Suministro e instalacion de tablilla piso dilatada 0,01m entre listones en madera tipo pátula, inmunizada bajo el sistema vacío presión, con sales CCA 9 kg/m3 tipo Osmose, bajo estándares de calidad que permitan dar garantía contra hongos, insectos perforadores y pudrición por 20 años) incluye tornillería rothoblaas y accesorios de instalación Similar al existente - 0,018x0,08x3 m.</t>
  </si>
  <si>
    <t>Suministro e instalación de huella de seccion rectangular para escaleras en madera tipo pátula, inmunizada bajo el sistema vacío presión, con sales CCA9 kg/m3 tipo Osmose, bajo estándares de calidad que permitan dar garantía contra hongos, insectos perforadores y pudrición por 20 años)incluye tornillería rothoblaas y accesorios de instalación - 1,2x0,30x0,04m.</t>
  </si>
  <si>
    <t>Suministro e instalación de bocel de seccion triangular para remates de piso en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- 0,04x0,08m.</t>
  </si>
  <si>
    <t>Suministro e instalación de prefabricado en concretro tipo sardinel Ref: A-10 o equivalente - 0,50x0,20x0,80</t>
  </si>
  <si>
    <t>Suministro e instalación de poyo de seccion rectangular para instalaciones de piso en madera tipo pátula, inmunizada bajo el sistema vacío presión, con sales CCA 9 kg/m3 tipo Osmose, bajo estándares de calidad que permitan dar garantía contra hongos, insectos perforadores y pudrición por 20 años)incluye tornillería rothoblaas y accesorios de instalación - 0,08x0,04.</t>
  </si>
  <si>
    <t>Suministro e instalación de Largueros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- 0,08x0,08x2,26 m.</t>
  </si>
  <si>
    <t>Suministro e Instalación de Largueros Subestructura de panel) madera tipo pátula, inmunizada bajo el sistema vacío presión, con sales CCA 9 kg/m3 tipo Osmose, bajo estándares de calidad que permitan dar garantía contra hongos, insectos perforadores y pudrición por 20 años) incluye tornillería rothoblaas y accesorios de instalación - 0,04x0,08m</t>
  </si>
  <si>
    <t>Suministro e Instalación de Largueros (columnas compuestas) madera tipo pátula, inmunizada bajo el sistema vacío presión, con sales CCA 9 kg/m3 tipo Osmose, bajo estándares de calidad que permitan dar garantía contra hongos, insectos perforadores y pudrición por 20 años) incluye tornillería rothoblaas y accesorios de instalación -0,04x0,14m</t>
  </si>
  <si>
    <t>Suministro e Instalación de Largueros columnas compuestas) madera tipo pátula, inmunizada bajo el sistema vacío presión, con sales CCA 9 kg/m3 tipo Osmose, bajo estándares de calidad que permitan dar garantía contra hongos, insectos perforadores y pudrición por 20 años) incluye tornillería rothoblaas y accesorios de instalación - 0,08x0,08m</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</si>
  <si>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 incluye tornillería rothoblaas y accesorios de instalación - 0,04x0,04m</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</si>
  <si>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años)incluye tornillería rothoblaas y accesorios de instalación - 0,19x0,04.</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</si>
  <si>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años)incluye tornillería rothoblaas y accesorios de instalación - 0,14x0,04.</t>
  </si>
  <si>
    <t>Suministro e instalación de largueros (vigas aereas) madera tipo pátula, inmunizada bajo el sistema vacío presión, con sales CCA 9 kg/m3 tipo Osmose, bajo estándares de calidad que permitan dar garantía contra hongos, insectos perforadores y pudrición por 20 años)incluye tornillería rothoblaas y accesorios de instalación - 0,14x0,04.</t>
  </si>
  <si>
    <t>Suministro e Instalación de Tablilla Parte intermedia 9cmx2cm. madera tipo pátula, inmunizada bajo el sistema vacío presión, con sales CCA 9 kg/m3 tipo Osmose, bajo estándares de calidad que permitan dar garantía contra hongos, insectos perforadores y pudrición por 20 años) - 9cmx2cm</t>
  </si>
  <si>
    <t>Suministro e Instalación de Tablilla Parte superior e inferior 4cmx2cm. madera tipo pátula, inmunizada bajo el sistema vacío presión, con sales CCA 9 kg/m3 tipo Osmose, bajo estándares de calidad que permitan dar garantía contra hongos, insectos perforadores y pudrición por 20 años) - 4cmx2cm</t>
  </si>
  <si>
    <t>Suministro e instalación de vigas V9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- 0,04x0,19</t>
  </si>
  <si>
    <t>Suministro e instalación de vigas V3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- 0,04x0,14.</t>
  </si>
  <si>
    <t>Suministro e instalación de pies de amigo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-0,04x0,14.</t>
  </si>
  <si>
    <t>Suministro e instalación de la red sanitaria incluyendo accesorios de acuerdo a las especificaciones técnicas del plano - ubicación general</t>
  </si>
  <si>
    <t>un</t>
  </si>
  <si>
    <t>Suministro e instalación de la red hidráulica incluyendo accesorios de acuerdo a las especificaciones técnicas del plano - - ubicación general</t>
  </si>
  <si>
    <t>Suministro e instalación de Puerta P-2 abatible y marco en madera inmunizada, con la forma y dimensiones especificadas para las carpinterias del proyecto, de acuerdo a lo señalado en los Planos Arquitectónicos y en los Planos , Incluye elementos de fijación. - 0,69*2,0</t>
  </si>
  <si>
    <t>Suministro e instalación de sistema de puesta a tierra con una varilla Cu - Cu 5/8"x8', incluye cableado Cu N. 10 AWG, conector en cobre, tubería PVC y conexión. Con normatividad vigente (RETIE). - ubicación general</t>
  </si>
  <si>
    <t>Adecuación Baños secos</t>
  </si>
  <si>
    <t>Suministro e instalación de la red sanitaria</t>
  </si>
  <si>
    <t>Suministro e instalación de la red hidráulica</t>
  </si>
  <si>
    <t>PARQUES NATURALES DE COLOMBIA</t>
  </si>
  <si>
    <t>MUROS EN MADERA SERYE</t>
  </si>
  <si>
    <t>PRESUPUESTO GENERAL DETALLADO POR CAPÍTULOS.</t>
  </si>
  <si>
    <t>ÍTEM</t>
  </si>
  <si>
    <t>DESCRIPCIÓN</t>
  </si>
  <si>
    <t>UND</t>
  </si>
  <si>
    <t>CANTIDAD</t>
  </si>
  <si>
    <t>Vr. UNIT</t>
  </si>
  <si>
    <t>Vr. PARCIAL</t>
  </si>
  <si>
    <t>MADERA INMUNIZADA POR ML 9 CCA  KG/MT3</t>
  </si>
  <si>
    <t>SUMINISTRO, INSTALACION Y TRANSPORTES DE LISTON DE MADERA 2 cm X 2 cm CCA 9 KG/MT3</t>
  </si>
  <si>
    <t xml:space="preserve">ml </t>
  </si>
  <si>
    <t>SUMINISTRO, INSTALACION Y TRANSPORTES DE LISTON DE MADERA 2 cm X 4 cm CCA 9 KG/MT3</t>
  </si>
  <si>
    <t>SUMINISTRO, INSTALACION Y TRANSPORTES DE LISTON DE MADERA 2 cm X 9 cm CCA 9 KG/MT3</t>
  </si>
  <si>
    <t>SUMINISTRO, INSTALACION Y TRANSPORTES DE LISTON DE MADERA 2 cm X 14 cm CCA 9 KG/MT3</t>
  </si>
  <si>
    <t>SUMINISTRO, INSTALACION Y TRANSPORTES DE LISTON DE MADERA 4 cm X 9 cm CCA 9 KG/MT3</t>
  </si>
  <si>
    <t>SUMINISTRO, INSTALACION Y TRANSPORTES DE LISTON DE MADERA 4 cm X 14 cm CCA 9 KG/MT3</t>
  </si>
  <si>
    <t>SUMINISTRO, INSTALACION Y TRANSPORTES DE LISTON DE MADERA 9 cm X 9 cm CCA 9 KG/MT3</t>
  </si>
  <si>
    <t>SUMINISTRO, INSTALACION Y TRANSPORTES DE LISTON DE MADERA 9 cm X 14 cm CCA 9 KG/MT3</t>
  </si>
  <si>
    <t>SUMINISTRO, INSTALACION Y TRANSPORTES DE Tablilla piso 1,8x8 x m2 CCA 9 KG/MT3</t>
  </si>
  <si>
    <t>m2</t>
  </si>
  <si>
    <t>SUMINISTRO, INSTALACION Y TRANSPORTES DE Tablilla techo 1x8 x m2 CCA 9 KG/MT3</t>
  </si>
  <si>
    <t>SUMINISTRO, INSTALACION Y TRANSPORTES DE Tablilla forro 1,6x8 x m2 CCA 9 KG/MT3</t>
  </si>
  <si>
    <t>SUMINISTRO, INSTALACION Y TRANSPORTES DE ALFARDAS  9 cm CCA 9 KG/MT5</t>
  </si>
  <si>
    <t>SUMINISTRO, INSTALACION Y TRANSPORTES DE ALFARDAS 10 cm CCA 9 KG/MT6</t>
  </si>
  <si>
    <t>SUMINISTRO, INSTALACION Y TRANSPORTES DE ALFARDAS 14,5 cm CCA 9 KG/MT8</t>
  </si>
  <si>
    <t>MADERA INMUNIZADA POR ML 16 CCA  KG/MT3</t>
  </si>
  <si>
    <t>SUMINISTRO, INSTALACION Y TRANSPORTES DE LISTON DE MADERA 2 cm X 2 cm CCA 16 KG/MT3</t>
  </si>
  <si>
    <t>SUMINISTRO, INSTALACION Y TRANSPORTES DE LISTON DE MADERA 2 cm X 4 cm CCA 16 KG/MT3</t>
  </si>
  <si>
    <t>SUMINISTRO, INSTALACION Y TRANSPORTES DE LISTON DE MADERA 2 cm X 9 cm CCA 16 KG/MT3</t>
  </si>
  <si>
    <t>SUMINISTRO, INSTALACION Y TRANSPORTES DE LISTON DE MADERA 2 cm X 14 cm CCA 16 KG/MT3</t>
  </si>
  <si>
    <t>SUMINISTRO, INSTALACION Y TRANSPORTES DE LISTON DE MADERA 4 cm X 9 cm CCA 16 KG/MT3</t>
  </si>
  <si>
    <t>SUMINISTRO, INSTALACION Y TRANSPORTES DE LISTON DE MADERA 4 cm X 14 cm CCA 16 KG/MT3</t>
  </si>
  <si>
    <t>SUMINISTRO, INSTALACION Y TRANSPORTES DE LISTON DE MADERA 9 cm X 9 cm CCA 16 KG/MT3</t>
  </si>
  <si>
    <t>SUMINISTRO, INSTALACION Y TRANSPORTES DE LISTON DE MADERA 9 cm X 14 cm CCA 16 KG/MT3</t>
  </si>
  <si>
    <t>SUMINISTRO, INSTALACION Y TRANSPORTES DE Tablilla piso 1,8x8 x m2 CCA 16 KG/MT3</t>
  </si>
  <si>
    <t>SUMINISTRO, INSTALACION Y TRANSPORTES DE Tablilla techo 1x8 x m2 CCA 16 KG/MT3</t>
  </si>
  <si>
    <t>SUMINISTRO, INSTALACION Y TRANSPORTES DE Tablilla forro 1,6x8 x m2 CCA 16 KG/MT3</t>
  </si>
  <si>
    <t>SUMINISTRO, INSTALACION Y TRANSPORTES DE ALFARDAS x 9 cm CCA 16 KG/MT5</t>
  </si>
  <si>
    <t>SUMINISTRO, INSTALACION Y TRANSPORTES DE ALFARDAS x 10 cm CCA 16 KG/MT6</t>
  </si>
  <si>
    <t>SUMINISTRO, INSTALACION Y TRANSPORTES DE ALFARDAS x 14,5 cm CCA 16 KG/MT8</t>
  </si>
  <si>
    <t xml:space="preserve">De acuerdo al analisis de precios unitarios </t>
  </si>
  <si>
    <t>https://www.laferreteriagravina.com/alquiler-de-herramientas</t>
  </si>
  <si>
    <t>312 5071086</t>
  </si>
  <si>
    <t xml:space="preserve">DESCRIPCIÓN </t>
  </si>
  <si>
    <t xml:space="preserve">UNIDAD </t>
  </si>
  <si>
    <t xml:space="preserve">CANTIDAD </t>
  </si>
  <si>
    <t xml:space="preserve">VALOR UNITARIO </t>
  </si>
  <si>
    <t xml:space="preserve">VALOR TOTAL </t>
  </si>
  <si>
    <t>PRELIMINARES</t>
  </si>
  <si>
    <t>m²</t>
  </si>
  <si>
    <t xml:space="preserve">CIMENTACIÓN Y ESTRUCTURA </t>
  </si>
  <si>
    <t>m³</t>
  </si>
  <si>
    <t>ml</t>
  </si>
  <si>
    <t xml:space="preserve">CUBIERTA </t>
  </si>
  <si>
    <t>Suministro e instalación de teja termoacústica tipo sándwich Metecno Glamet Techmet A42-P1000-G4 o similar de espesor 30 mm, calibre 26, color a convenir con el AP. Incluye accesorios (cumbrera, limatesa, limahoya, borde perimetral, encuentro frontal de faldón con paramento vertical, encuentro lateral de faldón con paramento vertical, etc.). Incluye accesorios de instalación y sellante.</t>
  </si>
  <si>
    <t>REDES HIDROSANITARIAS</t>
  </si>
  <si>
    <t>APARATOS SANITARIOS</t>
  </si>
  <si>
    <t>Suministro e instalación de sanitario tipo institucional color blanco incluye todos los accesorios para su correcto funcionamiento.</t>
  </si>
  <si>
    <t>REDES ELÉCTRICAS</t>
  </si>
  <si>
    <t>Suministro e instalación de tablero de breakers monofásico de 8 circuitos, con puerta, incluye instalación de tablero, barrajes, breakers y todos los accesorios para su correcto funcionamiento y marcación respectiva. Con normatividad vigente (RETIE).</t>
  </si>
  <si>
    <t>Suministro e instalación de acometida trifásica 8(F) + 8(N)+10(T) para alimentación tablero normal, incluye instalación de cableado, tubería EMT o PVC SCH40 según se requiera, cajas de paso hasta el tablero de protecciones , pases a placa y todos los accesorios para su correcto funcionamiento. Con normatividad vigente (RETIE).</t>
  </si>
  <si>
    <t>gl</t>
  </si>
  <si>
    <t>SISTEMA FOTOVOLTAICO RADIOCOMUNICACIONES</t>
  </si>
  <si>
    <t>TOTAL COSTOS DIRECTOS (Mano de obra + Materiales)</t>
  </si>
  <si>
    <t>ADMINISTRACIÓN (A)</t>
  </si>
  <si>
    <t>IMPREVISTOS (I)</t>
  </si>
  <si>
    <t>UTILIDAD (U)</t>
  </si>
  <si>
    <t>TOTAL COSTOS INDIRECTOS (A+I+U)</t>
  </si>
  <si>
    <t>IVA sobre utilidad</t>
  </si>
  <si>
    <t>TRANSPORTE</t>
  </si>
  <si>
    <t>Ton</t>
  </si>
  <si>
    <t>Grupo de Infraestructura PNN</t>
  </si>
  <si>
    <t xml:space="preserve">Precio </t>
  </si>
  <si>
    <t xml:space="preserve">Localización y replanteo </t>
  </si>
  <si>
    <r>
      <rPr>
        <i/>
        <sz val="10"/>
        <color theme="1"/>
        <rFont val="Calibri"/>
        <family val="2"/>
      </rPr>
      <t>m</t>
    </r>
    <r>
      <rPr>
        <i/>
        <vertAlign val="superscript"/>
        <sz val="10"/>
        <color theme="1"/>
        <rFont val="Calibri"/>
        <family val="2"/>
      </rPr>
      <t>2</t>
    </r>
  </si>
  <si>
    <t xml:space="preserve">Construdata </t>
  </si>
  <si>
    <t>Suministro e instalación de cerramiento preliminar en polisombra o tela verde para cerramiento, h= 2 m y varas de corredor c/2.5 m incluye concreto f'c=2500 psi (14.1 MPa) para traque de varas</t>
  </si>
  <si>
    <t>Excavación manual para pedestales de cimentación.</t>
  </si>
  <si>
    <r>
      <rPr>
        <i/>
        <sz val="10"/>
        <color theme="1"/>
        <rFont val="Calibri"/>
        <family val="2"/>
      </rPr>
      <t>m</t>
    </r>
    <r>
      <rPr>
        <i/>
        <vertAlign val="superscript"/>
        <sz val="10"/>
        <color theme="1"/>
        <rFont val="Calibri"/>
        <family val="2"/>
      </rPr>
      <t>3</t>
    </r>
  </si>
  <si>
    <t>Demolición de muros en mampostería, escalera en concreto y lavadero. Incluye disposición final.</t>
  </si>
  <si>
    <t>Demolición de pañetes existentes hasta 3cm de espesor.</t>
  </si>
  <si>
    <t>IDRD</t>
  </si>
  <si>
    <t>Demolición de placa en concreto, e: 12cm para zapatas y vigas de cimentación.</t>
  </si>
  <si>
    <t>Escarificación de muros existentes.</t>
  </si>
  <si>
    <t>Excavación manual para zapatas y vigas de cimentación.</t>
  </si>
  <si>
    <t>Demolición de muros en mampostería.</t>
  </si>
  <si>
    <r>
      <rPr>
        <i/>
        <sz val="10"/>
        <color theme="1"/>
        <rFont val="Calibri"/>
        <family val="2"/>
      </rPr>
      <t>m</t>
    </r>
    <r>
      <rPr>
        <i/>
        <vertAlign val="superscript"/>
        <sz val="10"/>
        <color theme="1"/>
        <rFont val="Calibri"/>
        <family val="2"/>
      </rPr>
      <t>2</t>
    </r>
  </si>
  <si>
    <t>Desmonte de ventanería existente. Incluye disposición final.</t>
  </si>
  <si>
    <t>Desmonte de aparatos (sanitarios, lavamanos, orinales).</t>
  </si>
  <si>
    <t>Desmonte de puertas.</t>
  </si>
  <si>
    <t>Desmonte punto hidrosanitario. Incluye sellado.</t>
  </si>
  <si>
    <t>Desmonte de red eléctrica existente (puntos, tubería, iluminación). Incluye disposición final.</t>
  </si>
  <si>
    <t>findeter</t>
  </si>
  <si>
    <t xml:space="preserve">5 puntos </t>
  </si>
  <si>
    <t xml:space="preserve">50 ml </t>
  </si>
  <si>
    <t>Desmonte de teja de asbestocemento. Incluye embalaje de acuerdo a protocolo técnico de disposición.</t>
  </si>
  <si>
    <r>
      <rPr>
        <i/>
        <sz val="10"/>
        <color theme="1"/>
        <rFont val="Calibri"/>
        <family val="2"/>
      </rPr>
      <t>m</t>
    </r>
    <r>
      <rPr>
        <i/>
        <vertAlign val="superscript"/>
        <sz val="10"/>
        <color theme="1"/>
        <rFont val="Calibri"/>
        <family val="2"/>
      </rPr>
      <t>2</t>
    </r>
  </si>
  <si>
    <t>PNN</t>
  </si>
  <si>
    <t>Suministro e instalación de concreto ciclópeo, 40% rajón o piedra bola, 60% concreto f'c=17.5 Mpa, con dimensiones de 0,40m x 0,40m x 0,25m.</t>
  </si>
  <si>
    <t>Suministro e instalación de cimentación conformada por pedestales con dimensiones de 0,40m x 0,40m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</si>
  <si>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columnas sección 10x10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</si>
  <si>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SERYE</t>
  </si>
  <si>
    <t>9x9</t>
  </si>
  <si>
    <t xml:space="preserve">valor de instalación y trasnporte es dos veces </t>
  </si>
  <si>
    <t>Suministro e instalación de viga 10x8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</si>
  <si>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diámetro 10cm</t>
  </si>
  <si>
    <t>Suministro e instalación de viga 10x4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</si>
  <si>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9x4</t>
  </si>
  <si>
    <t>Suministro e instalación de viguetas 10x4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</si>
  <si>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 xml:space="preserve">Suministro e instalación de tablilla de piso sección 1,7x10 cm en madera inmunizada bajo el sistema vacío presión, con sales CCA 9.6 kg/m3 tipo Osmose, bajo estándares de calidad que permitan dar garantía contra hongos, insectos perforadores y pudrición por 20 años. </t>
  </si>
  <si>
    <t>1.8 x 8 m2</t>
  </si>
  <si>
    <t xml:space="preserve">Suministro e instalación de tablilla de muro sección 2x10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</si>
  <si>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1.6 x 8 m2</t>
  </si>
  <si>
    <t xml:space="preserve">Suministro e instalación de viga 8X8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</si>
  <si>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 xml:space="preserve">Suministro e instalación de correa sección 8x8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</si>
  <si>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Suministro e instalación de tornillo VGZEVO7180 tipo Rothoblaas o similar, de acero al carbono con recubrimiento C4 COATING multicapa 20 μm y tratamiento superficial a base de resina epóxica y hojuelas de aluminio para exteriores (fy=1000 mpa)</t>
  </si>
  <si>
    <t>Suministro e instalación de tornillo KKT550A4 (2 unidades por unión tablilla-viguetas) tipo Rothoblaas o similar, de acero inoxidable AISI316 A4</t>
  </si>
  <si>
    <t>Accesorios de acero inoxidable AISI 316-A4 de diámetro 1/2" (barras roscadas ASTM A193 Gr B8M Clase 2, tuercas ASTM A194 Gr 8M, arandelas SS316, resistencia nominal a la fluencia del acero inoxidable, fy=220.0 MPa). [PLATINAS, BARRAS ROSCADAS, REFUERZOS ETC.</t>
  </si>
  <si>
    <t>kg</t>
  </si>
  <si>
    <t>Suministro e instalación de vigas con dimensiones 0,20m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</si>
  <si>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Suministro e instalación de columnas sección 12x12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</si>
  <si>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diametro 14.5</t>
  </si>
  <si>
    <t xml:space="preserve">Suministro e instalación de viga 19x4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</si>
  <si>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2 piezas de 9x4</t>
  </si>
  <si>
    <t xml:space="preserve">Suministro e instalación de viga 19x12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</si>
  <si>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3 piezas de 19x4</t>
  </si>
  <si>
    <t xml:space="preserve">Suministro e instalación de viga 19x8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</si>
  <si>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2 piezas 9x9</t>
  </si>
  <si>
    <t xml:space="preserve">Suministro e instalación de viga 14x8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</si>
  <si>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14x9</t>
  </si>
  <si>
    <t>Suministro e instalación de viga sección 8x8 cm en madera inmunizada bajo el sistema vacío presión, con sales CCA 9.6 kg/m3 tipo Osmose, bajo estándares de calidad que permitan dar garantía contra hongos, insectos perforadores y pudrición por 20 años.</t>
  </si>
  <si>
    <t>Suministro e instalación de concreto ciclópeo, 40% rajón o piedra bola, 60% concreto f'c=17.5 Mpa, con dimensiones de 0,60m x 0,60m x 0,25m.</t>
  </si>
  <si>
    <t>Suministro e instalación de cimentación conformada por zapatas con dimensiones 0,60m x 0,60m x 0,30 m y pedestales con dimensiones 0,45m x 0,45m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</si>
  <si>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vigas con dimensiones 0,25m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</si>
  <si>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Fundida de placa en concreto f'c=3000psi y malla electrosoldada de 5,5mm en ambos sentidos cada 15cm. Espesor de placa 10cm. </t>
  </si>
  <si>
    <t xml:space="preserve">Fundida de placa en concreto pulido f'c=3000psi y malla electrosoldada de 5,5mm en ambos sentidos cada 15cm. Espesor de placa 10cm. </t>
  </si>
  <si>
    <t>Suministro e instalación Polietileno Negro densidad N°.6 Ancho de 8m.</t>
  </si>
  <si>
    <t xml:space="preserve">Suministro e instalación de columnas sección 16x16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</si>
  <si>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 piezas de diametro 9</t>
  </si>
  <si>
    <t xml:space="preserve">Suministro e instalación de viga sección 19x8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</si>
  <si>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Suministro e instalación de cimentación conformada por zapatas con dimensiones 0,60m x 0,60m x 0,40 m y pedestales con dimensiones 0,3m x 0,3m x 0,3m,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</si>
  <si>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y aplicación de mortero de nivelación.</t>
  </si>
  <si>
    <t>Suministro e instalación de enchape cerámico institucional para  piso en zonas húmedas (baterías sanitarias, vestier), incluye pegante para cerámica y boquilla .</t>
  </si>
  <si>
    <t>Suministro e instalación de guarda escoba cerámico institucional.</t>
  </si>
  <si>
    <t>Suministro e instalación de columnas,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</si>
  <si>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y construcción de muros en mampostería bloque No. 5.</t>
  </si>
  <si>
    <t>Suministro y aplicación de pañete liso 1:3 sobre muros.</t>
  </si>
  <si>
    <t>Suministro y aplicación de pañete liso 1:3 sobre muros..</t>
  </si>
  <si>
    <t>70% de pañete</t>
  </si>
  <si>
    <t>Suministro y aplicación de estuco sobre pañete.</t>
  </si>
  <si>
    <t>Suministro y aplicación de estuco sobre pañete..</t>
  </si>
  <si>
    <t>70% de estuco</t>
  </si>
  <si>
    <t>Suministro y aplicación de pintura acrílica viniltex baños y cocinas para muros (3 manos).</t>
  </si>
  <si>
    <t>generador de precios</t>
  </si>
  <si>
    <t>70% de pintura</t>
  </si>
  <si>
    <t>Suministro e instalación de enchape cerámico institucional para muros en zonas húmedas (ducha), incluye pegante para cerámica y boquilla.</t>
  </si>
  <si>
    <t xml:space="preserve">Suministro e instalación de viga 4x13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</si>
  <si>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4x14</t>
  </si>
  <si>
    <t>Suministro e instalación de concreto ciclópeo, 40% rajón o piedra bola, 60% concreto f'c=17.5 Mpa. con dimensiones de 0,40m x 0,40m x 0,25m.</t>
  </si>
  <si>
    <t>Suministro e instalación de cimentación conformada por pedestales con dimensiones 0,40m x 0,40m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</si>
  <si>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tablilla de piso sección 1,7x10 cm en madera inmunizada (según detalle) bajo el sistema vacío presión, con sales CCA 9.6 kg/m3 tipo Osmose, bajo estándares de calidad que permitan dar garantía contra hongos, insectos perforadores y pudrición por 20 años.</t>
  </si>
  <si>
    <t xml:space="preserve">Suministro e instalación de viga 25x25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</si>
  <si>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 de diametro 14.5</t>
  </si>
  <si>
    <t>Concreto para encamisado de muros existentes. concreto f'c=3000 psi (21.1 MPa), espesor 5cm.</t>
  </si>
  <si>
    <t>Anclaje epóxico para encamisado de muros existentes. L=90mm con barra de acero #3 fy 420 MPa (4200kg/cm2, 60000 psi). Longitud total 170mm c/0,40 m en ambos sentidos.</t>
  </si>
  <si>
    <t>alejandro</t>
  </si>
  <si>
    <t>Anclaje epóxico para conexión de encamisado de muros a placa existente. L=100mm con barra de acero #3 fy 420 MPa (4200kg/cm2, 60000 psi). Longitud total 550mm c/0,30 m.</t>
  </si>
  <si>
    <t>AREA DE LA MALLA</t>
  </si>
  <si>
    <t>PESO UNIDAD DE MALLA Kg</t>
  </si>
  <si>
    <t>peso/m2</t>
  </si>
  <si>
    <t>Malla electrosoldada de acero fy 485MPa (4900kg/cm2, 7000 psi) d=6,5mm c/0,15m en ambos sentidos.</t>
  </si>
  <si>
    <t>Suministro e instalación de concreto ciclópeo, 40% rajón o piedra bola, 60% concreto f'c=17.5 Mpa. con dimensiones de 0,60m x 0,60m x 0,30m.</t>
  </si>
  <si>
    <t>Suministro e instalación de cimentación conformada por zapatas con dimensiones 0,60m x 0,60m x 0,4m,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</si>
  <si>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Construcción de escalera en concreto reforzado.</t>
  </si>
  <si>
    <t>1 m3</t>
  </si>
  <si>
    <t>escalera de 0,5 m3</t>
  </si>
  <si>
    <t>Suministro transporte y construcción de muros en mampostería bloque No. 5.</t>
  </si>
  <si>
    <t>Anclaje epóxico para confinamiento de mampostería. L=200mm con barra de acero #4 fy 420 MPa (4200kg/cm2, 60000 psi)</t>
  </si>
  <si>
    <t>Suministro e instalación de columnetas con dimensiones 0,15m x 0,20m x 2,6m,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</si>
  <si>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puerta metálica de acceso a habitaciones de hombres y mujeres (incluye todos los accesorios ) dim= a=900*h2200 mm).</t>
  </si>
  <si>
    <t>M/2</t>
  </si>
  <si>
    <t>Suministro e instalación de ventanas proyectantes  en aluminio con vidrio templado de 5mm opalizado (dim= a=1250*h1000 mm).</t>
  </si>
  <si>
    <t>Suministro e instalación de ventanas proyectantes  en aluminio con vidrio templado de 5mm opalizado (dim= a=1550*h1000 mm).</t>
  </si>
  <si>
    <t>Suministro e instalación de enchape cerámico institucional para piso en zonas húmedas (baterías sanitarias, vestier), incluye pegante para cerámica y boquilla.</t>
  </si>
  <si>
    <t>Suministro e instalación de enchape cerámico institucional para piso en zonas húmedas, incluye pegante para cerámica y boquilla.</t>
  </si>
  <si>
    <t>Suministro e instalación de enchape cerámico institucional para  muros en zonas húmedas, incluye pegante para cerámica y boquilla.</t>
  </si>
  <si>
    <t>Suministro e instalación de enchape cerámico institucional para piso en zonas húmedas (ducha), incluye pegante para cerámica y boquilla.</t>
  </si>
  <si>
    <t>Suministro e instalación de columnetas con dimensiones 0,15m x 0,25m x 2,1m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</si>
  <si>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viga cinta con dimensiones 0,15m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</si>
  <si>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transporte y aplicación de mortero de nivelación.</t>
  </si>
  <si>
    <t>Suministro e instalación de cocina integral 2,40m con mueble superior. Incluye mesón y poceta en acero inoxidable.</t>
  </si>
  <si>
    <t>telefono</t>
  </si>
  <si>
    <t>Suministro e instalación de estufa a gas en acero inoxidable. Incluye accesorios para su correcto funcionamiento.</t>
  </si>
  <si>
    <r>
      <rPr>
        <i/>
        <sz val="10"/>
        <color theme="1"/>
        <rFont val="Calibri"/>
        <family val="2"/>
      </rPr>
      <t>m</t>
    </r>
    <r>
      <rPr>
        <i/>
        <vertAlign val="superscript"/>
        <sz val="10"/>
        <color theme="1"/>
        <rFont val="Calibri"/>
        <family val="2"/>
      </rPr>
      <t>2</t>
    </r>
  </si>
  <si>
    <t>PNN GORGONA + 20% de accesorios</t>
  </si>
  <si>
    <t>Suministro e instalación de lavamanos de empotrar tipo institucional color blanco incluye todos los accesorios para su correcto funcionamiento.</t>
  </si>
  <si>
    <t>Suministro e instalación de orinales tipo institucional color blanco incluye todos los accesorios para su correcto funcionamiento.</t>
  </si>
  <si>
    <t>suministro e instalación de sanitario tipo institucional para personas de movilidad reducida color blanco incluye todos los accesorios en acero inoxidable para su correcto funcionamiento.</t>
  </si>
  <si>
    <t>.Construdata + 70% de accesorios</t>
  </si>
  <si>
    <t>Suministro e instalación de lavamanos de empotrar tipo institucional para personas de movilidad reducida color blanco incluye todos los accesorios para su correcto funcionamiento.</t>
  </si>
  <si>
    <t>Suministro e instalación de ventanas proyectantes  en aluminio con vidrio templado de 5mm opalizado (dim= a=2330*h300 mm).</t>
  </si>
  <si>
    <t>Suministro e instalación de espejo 4mm cristal pulido, biselado y flotado.</t>
  </si>
  <si>
    <t>Suministro e instalación de ventanas proyectantes  en aluminio con vidrio templado de 5mm opalizado (dim= a=720*h300 mm).</t>
  </si>
  <si>
    <t>Suministro e instalación de puertas metálica de acceso a baño de hombres y mujeres (incluye todos los accesorios ) dim= a=1000*h2720 mm).</t>
  </si>
  <si>
    <t>Suministro e instalación de puertas metálica de acceso a baño de pmr (incluye todos los accesorios ) dim= a=1200*h2720 mm).</t>
  </si>
  <si>
    <t>Suministro e instalación divisiones de baño en acero inoxidable incluye  todos los accesorios para su correcto funcionamiento .</t>
  </si>
  <si>
    <t>Suministro, transporte  e instalación de mesón en acero inoxidable y mueble en aglomerado mdfh resistente a la humedad con resina melaminica y cantos termoplásticos (incluye herrajes), según diseño  l=2450mm.</t>
  </si>
  <si>
    <t>mueble</t>
  </si>
  <si>
    <t>acero inoxidable /m2</t>
  </si>
  <si>
    <t>Instalación de aparatos (sanitarios, lavamanos, orinales).</t>
  </si>
  <si>
    <t xml:space="preserve">instalación de sanitario sin sanitario ni brida </t>
  </si>
  <si>
    <t>Suministro e instalación de grifería para ducha.</t>
  </si>
  <si>
    <t>Suministro e instalación de ventanas proyectantes  en aluminio con vidrio templado de 5mm opalizado (dim= a=602*h500 mm).</t>
  </si>
  <si>
    <t>M2</t>
  </si>
  <si>
    <t>Suministro e instalación de ventanas proyectantes en aluminio con vidrio templado incoloro de 5mm  (dim= a=1350*h500 mm)</t>
  </si>
  <si>
    <t>Suministro e instalación de puerta metálica de acceso a baño  (incluye todos los accesorios para su correcto funcionamiento ) (dim= a=900*h1850 mm) color por definir.</t>
  </si>
  <si>
    <t>Suministro e instalación de puerta metálica de acceso a vestier (incluye todos los accesorios ).</t>
  </si>
  <si>
    <t>Suministro e instalación divisiones de baño en acero inoxidable modulo en en l, incluye puerta y todos los accesorios para su correcto funcionamiento.</t>
  </si>
  <si>
    <t>Suministro e instalación de división de vidrio templado de 8mm  batiente + fijo para baño  incluye  todos los accesorios y herrajes para su correcto  (dim= a=960*h1600 mm).</t>
  </si>
  <si>
    <t>suministro, transporte  e instalación de mesón en acero inoxidable y mueble en aglomerado mdfh resistente a la humedad con resina melaminica y cantos termoplásticos (incluye herrajes), según diseño.</t>
  </si>
  <si>
    <t>Suministro e instalación de columnetas con dimensiones 0,12m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</si>
  <si>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Analisis Construdata </t>
  </si>
  <si>
    <t xml:space="preserve">incluyendo anclaje </t>
  </si>
  <si>
    <t>Suministro e instalación de viga cinta con dimensiones 0,12m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</si>
  <si>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viga cinta con dimensiones 0,12m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</si>
  <si>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Anclaje epóxico para confinamiento de mampostería. L=200mm con barra de acero #4 fy 420 MPa (4200kg/cm2, 60000 psi). Longitud total 800mm</t>
  </si>
  <si>
    <t>PARQUES NACIONALES NATURALES DE COLOMBIA</t>
  </si>
  <si>
    <t>CÁLCULO DE ADMINISTRACIÓN, IMPREVISTOS Y UTILIDADES</t>
  </si>
  <si>
    <t>PROYECTO</t>
  </si>
  <si>
    <t>TIEMPO EN MESES</t>
  </si>
  <si>
    <t>DESCRIPCION</t>
  </si>
  <si>
    <t>CANTIDAD JORNADA</t>
  </si>
  <si>
    <t>% DEDICACION</t>
  </si>
  <si>
    <t>TIEMPO (MESES) / CANTIDAD</t>
  </si>
  <si>
    <t>ASIGNACION BASICA</t>
  </si>
  <si>
    <t>FACTOR PRESTACIONAL</t>
  </si>
  <si>
    <t>VALOR</t>
  </si>
  <si>
    <t>D</t>
  </si>
  <si>
    <t>N</t>
  </si>
  <si>
    <t>PERSONAL PROFESIONAL Y TECNICO ADMINISTRATIVO</t>
  </si>
  <si>
    <t>Director de obra</t>
  </si>
  <si>
    <t>Título de ingeniero Civil o Arquitecto. Experiencia general de de SEIS (06) años contados a partir de la expedición de la tarjeta profesional, y Experiencia especifica certificada de DOS (02) años como residente de obra de construcción, de los cuales deberá demostrar un (1) proyecto en ampliación y/o adecuación.</t>
  </si>
  <si>
    <t>Profesional hidrosanitario</t>
  </si>
  <si>
    <t>Ingeniero SISOMA</t>
  </si>
  <si>
    <t>OTROS COSTOS</t>
  </si>
  <si>
    <t>COSTOS</t>
  </si>
  <si>
    <t>UNIDAD</t>
  </si>
  <si>
    <t>VALOR UNITARIO</t>
  </si>
  <si>
    <t>TOTAL</t>
  </si>
  <si>
    <t>Campamento</t>
  </si>
  <si>
    <t>Und</t>
  </si>
  <si>
    <t>herramientas ofimáticas, planos, papeleria, impresiones</t>
  </si>
  <si>
    <t>Elementos de seguridad industrial  (botiquín, camilla rígida, extintores, señalización de obra, dotación personal profesional, técnico y obreros)</t>
  </si>
  <si>
    <t>Servicios Públicos Provisionales en Obra</t>
  </si>
  <si>
    <t>mes</t>
  </si>
  <si>
    <t>Equipos de Oficina en Obra (computadores y otros)</t>
  </si>
  <si>
    <t>Oficina Central</t>
  </si>
  <si>
    <t>Caja menor</t>
  </si>
  <si>
    <t>GASTOS LEGALES OBRA</t>
  </si>
  <si>
    <t>3.1</t>
  </si>
  <si>
    <t>Póliza obra</t>
  </si>
  <si>
    <t>IMPUESTOS</t>
  </si>
  <si>
    <t>Retención en la fuente</t>
  </si>
  <si>
    <t>Valor Gravable</t>
  </si>
  <si>
    <t>FONSECON</t>
  </si>
  <si>
    <t>Industria y comercio (10/1000 sobre el valor gravable del contrato).</t>
  </si>
  <si>
    <t xml:space="preserve"> </t>
  </si>
  <si>
    <t>4x1000</t>
  </si>
  <si>
    <t>Prounal</t>
  </si>
  <si>
    <t>TOTAL COSTOS DIRECTOS</t>
  </si>
  <si>
    <t>ADMINISTRACION (%)</t>
  </si>
  <si>
    <t>IMPREVISTOS (%)</t>
  </si>
  <si>
    <t>UTILIDAD (%)</t>
  </si>
  <si>
    <t>TOTAL AIU (%)</t>
  </si>
  <si>
    <t>IVA SOBRE LA UTILIDAD</t>
  </si>
  <si>
    <t>TOTAL COSTOS INDIRECTOS OBRA</t>
  </si>
  <si>
    <t>TOTAL OBRA</t>
  </si>
  <si>
    <t>UVT</t>
  </si>
  <si>
    <t xml:space="preserve"> Base gravable y tarifa. El sujeto pasivo deﬁnido en el artículo 6° de la presente ley pagará por las suscripciones de los contratosde obra pública y sus conexos en función de las siguientes bases y tarifas: </t>
  </si>
  <si>
    <t>Los contratos cuyo valor esté entre 1 y 1262,52 UVT pagarán el 0.5%.</t>
  </si>
  <si>
    <t xml:space="preserve"> Los contratos entre 1262,53 y 150120 UVT pagarán el 1%</t>
  </si>
  <si>
    <t xml:space="preserve"> los contratos mayores a 150120 UVT pagarán el 2%</t>
  </si>
  <si>
    <t>https://www.portafolio.co/economia/impuestos/uvt-para-2022-en-cuanto-lo-fijo-la-dian-y-para-que-es-usado-559127</t>
  </si>
  <si>
    <t>http://www.comunidadcontable.com/BancoNorma/uvt-vigente-para-2022.asp?CodSeccion=106#:~:text=La%20Direcci%C3%B3n%20de%20Impuestos%20y,1%C2%BA%20de%20enero%20del%202022.</t>
  </si>
  <si>
    <t>http://www.secretariasenado.gov.co/senado/basedoc/ley_1697_2013.html</t>
  </si>
  <si>
    <t>CÁLCULO DE APROXIMADO DE AMPAROS</t>
  </si>
  <si>
    <t>COSTO DE LA OBRA</t>
  </si>
  <si>
    <t>DIAS</t>
  </si>
  <si>
    <t>MESES</t>
  </si>
  <si>
    <t>VALOR ANTICIPO (20%)</t>
  </si>
  <si>
    <t>PLAZO DE EJECUCION EN DIAS</t>
  </si>
  <si>
    <t>AMPARO</t>
  </si>
  <si>
    <t>% AMPARO</t>
  </si>
  <si>
    <t xml:space="preserve">VALOR ASEGURADO </t>
  </si>
  <si>
    <t xml:space="preserve">TASA </t>
  </si>
  <si>
    <t># TOTAL EJECUCION</t>
  </si>
  <si>
    <t>VALOR PRIMA</t>
  </si>
  <si>
    <t>POLIZAS</t>
  </si>
  <si>
    <t>Cumplimiento</t>
  </si>
  <si>
    <t>Calidad y correcto funcionamiento de los Bienes suministrados</t>
  </si>
  <si>
    <t xml:space="preserve">Pago de salarios, prestaciones sociales, legales e indemnizaciones </t>
  </si>
  <si>
    <t>Buen manejo y correcta inversión del anticipo</t>
  </si>
  <si>
    <t>Estabilidad y calidad de la obra</t>
  </si>
  <si>
    <t>Responsabilidad civil Extracontractual</t>
  </si>
  <si>
    <t>300 salarios mínimos</t>
  </si>
  <si>
    <t>TOTAL GASTOS AMPAROS MINIMOS APROXIMADOS A SOLICITAR</t>
  </si>
  <si>
    <t xml:space="preserve">Gastos de expedición </t>
  </si>
  <si>
    <t>Subtotal</t>
  </si>
  <si>
    <t xml:space="preserve">IVA </t>
  </si>
  <si>
    <t xml:space="preserve">TOTAL GASTOS AMPAROS MINIMOS </t>
  </si>
  <si>
    <t xml:space="preserve">PROMEDIO </t>
  </si>
  <si>
    <t>Personal PROFESIONAL</t>
  </si>
  <si>
    <t>EXPERIENCIA MINIMA</t>
  </si>
  <si>
    <t xml:space="preserve">TIEMPO </t>
  </si>
  <si>
    <t xml:space="preserve">ESPERIENCIA ESPECIFICA </t>
  </si>
  <si>
    <t>TIEMPO</t>
  </si>
  <si>
    <t>PROFESIONAL ESPECIALIZADO</t>
  </si>
  <si>
    <t>Título Profesional de XXXX con postgrado en XXXXXX: 
Experiencia general certificada: de diez (10) años contados desde la expedición de la tarjeta profesional y</t>
  </si>
  <si>
    <t>Experiencia especifica relacionada con los servicios a contratar</t>
  </si>
  <si>
    <t>Experiencia especifica certificada: seis (6) años como XXXXX</t>
  </si>
  <si>
    <t>Título profesional de XXXX con postgrado en XXXXXX: 
Experiencia general: de seis (6) años contados a partir de la expedición de la tarjeta profesional, y</t>
  </si>
  <si>
    <r>
      <rPr>
        <b/>
        <sz val="11"/>
        <color theme="1"/>
        <rFont val="Calibri"/>
        <family val="2"/>
      </rPr>
      <t xml:space="preserve">DE 4 A </t>
    </r>
    <r>
      <rPr>
        <b/>
        <sz val="11"/>
        <color rgb="FFFF0000"/>
        <rFont val="Calibri"/>
        <family val="2"/>
      </rPr>
      <t>6</t>
    </r>
    <r>
      <rPr>
        <b/>
        <sz val="11"/>
        <color theme="1"/>
        <rFont val="Calibri"/>
        <family val="2"/>
      </rPr>
      <t xml:space="preserve"> AÑOS</t>
    </r>
  </si>
  <si>
    <t>4 años</t>
  </si>
  <si>
    <t>Experiencia especifica certificada: de cuatro (4) años como XXXXX</t>
  </si>
  <si>
    <t xml:space="preserve">PROFESIONAL </t>
  </si>
  <si>
    <t>Título profesional de XXXX 
Experiencia general: de seis (6) años contados a partir de la expedición de la tarjeta profesional, y</t>
  </si>
  <si>
    <r>
      <rPr>
        <b/>
        <sz val="11"/>
        <color theme="1"/>
        <rFont val="Calibri"/>
        <family val="2"/>
      </rPr>
      <t xml:space="preserve">DE 4 A </t>
    </r>
    <r>
      <rPr>
        <b/>
        <sz val="11"/>
        <color rgb="FFFF0000"/>
        <rFont val="Calibri"/>
        <family val="2"/>
      </rPr>
      <t xml:space="preserve">6 </t>
    </r>
    <r>
      <rPr>
        <b/>
        <sz val="11"/>
        <color theme="1"/>
        <rFont val="Calibri"/>
        <family val="2"/>
      </rPr>
      <t>AÑOS</t>
    </r>
  </si>
  <si>
    <t>Título Profesional de XXXX
Experiencia general: de cuatro (4) años contados a partir de la expedición de la tarjeta profesional, y</t>
  </si>
  <si>
    <r>
      <rPr>
        <b/>
        <sz val="11"/>
        <color theme="1"/>
        <rFont val="Calibri"/>
        <family val="2"/>
      </rPr>
      <t xml:space="preserve">DE 3 A </t>
    </r>
    <r>
      <rPr>
        <b/>
        <sz val="11"/>
        <color rgb="FFFF0000"/>
        <rFont val="Calibri"/>
        <family val="2"/>
      </rPr>
      <t>4</t>
    </r>
    <r>
      <rPr>
        <b/>
        <sz val="11"/>
        <color theme="1"/>
        <rFont val="Calibri"/>
        <family val="2"/>
      </rPr>
      <t xml:space="preserve"> AÑOS</t>
    </r>
  </si>
  <si>
    <t>3 años</t>
  </si>
  <si>
    <t>Experiencia especifica certificada: de tres (3) años como XXXXXX</t>
  </si>
  <si>
    <t>Título Profesional de XXXX
Experiencia general: de tres (3) años contados a partir de la expedición de la tarjeta profesional, y</t>
  </si>
  <si>
    <r>
      <rPr>
        <b/>
        <sz val="11"/>
        <color theme="1"/>
        <rFont val="Calibri"/>
        <family val="2"/>
      </rPr>
      <t xml:space="preserve">DE 2 A </t>
    </r>
    <r>
      <rPr>
        <b/>
        <sz val="11"/>
        <color rgb="FFFF0000"/>
        <rFont val="Calibri"/>
        <family val="2"/>
      </rPr>
      <t>3</t>
    </r>
    <r>
      <rPr>
        <b/>
        <sz val="11"/>
        <color theme="1"/>
        <rFont val="Calibri"/>
        <family val="2"/>
      </rPr>
      <t xml:space="preserve"> AÑOS</t>
    </r>
  </si>
  <si>
    <t>2 años</t>
  </si>
  <si>
    <t>Experiencia especifica certificada: de dos (2) años como XXXXXX</t>
  </si>
  <si>
    <t>Título Profesional de XXXX</t>
  </si>
  <si>
    <t>DE  1 AÑOS</t>
  </si>
  <si>
    <t xml:space="preserve">
Experiencia general: de un (1) años contados a partir de la expedición de la tarjeta profesional</t>
  </si>
  <si>
    <t xml:space="preserve"> Técnicos o Tecnológicos</t>
  </si>
  <si>
    <t>Título Técnico o Tecnológico de XXXX</t>
  </si>
  <si>
    <r>
      <rPr>
        <b/>
        <sz val="11"/>
        <color theme="1"/>
        <rFont val="Calibri"/>
        <family val="2"/>
      </rPr>
      <t xml:space="preserve">DE 2 A </t>
    </r>
    <r>
      <rPr>
        <b/>
        <sz val="11"/>
        <color rgb="FFFF0000"/>
        <rFont val="Calibri"/>
        <family val="2"/>
      </rPr>
      <t>3</t>
    </r>
    <r>
      <rPr>
        <b/>
        <sz val="11"/>
        <color theme="1"/>
        <rFont val="Calibri"/>
        <family val="2"/>
      </rPr>
      <t xml:space="preserve"> AÑO</t>
    </r>
  </si>
  <si>
    <t xml:space="preserve">
Experiencia especifica: de dos(2) años contados a partir de la fecha de certificación</t>
  </si>
  <si>
    <r>
      <rPr>
        <b/>
        <sz val="11"/>
        <color theme="1"/>
        <rFont val="Calibri"/>
        <family val="2"/>
      </rPr>
      <t xml:space="preserve">DE  </t>
    </r>
    <r>
      <rPr>
        <b/>
        <sz val="11"/>
        <color rgb="FFFF0000"/>
        <rFont val="Calibri"/>
        <family val="2"/>
      </rPr>
      <t xml:space="preserve">1 </t>
    </r>
    <r>
      <rPr>
        <b/>
        <sz val="11"/>
        <color theme="1"/>
        <rFont val="Calibri"/>
        <family val="2"/>
      </rPr>
      <t>A 2  AÑO</t>
    </r>
  </si>
  <si>
    <t xml:space="preserve">
Experiencia especifica: de un (1) años contados a partir de la fecha de certificación</t>
  </si>
  <si>
    <t>ASISTENCIAL</t>
  </si>
  <si>
    <t>Título de Bachiller en cualquier modalidad
Experiencia general: de un (2) años contados a partir de la fecha del grado, y</t>
  </si>
  <si>
    <r>
      <rPr>
        <b/>
        <sz val="11"/>
        <color theme="1"/>
        <rFont val="Calibri"/>
        <family val="2"/>
      </rPr>
      <t xml:space="preserve">DE  1 A </t>
    </r>
    <r>
      <rPr>
        <b/>
        <sz val="11"/>
        <color rgb="FFFF0000"/>
        <rFont val="Calibri"/>
        <family val="2"/>
      </rPr>
      <t>2</t>
    </r>
    <r>
      <rPr>
        <b/>
        <sz val="11"/>
        <color theme="1"/>
        <rFont val="Calibri"/>
        <family val="2"/>
      </rPr>
      <t xml:space="preserve"> AÑOS</t>
    </r>
  </si>
  <si>
    <t xml:space="preserve">
Experiencia especifica certificada: de un (1) años como XXXXX</t>
  </si>
  <si>
    <t xml:space="preserve">Título de Bachiller en cualquier modalidad
</t>
  </si>
  <si>
    <r>
      <rPr>
        <b/>
        <sz val="11"/>
        <color theme="1"/>
        <rFont val="Calibri"/>
        <family val="2"/>
      </rPr>
      <t xml:space="preserve">DE  0 A </t>
    </r>
    <r>
      <rPr>
        <b/>
        <sz val="11"/>
        <color rgb="FFFF0000"/>
        <rFont val="Calibri"/>
        <family val="2"/>
      </rPr>
      <t>1</t>
    </r>
    <r>
      <rPr>
        <b/>
        <sz val="11"/>
        <color theme="1"/>
        <rFont val="Calibri"/>
        <family val="2"/>
      </rPr>
      <t xml:space="preserve"> AÑOS</t>
    </r>
  </si>
  <si>
    <t>PERSONAL DE OBRA</t>
  </si>
  <si>
    <t>PERSONAL PROFESIONAL ETAPA OBRA</t>
  </si>
  <si>
    <t>CONCEPTO</t>
  </si>
  <si>
    <t xml:space="preserve">EXPERIENCIA </t>
  </si>
  <si>
    <t>A</t>
  </si>
  <si>
    <t>B</t>
  </si>
  <si>
    <t>C</t>
  </si>
  <si>
    <t>E</t>
  </si>
  <si>
    <t>F</t>
  </si>
  <si>
    <t>SUELDO MES BASICO</t>
  </si>
  <si>
    <t>DEDICACION</t>
  </si>
  <si>
    <t>%  FM</t>
  </si>
  <si>
    <t>VALOR MES (AXBXCXD)</t>
  </si>
  <si>
    <t>No, de meses</t>
  </si>
  <si>
    <t>TOTAL PARCIAL (EXF)</t>
  </si>
  <si>
    <t>6-4</t>
  </si>
  <si>
    <t>4-3</t>
  </si>
  <si>
    <t>3-2</t>
  </si>
  <si>
    <t>3-1</t>
  </si>
  <si>
    <t>SUB TOTAL COSTO PERSONAL PROFESIONAL</t>
  </si>
  <si>
    <t xml:space="preserve">ITEM  </t>
  </si>
  <si>
    <t>%</t>
  </si>
  <si>
    <t xml:space="preserve">A. SALARIO  </t>
  </si>
  <si>
    <t xml:space="preserve">B. PRESTACIONES SOCIALES   </t>
  </si>
  <si>
    <t>Tranporte</t>
  </si>
  <si>
    <t>Transporte</t>
  </si>
  <si>
    <t xml:space="preserve">Cesantías </t>
  </si>
  <si>
    <t xml:space="preserve">Intereses de cesantías </t>
  </si>
  <si>
    <t xml:space="preserve">Primas </t>
  </si>
  <si>
    <t xml:space="preserve">Vacaciones </t>
  </si>
  <si>
    <t xml:space="preserve">Pensión  </t>
  </si>
  <si>
    <t xml:space="preserve">Salud  </t>
  </si>
  <si>
    <t xml:space="preserve">Riesgos profesionales </t>
  </si>
  <si>
    <t xml:space="preserve">SENA </t>
  </si>
  <si>
    <t xml:space="preserve">ICBF </t>
  </si>
  <si>
    <t xml:space="preserve">Subsidio Familiar </t>
  </si>
  <si>
    <t xml:space="preserve">Dotación </t>
  </si>
  <si>
    <t xml:space="preserve">Subtotal prestaciones sociales  </t>
  </si>
  <si>
    <t xml:space="preserve">TOTAL (A+B) </t>
  </si>
  <si>
    <t>PNN TAYRONA</t>
  </si>
  <si>
    <t xml:space="preserve">ETAPA DE DISEÑOS </t>
  </si>
  <si>
    <t>PERSONAL</t>
  </si>
  <si>
    <t xml:space="preserve">Experiencia </t>
  </si>
  <si>
    <t xml:space="preserve">SUELDO BASICO </t>
  </si>
  <si>
    <t>DEDICACIÓN</t>
  </si>
  <si>
    <t>% FM</t>
  </si>
  <si>
    <t>VALOR MES (A*B*C*D)</t>
  </si>
  <si>
    <t>No. MESES</t>
  </si>
  <si>
    <t>TOTAL PARCIAL (E*F)</t>
  </si>
  <si>
    <t>DIRECTOR DE CONSULTORIA</t>
  </si>
  <si>
    <t xml:space="preserve">Título de Arquitecto con postgrado en áreas de arquitectura 
Experiencia general de SEIS (06) años contados a partir de la expedición de la tarjeta profesional, y Experiencia especifica certificada de CUATRO (04) años como director de estudios y diseños de construcciones. </t>
  </si>
  <si>
    <t>ARQUITECTO DISEÑADOR</t>
  </si>
  <si>
    <t>Título de Arquitecto 
Experiencia general de TRES (03) años contados a partir de la expedición de la tarjeta profesional, y Experiencia especifica certificada de DOS (02) años como diseñador de construcciones de los cuales UNO (01) sea como diseñador de estructura liviana</t>
  </si>
  <si>
    <t>INGENIERO ELECTRICO</t>
  </si>
  <si>
    <t>Título de Ingeniero Eléctrico o Ingeniero Electricista  
Experiencia general de TRES (03) años contados a partir de la expedición de la tarjeta profesional, y Experiencia especifica certificada de DOS (02) años en diseño eléctrico de obras de infraestructura</t>
  </si>
  <si>
    <t>ESPECIALISTA EN ESTRUCTURAS</t>
  </si>
  <si>
    <t xml:space="preserve">Título de Ingeniero Civil con postgrado en estructuras. Experiencia general de CUATRO (04) años contados a partir de la expedición de la tarjeta profesional, y Experiencia especifica certificada de TRES (03) años como diseñador de estructuras de los cuales UNO (01) sea en reforzamiento estructural y adecuaciones. </t>
  </si>
  <si>
    <t>PROFESIONAL HIDROSANITARIO</t>
  </si>
  <si>
    <t>Título de Ingeniero Civil. Experiencia general de TRES (03) años contados a partir de la expedición de la tarjeta profesional, y Experiencia especifica certificada de DOS (02) años en diseños hidrosanitarios.</t>
  </si>
  <si>
    <t>PROFESIONAL EN PROGRAMACIÒN Y PRESUPUESTOS</t>
  </si>
  <si>
    <t>Título de pregrado profesional. Experiencia general de TRES (03) años contados a partir de la expedición de la tarjeta profesional (cuando aplique), y Experiencia especifica certificada de DOS (02) años  en manejo de presupuestos de obra y/o control de costos en obras de construcción</t>
  </si>
  <si>
    <t>INGENIERO AMBIENTAL</t>
  </si>
  <si>
    <t>Profesional en Ingeniería Ambiental.   Experiencia general de  TRES (03) años contados a partir de la expedición de la tarjeta profesional, y Experiencia especifica certificada de DOS (02) años en elaboración de PMA o control y seguimiento de PMA</t>
  </si>
  <si>
    <t>DIBUJANTE AUTOCAD</t>
  </si>
  <si>
    <t>Técnico o tecnólogo en construcciones de obras civiles o similar con dos (02) años de experiencia general y un (01) año de experiencia especifica certificada como dibujante de arquitectura</t>
  </si>
  <si>
    <t xml:space="preserve">Topógrafo </t>
  </si>
  <si>
    <t xml:space="preserve">Profesional en Topografía. Experiencia general de  TRES (03) años contados a partir de la expedición de la tarjeta profesional, y Experiencia especifica certificada de DOS (02) años en levantamientos topográficos. </t>
  </si>
  <si>
    <t>Cadenero</t>
  </si>
  <si>
    <t xml:space="preserve">Técnico o tecnólogo en construcciones de obras civiles o similar con dos (02) años de experiencia general y un (01) año de experiencia especifica certificada como cadenero o ayudante de levantamientos topográficos. </t>
  </si>
  <si>
    <t>COSTO PERSONAL</t>
  </si>
  <si>
    <t xml:space="preserve">Arriendo Oficina </t>
  </si>
  <si>
    <t xml:space="preserve">Servicios públicos </t>
  </si>
  <si>
    <t>Papelería, Fotocopias, Informes, Equipos de oficina, Planos</t>
  </si>
  <si>
    <t>Desplazamiento y Trabajo In Situ</t>
  </si>
  <si>
    <t>Día/Persona</t>
  </si>
  <si>
    <t>Retención en la fuente (1% sobre el valor gravable del contrato)</t>
  </si>
  <si>
    <t>FONSECON (5% sobre el valor gravable del contrato)</t>
  </si>
  <si>
    <t>Impuesto 4x1000</t>
  </si>
  <si>
    <t>Impuesto Pronal: por los contratos cuyo valor esté entre 1 y 2.000 smmlv pagarán el 0.5%. Los contratos entre 2.001 y 6.000 smmlv pagarán el 1% y los contratos mayores a 6.001 smmlv pagarán el 2%.</t>
  </si>
  <si>
    <t>IVA</t>
  </si>
  <si>
    <t xml:space="preserve"> TOTAL+ TOTAL IMPUESTOS, TASA Y CONTRIBUCIONES </t>
  </si>
  <si>
    <t>TOTAL GASTOS ADMINISTRATIVOS (TOTAL A)</t>
  </si>
  <si>
    <t>U2</t>
  </si>
  <si>
    <t>U3</t>
  </si>
  <si>
    <t>U4</t>
  </si>
  <si>
    <t>U5</t>
  </si>
  <si>
    <t>U6</t>
  </si>
  <si>
    <t>UTILIDAD 5%</t>
  </si>
  <si>
    <t>TOTAL ETAPA</t>
  </si>
  <si>
    <t>Salario mínimo</t>
  </si>
  <si>
    <t xml:space="preserve"> Base gravable y tarifa. El sujeto pasivo deﬁnido en el artículo 6° de la presente ley pagará por las suscripciones de los contratos de obra pública y sus conexos en función de las siguientes bases y tarifas: </t>
  </si>
  <si>
    <t>Los contratos cuyo valor esté entre 1 y 2.000 smmlv pagarán el 0.5%.</t>
  </si>
  <si>
    <t xml:space="preserve"> Los contratos entre 2.001 y 6.000 smmlv pagarán el 1%</t>
  </si>
  <si>
    <t xml:space="preserve"> los contratos mayores a 6.001 smmlv pagarán el 2%</t>
  </si>
  <si>
    <t xml:space="preserve">TOTAL PARCIAL </t>
  </si>
  <si>
    <t>COSTO TOTAL ANTES DE IMPUESTOS</t>
  </si>
  <si>
    <t>SISTEMA FOTOVOLTAICO</t>
  </si>
  <si>
    <t xml:space="preserve">Alquiler, camioneta, transportes y otros. </t>
  </si>
  <si>
    <t>UN</t>
  </si>
  <si>
    <t xml:space="preserve">Suministro e instalación estructura tipo techo en aluminio anodizado para 2 paneles de 430 Wp, incluye todos los accesorios de montaje para su correcto funcionamiento. </t>
  </si>
  <si>
    <t>REDES ELÉCTRICAS / INCLUYE ZONA DE BAÑO</t>
  </si>
  <si>
    <t>SECTOR EL TOMO</t>
  </si>
  <si>
    <t>ESTRUCTURA METALICA</t>
  </si>
  <si>
    <t>ESTRUCTURA MADERA</t>
  </si>
  <si>
    <t>Suministro e instalación de anjeos en fibra de vidrio</t>
  </si>
  <si>
    <t>Canal en acero galvanizado cal 18.</t>
  </si>
  <si>
    <t>Bajante acero galvanizado cal 18.</t>
  </si>
  <si>
    <t>Suministro e instalación de lavamanos de colgar tipo institucional color blanco incluye todos los accesorios para su correcto funcionamiento.</t>
  </si>
  <si>
    <t>Suministro e instalación de grifería para ducha, incluye todos los accesorios para su correcto funcionamiento.</t>
  </si>
  <si>
    <t>PUNTURA INTERIOR Y EXTERIOR</t>
  </si>
  <si>
    <t>Pintura  tipo  1  acrílica  lavable  con  protección  UV acabado mate a tres manos color blanco puro "Pintuco Ref. Koraza" o similar. Incluye resanes</t>
  </si>
  <si>
    <t>ASEO</t>
  </si>
  <si>
    <t>Limpieza general</t>
  </si>
  <si>
    <t>Desmonte de puertas</t>
  </si>
  <si>
    <t>Desmonte de muro liviano</t>
  </si>
  <si>
    <t>CIELO RASO</t>
  </si>
  <si>
    <t>MUROS</t>
  </si>
  <si>
    <t>Suministro e instalación de ducha, incluye grifería y todos los accesorios para su correcto funcionamiento.</t>
  </si>
  <si>
    <t>VIDRIOS Y ESPEJOS</t>
  </si>
  <si>
    <t>Sede Administrativa (Casa de funcionarios) - 24989</t>
  </si>
  <si>
    <t>Cabaña del jefe de área - 24990</t>
  </si>
  <si>
    <t>Cabaña de Guardaparques (Funcionarios) - 24992</t>
  </si>
  <si>
    <t>Batería de baños - 24993</t>
  </si>
  <si>
    <r>
      <t>m</t>
    </r>
    <r>
      <rPr>
        <i/>
        <vertAlign val="superscript"/>
        <sz val="12"/>
        <rFont val="Calibri"/>
        <family val="2"/>
      </rPr>
      <t>3</t>
    </r>
  </si>
  <si>
    <r>
      <t>m</t>
    </r>
    <r>
      <rPr>
        <i/>
        <vertAlign val="superscript"/>
        <sz val="12"/>
        <color theme="1"/>
        <rFont val="Calibri"/>
        <family val="2"/>
      </rPr>
      <t>3</t>
    </r>
  </si>
  <si>
    <t xml:space="preserve">Suministro e Instalación de red Hidráulica y sanitario de baños, incluye puntos de agua y puntos sanitarios, bajantes y accesorios para su correcto funcionamiento. </t>
  </si>
  <si>
    <t>Excavación en conglomerado para tubería</t>
  </si>
  <si>
    <t>Tubería pvc-sanitaria 4"</t>
  </si>
  <si>
    <t>Desmonte de cielo raso existente</t>
  </si>
  <si>
    <t>Suministro e instalación de marco y puerta de madera inmunizada 1.00x2.35 m incluye chapas cedro tabla tríplex</t>
  </si>
  <si>
    <t xml:space="preserve">Suministro e instalación de lavaplatos en acero inoxidable, incluye grifería y todos los accesorios para su correcto funcionamiento </t>
  </si>
  <si>
    <t xml:space="preserve">Suministro e Instalación de red Hidráulica y sanitario de Cocina, incluye puntos de agua y puntos sanitarios, bajantes y accesorios para su correcto funcionamiento. </t>
  </si>
  <si>
    <t>Excavación  en conglomerado para tubería</t>
  </si>
  <si>
    <t>Desmonte cubierta existente</t>
  </si>
  <si>
    <t>Mantenimiento cerchas y viga de soporte para la cubierta.  incluye lijado de las áreas, reposición de partes o secciones que se encuentren deterioradas, anticorrosivo, pintura y demás accesorios que garanticen un correcto funcionamiento.</t>
  </si>
  <si>
    <t>Demolición escalera en concreto</t>
  </si>
  <si>
    <t>Mantenimiento cercha de soporte para la pasarela del segundo piso (anticorrosivo + pintura) h=0.15 m</t>
  </si>
  <si>
    <t>Suministro e instalación de platinas de 0.40 x 0.30 para la cercha de soporte cubierta</t>
  </si>
  <si>
    <t>Suministro e instalación de platinas de 0.145 x 0.30 para la cercha de soporte cubierta (tipo 1)</t>
  </si>
  <si>
    <t>Suministro e instalación de platinas para cercha ( cumbrera de la cubierta)</t>
  </si>
  <si>
    <t>Pintura acrílica lavable con copolímeros de emulsión siliconada acabado mate a tres manos color blanco puro "Pintuco Ref. Viniltex Advanced" o similar. Incluye resanes.</t>
  </si>
  <si>
    <t>Suministro e instalación de divisiones para duchas, incluye vidrio e=8mm incoloro templado</t>
  </si>
  <si>
    <t>CUBIERTA</t>
  </si>
  <si>
    <t>COSTO SECTOR EL TOMO</t>
  </si>
  <si>
    <t>SISTEMA DE TRATAMIENTO AGUAS RESIDUALES</t>
  </si>
  <si>
    <t>Suministro, instalación y puesta en marcha de una trampa de grasas de 95 litros o similar, incluye conexiones y accesorios</t>
  </si>
  <si>
    <t>Suministro, instalación y puesta en marcha de un Sistema Séptico Integrado de 2400 Litros, incluye tuberías, accesorios, conexiones y campo de infiltración para la descarga</t>
  </si>
  <si>
    <t>instalación Inversor 3500 W / 24 V + controlador MPPT incluido  &lt;150A, relación DC/AC mínimo 120%, incluye configuración del inversor según indicaciones de diseño y todos los accesorios de montaje para su correcto funcionamiento. Con normatividad vigente (RETIE).</t>
  </si>
  <si>
    <t xml:space="preserve"> instalación panel solar monocristalino, 430 Wp, 24 V. Con normatividad vigente (RETIE).</t>
  </si>
  <si>
    <t>instalación de  sistema de puesta a tierra con una varilla Cu - Cu 5/8"x8', incluye cableado Cu N. 10 AWG, conector en cobre, tubería PVC y conexión.
O suministro e instalación de  sistema de puesta a tierra con sistema de Hidrosolta. Se debe verificar en sitio cual es sistema que se pueda implementar.  Con normatividad vigente (RETIE).</t>
  </si>
  <si>
    <t>instalación de pararrayos tipo franklin,  Incluye pararrayos, cable, soportes y  todos los accesorios de montaje. Con normatividad vigente (RETIE).</t>
  </si>
  <si>
    <t>instalación de gabinete tipo intemperie para proteger el Inversor 3500 W / 24 V + controlador MPPT incluido  &lt;150A, relación DC/AC mínimo 120%, incluye todos los accesorios de montaje para su correcto funcionamiento..</t>
  </si>
  <si>
    <t>instalación de rack para proteger banco de batería libre de mantenimiento en gel, 12 V, 250 Ah, incluye todos los accesorios de montaje para su correcto funcionamiento.</t>
  </si>
  <si>
    <t>instalación de controlador  20A,  incluye  todos los accesorios de montaje para su correcto funcionamiento. Con normatividad vigente (RETIE).</t>
  </si>
  <si>
    <t>instalación panel solar monocristalino, 430 Wp, 24 V. Con normatividad vigente (RETIE).</t>
  </si>
  <si>
    <t>instalación de batería libre de mantenimiento en litio, 12 V, 200 Ah, 20 horas y todos los accesorios para su correcto funcionamiento. Con normatividad vigente (RETIE).</t>
  </si>
  <si>
    <t>instalación cableado, coraza hermética, tubería EMTo PVC SCH40 según se requiera en sitio, los diámetros según se requiera,  incluye conectores, uniones, cajas de paso plásticas y todos los accesorios de montaje para su correcto funcionamiento.</t>
  </si>
  <si>
    <t>instalación de breakers, incluye marquillas de identificación y todos los accesorios de montaje. Suministro e instalación descargador de sobretensiones</t>
  </si>
  <si>
    <t xml:space="preserve">instalación estructura tipo techo en aluminio anodizado para 20 paneles de 430 Wp, incluye todos los accesorios de montaje para su correcto funcionamiento. </t>
  </si>
  <si>
    <t>instalación de rack para proteger banco de batería libre de mantenimiento en gel, 12 V, 200 Ah, incluye todos los accesorios de montaje para su correcto funcionamiento.</t>
  </si>
  <si>
    <t>PARQUES NACIONALES NATURALES DE COLOMBIA
PNN TUPARRO
PRESUPUESTO ESTIMADO VIGENCIA 2023 - OBRA</t>
  </si>
  <si>
    <t>instalación de teja termoacústica tipo Sandwich con relleno de 30 mm de poliuretano (PUR), color azul el AP. Incluye accesorios (cumbrera, limatesa, limahoya, etc.). La entrega de material incluye accesorios de instalación y sellante.</t>
  </si>
  <si>
    <t>Peso Aproximado TON</t>
  </si>
  <si>
    <t>instalación de Grupo electrógeno con motor Diésel (Planta Eléctrica) de 16,5 kVA a 240 / 120V con cabina insonorizada, base tanque con autonomía de 8 horas y transferencia automática y todos los accesorios para su correcto funcionamiento. Con normatividad vigente (RETIE).</t>
  </si>
  <si>
    <t>instalación de sistema de puesta a tierra con una varilla Cu - Cu 5/8"x8', incluye cableado Cu N. 10 AWG, conector en cobre, tubería PVC y conexión.
 O suministro e instalación de sistema de puesta a tierra con sistema de Hidrosolta. Se debe verificar en sitio cual es sistema que se pueda implementar. Con normatividad vigente (RETIE).</t>
  </si>
  <si>
    <t>instalación de breakers para tablero normal de 1 x 50 A. Con normatividad vigente (RETIE).</t>
  </si>
  <si>
    <t>instalación de breakers para tablero normal de 1 x 20 A. Con normatividad vigente (RETIE).</t>
  </si>
  <si>
    <t>instalación de punto para ventilador industrial de techo completo, (blanco), incluye instalación de ventilador de tres aspas 5 velocidades, cableado,  tubería EMT o PVC SCH40 según se requiera, cajas de paso hasta el tablero de protecciones y todos los accesorios para su correcto funcionamiento y marcación respectiva. Con normatividad vigente (RETIE).</t>
  </si>
  <si>
    <t>instalación de punto para interruptor doble conmutable completa, (blanca), incluye instalación de interruptor, cableado No. 12 THHN / THWN, No. 12 THHN / THWN para tierra, tubería EMT o PVC SCH40 según se requiera, cajas de paso hasta el tablero de protecciones, pases a placa y todos los accesorios para su correcto funcionamiento y marcación respectiva. Con normatividad vigente (RETIE).</t>
  </si>
  <si>
    <t>instalación de punto para interruptor sencillo conmutable completa, (blanco), incluye instalación de interruptor, cableado, tubería EMT o PVC SCH40 según se requiera, cajas de paso hasta el tablero de protecciones y todos los accesorios para su correcto funcionamiento y marcación respectiva. Con normatividad vigente (RETIE).</t>
  </si>
  <si>
    <t>instalación de punto para interruptor sencillo completa, (blanco), incluye instalación de interruptor, cableado, tubería EMT o PVC SCH40 según se requiera, cajas de paso hasta el tablero de protecciones y todos los accesorios para su correcto funcionamiento y marcación respectiva. Con normatividad vigente (RETIE).</t>
  </si>
  <si>
    <t>instalación de punto para iluminación tipo exterior completa, incluye suministro e instalación luminaria tipo Tortuga LED de 12W, cableado, tubería EMT o PVC SCH40 según se requiera, cajas de paso hasta el tablero de protecciones y todos los accesorios para su correcto funcionamiento. Con normatividad vigente (RETIE, RETILAP).</t>
  </si>
  <si>
    <t>instalación de punto para iluminación tipo interior completa, incluye suministro e instalación de luminaria tipo aplique de pared LED dirigible de 18W, cableado, tubería EMT o PVC SCH40 según se requiera, cajas de paso hasta el tablero de protecciones y todos los accesorios para su correcto funcionamiento. Con normatividad vigente (RETIE, RETILAP).</t>
  </si>
  <si>
    <t>instalación de punto para tomacorriente GFCI, (blanca), incluye instalación de tomacorriente, cableado No. 12 THHN / THWN, tubería EMT o PVC SCH40 según se requiera, cajas de paso hasta el tablero de protecciones, pases a placa y todos los accesorios para su correcto funcionamiento y marcación respectiva. Con normatividad vigente (RETIE).</t>
  </si>
  <si>
    <t>instalación de punto para tomacorriente completa, (blanca), incluye instalación de tomacorriente, cableado No. 12 THHN / THWN, No. 12 THHN / THWN para tierra, tubería EMT o PVC SCH40 según se requiera, cajas de paso hasta el tablero de protecciones, pases a placa y todos los accesorios para su correcto funcionamiento y marcación respectiva. Con normatividad vigente (RETIE).</t>
  </si>
  <si>
    <t>instalación de tablero de breakers monofásico de 12 circuitos, con puerta, incluye instalación de tablero, barrajes, breakers y todos los accesorios para su correcto funcionamiento y marcación respectiva. Con normatividad vigente (RETIE).</t>
  </si>
  <si>
    <t>Instalación de tablero, barrajes, breakers y todos los accesorios para su correcto funcionamiento y marcación respectiva. Con normatividad vigente (RETIE).</t>
  </si>
  <si>
    <t>instalación de punto para iluminación tipo interior completa, incluye suministro e instalación luminaria tipo LED decorativa de sobreponer de 18W, cableado, tubería EMT o PVC SCH40 según se requiera,, cajas de paso hasta el tablero de protecciones y todos los accesorios para su correcto funcionamiento. Con normatividad vigente (RETIE, RETILAP).</t>
  </si>
  <si>
    <t>Transporte Terrestre desde puerto carreño hasta sector Garcitas</t>
  </si>
  <si>
    <t>Transporte Fluvial desde sector Garcitas Hasta Sector El Tomo</t>
  </si>
  <si>
    <t>Cambio de cielo raso en Drywall por PVC, color mate (el detalle del acabado se hace de acuerdo a las indicaciones de Area Protegida). incluye limpieza del área, reposición y montaje de estructura de soporte en acero galvanizado, instalación del cielo raso en PVC en instalación de corinzas para acabados laterales y remates con muros</t>
  </si>
  <si>
    <t>Suministro e instalación Canal en acero galvanizado cal 18.</t>
  </si>
  <si>
    <t>Suministro e instalación Bajante acero galvanizado cal 18.</t>
  </si>
  <si>
    <t>Mantenimiento cerchas y viga de soporte para la cubierta.  incluye lijado de las áreas, reposición de partes o secciones que se encuentren deterioradas, anticorrosivo, pintura (Color por definir) y demás accesorios que garanticen un correcto funcionamiento.</t>
  </si>
  <si>
    <t>CARPINTERIA EN MADERA</t>
  </si>
  <si>
    <t>ENCHAPES PISOS Y MUROS</t>
  </si>
  <si>
    <t xml:space="preserve">Suministro e instalación de pisos en cerámica  para baños 30.5 cm X 30.5 cm, calidad primera </t>
  </si>
  <si>
    <t xml:space="preserve">Suministro e instalación de Enchapes para muros en cerámica para baños 60 cm X 30 cm, </t>
  </si>
  <si>
    <t>Suministro e instalación de Mortero de piso, e=0,05m 14,0 Mpa</t>
  </si>
  <si>
    <t>PINTURA INTERIOR Y EXTERIOR</t>
  </si>
  <si>
    <t>Suministro e instalación de Tubería pvc-sanitaria 4"</t>
  </si>
  <si>
    <t>Desmonte de ventanas</t>
  </si>
  <si>
    <t>Retiro de Escombros desde el Sector el Tomo a Garcitas via fluvial</t>
  </si>
  <si>
    <t>Suministro e instalación de Pintura esmalte mate blanca (2 manos) para interior y exterior</t>
  </si>
  <si>
    <t>ID</t>
  </si>
  <si>
    <t>COSTO DIRECTO</t>
  </si>
  <si>
    <t>Retiro de escombros desde sector Garcitas a puerto carreño via terrestre</t>
  </si>
  <si>
    <t>Administración</t>
  </si>
  <si>
    <t xml:space="preserve">Imprevistos </t>
  </si>
  <si>
    <t>Utilidad</t>
  </si>
  <si>
    <t>Iva sobre utilidad</t>
  </si>
  <si>
    <t>SUBTOTAL SIN TRANSPORTE</t>
  </si>
  <si>
    <t>Cabaña Laboratorio (Bodega) - 24991</t>
  </si>
  <si>
    <t>Cabaña de Funcionarios</t>
  </si>
  <si>
    <t>ESTRUCTURAS EN MADERA</t>
  </si>
  <si>
    <t>Suministro e instalación de ventanas en madera  pino patula inmunizado bajo el sistema vacío presión con sales CCA 9,6 K/m2 (tipo Osmose, bajo estándares de calidad que permitan dar garantía contra hongos, insectos perforadores y pudrición por 20 años) incluye vidrio de 4mm</t>
  </si>
  <si>
    <t>5 años</t>
  </si>
  <si>
    <t>DE 4 A 6 AÑOS</t>
  </si>
  <si>
    <t>Tecnologo Eléctrico</t>
  </si>
  <si>
    <t>Tecnologo eléctrico o electricista. Experiencia general de de TRES (03) años contados a partir de la expedición de la tarjeta profesional, y Experiencia especifica certificada de DOS (02) años como Tecnologo electrico o ingeniero electricista en contratos de Obra de Construcción y en sistemas fotovoltaicos</t>
  </si>
  <si>
    <t>APARATOS SANITARIOS Y ENCHAPES</t>
  </si>
  <si>
    <t>Suministro e instalación de marco y puerta de madera inmunizada 0.57x1.7 m incluye chapas cedro tabla tríplex</t>
  </si>
  <si>
    <t>Suministro e instalación de divisiones para duchas con sus respectiva puerta, incluye vidrio e=8mm incoloro Vidrio-Sandblasting. Incluye todos los accesorios en acero inoxidable que sean necesarios para su correcta instalación. (medidas aproximadas Ancho: 0,87 m alto: 1,9 m; largo: 1,25 m) ver plano</t>
  </si>
  <si>
    <t>Suministro e instalación de espejos (0,55 m ancho x 0,8 m alto)</t>
  </si>
  <si>
    <t>Peso</t>
  </si>
  <si>
    <t>Fibrocemento</t>
  </si>
  <si>
    <t>Tejas</t>
  </si>
  <si>
    <t>Vidrio</t>
  </si>
  <si>
    <t>Muro en lámina de fibrocemento de dos cara  de espesor 12 mm, incluye cinta PVC, masilla, accesorios de instalación, estuco plástico Estucor Acrílico (interior o exterior) o similar</t>
  </si>
  <si>
    <t>Mantenimiento para las puertas  y divisiones metálicas, incluye lijado de las áreas, reposición de partes o secciones que se encuentren deterioradas o inexistentes, anticorrosivo, pintura y demás accesorios que garanticen un correcto funcionamiento de las divisiones y puertas.</t>
  </si>
  <si>
    <t>Suministro e instalación de Enchapes para muros en cerámica para baños 60 cm X 30 cm. (duchas)</t>
  </si>
  <si>
    <t>MEJORAMIENTO DE LA INFRAESTRUCTURA DEL PARQUE NACIONAL NATURAL EL TUPARRO</t>
  </si>
  <si>
    <t>MAMPOSTERIA Y PAÑETES</t>
  </si>
  <si>
    <t>Resanes y reparaciones de mamposteria, paredes y pisos</t>
  </si>
  <si>
    <t>Demolición enchape piso y paredes. Incluye mortero de pega existente.</t>
  </si>
  <si>
    <t>SUBTOTAL OBRAS</t>
  </si>
  <si>
    <t>SALARIO MINIMO 2023</t>
  </si>
  <si>
    <t>Suministro e instalación de platinas para la cercha de soporte cubierta (tipo 2)</t>
  </si>
  <si>
    <t>ESCALERA METALICA</t>
  </si>
  <si>
    <t xml:space="preserve">Escalera en  Estructura Metálica </t>
  </si>
  <si>
    <t>ITEM:</t>
  </si>
  <si>
    <t>UNIDAD:</t>
  </si>
  <si>
    <t>I.  EQUIPO</t>
  </si>
  <si>
    <t>UNID</t>
  </si>
  <si>
    <t>Tarifa/Hora</t>
  </si>
  <si>
    <t>Rendimiento</t>
  </si>
  <si>
    <t>Valor Unitario</t>
  </si>
  <si>
    <t>SUB-TOTAL</t>
  </si>
  <si>
    <t>II.  MATERIALES</t>
  </si>
  <si>
    <t>Precio Unitario</t>
  </si>
  <si>
    <t>Cantidad</t>
  </si>
  <si>
    <t>III.  TRANSPORTE</t>
  </si>
  <si>
    <t>CANT</t>
  </si>
  <si>
    <t>VR. PARCIAL</t>
  </si>
  <si>
    <t>IV.  MANO DE OBRA</t>
  </si>
  <si>
    <t>TRABAJADOR</t>
  </si>
  <si>
    <t>Jornal</t>
  </si>
  <si>
    <t>Prestaciones</t>
  </si>
  <si>
    <t>Redimiento</t>
  </si>
  <si>
    <t>TOTAL COSTO DIRECTO</t>
  </si>
  <si>
    <t>GL</t>
  </si>
  <si>
    <t>herramienta menor cuadrilla aa - albañeria</t>
  </si>
  <si>
    <t>martillo demoledor 90 libras</t>
  </si>
  <si>
    <t>hr</t>
  </si>
  <si>
    <t>cuadrilla a (1of+2ay) albañilería</t>
  </si>
  <si>
    <t>APU1,01</t>
  </si>
  <si>
    <t>APU1,02</t>
  </si>
  <si>
    <t>APU2,01</t>
  </si>
  <si>
    <t>ML</t>
  </si>
  <si>
    <t>esmalte</t>
  </si>
  <si>
    <t>lt</t>
  </si>
  <si>
    <t>Lija</t>
  </si>
  <si>
    <t>und</t>
  </si>
  <si>
    <t>anticorrosivo</t>
  </si>
  <si>
    <t>Platinas 0.40x0.30</t>
  </si>
  <si>
    <t>unidad</t>
  </si>
  <si>
    <t>APU2,02</t>
  </si>
  <si>
    <t>APU2,03</t>
  </si>
  <si>
    <t>Platinas 0.145x0.30</t>
  </si>
  <si>
    <t>APU2,04</t>
  </si>
  <si>
    <t>Platina para cumbre</t>
  </si>
  <si>
    <t>APU2,05</t>
  </si>
  <si>
    <t>Platinas para cumbrera de cubierta</t>
  </si>
  <si>
    <t>APU3,01</t>
  </si>
  <si>
    <t>Ventana en madera pino pátula inmunizado</t>
  </si>
  <si>
    <t>vidrio de 4 mm</t>
  </si>
  <si>
    <t>APU3,03</t>
  </si>
  <si>
    <t>anjeos en fibra de vidrio</t>
  </si>
  <si>
    <t>APU4,01</t>
  </si>
  <si>
    <t>Mortero 1:4</t>
  </si>
  <si>
    <t>m3</t>
  </si>
  <si>
    <t>APU5,01</t>
  </si>
  <si>
    <t>Escalera en estructura metálica</t>
  </si>
  <si>
    <t>APU6,01</t>
  </si>
  <si>
    <t>estuco plastico</t>
  </si>
  <si>
    <t>lija Pliego  150</t>
  </si>
  <si>
    <t>gal</t>
  </si>
  <si>
    <t xml:space="preserve">pintura acrilica lavable con copolimeros de emulsion siliconada </t>
  </si>
  <si>
    <t>APU6,02</t>
  </si>
  <si>
    <t>Pintura tipo Koraza</t>
  </si>
  <si>
    <t>APU7,01</t>
  </si>
  <si>
    <t>APU7,02</t>
  </si>
  <si>
    <t>Canal en acero galvanizado cal 18</t>
  </si>
  <si>
    <t>APU7,03</t>
  </si>
  <si>
    <t>Bajante en acero galvanizado cal 18</t>
  </si>
  <si>
    <t>APU8,01</t>
  </si>
  <si>
    <t>APU8,02</t>
  </si>
  <si>
    <t>Tubo PVC sanitario 4"</t>
  </si>
  <si>
    <t>APU9,01</t>
  </si>
  <si>
    <t>sanitario tipo institucional color blanco incluye todos los accesorios para su correcto funcionamiento.</t>
  </si>
  <si>
    <t>APU9,02</t>
  </si>
  <si>
    <t xml:space="preserve"> lavamanos de colgar tipo institucional color blanco incluye todos los accesorios para su correcto funcionamiento.</t>
  </si>
  <si>
    <t>APU9,03</t>
  </si>
  <si>
    <t>ducha, incluye grifería y todos los accesorios para su correcto funcionamiento.</t>
  </si>
  <si>
    <t>APU9,04</t>
  </si>
  <si>
    <t xml:space="preserve">lavaplatos en acero inoxidable, incluye grifería y todos los accesorios para su correcto funcionamiento </t>
  </si>
  <si>
    <t>Suministro e instalación de estufa a gas acero inoxidable</t>
  </si>
  <si>
    <t>APU9,05</t>
  </si>
  <si>
    <t>estufa a gas en acero inoxidable 4 puestos incluye accesorios</t>
  </si>
  <si>
    <t>APU10,01</t>
  </si>
  <si>
    <t>herramienta menor cuadrilla aa - electricos</t>
  </si>
  <si>
    <t>cuadrilla a (1of+1ay) electrica</t>
  </si>
  <si>
    <t>APU10,02</t>
  </si>
  <si>
    <t>APU10,03</t>
  </si>
  <si>
    <t>APU10,04</t>
  </si>
  <si>
    <t>APU10,05</t>
  </si>
  <si>
    <t>APU10,06</t>
  </si>
  <si>
    <t>APU10,07</t>
  </si>
  <si>
    <t>APU10,08</t>
  </si>
  <si>
    <t>APU10,09</t>
  </si>
  <si>
    <t>tubo emt</t>
  </si>
  <si>
    <t>cable No. 12</t>
  </si>
  <si>
    <t>cajas de paso</t>
  </si>
  <si>
    <t>ventilador de 3 aspas 5 velocidades de techo color blanco</t>
  </si>
  <si>
    <t>APU10,10</t>
  </si>
  <si>
    <t>breaker de 20 Amp</t>
  </si>
  <si>
    <t>APU10,11</t>
  </si>
  <si>
    <t>breaker de 50 Amp</t>
  </si>
  <si>
    <t>APU10,12</t>
  </si>
  <si>
    <t>cable No. 8</t>
  </si>
  <si>
    <t>cable No. 10</t>
  </si>
  <si>
    <t>instalación de acometida 8(F) + 8(N)+10(T) para alimentación tablero normal, incluye instalación de cableado, tubería EMT o PVC SCH40 según se requiera, cajas de paso hasta el tablero de protecciones , pases a placa y todos los accesorios para su correcto funcionamiento. Con normatividad vigente (RETIE).</t>
  </si>
  <si>
    <t>tubo conduit SCH40</t>
  </si>
  <si>
    <t>APU10,13</t>
  </si>
  <si>
    <t>APU10,14</t>
  </si>
  <si>
    <t>APU11,01</t>
  </si>
  <si>
    <t>Estructura en aluminio para montaje de paneles</t>
  </si>
  <si>
    <t>APU11,02</t>
  </si>
  <si>
    <t>APU11,03</t>
  </si>
  <si>
    <t>APU11,04</t>
  </si>
  <si>
    <t>APU11,05</t>
  </si>
  <si>
    <t>APU11,07</t>
  </si>
  <si>
    <t>APU11,09</t>
  </si>
  <si>
    <t>instalación de acometida  8(F) + 8(N)+10(T) para alimentación tablero normal, incluye instalación de cableado, tubería EMT o PVC SCH40 según se requiera, cajas de paso hasta el tablero de protecciones , pases a placa y todos los accesorios para su correcto funcionamiento. Con normatividad vigente (RETIE).</t>
  </si>
  <si>
    <t>APU11,10</t>
  </si>
  <si>
    <t>APU12,01</t>
  </si>
  <si>
    <t>APU12,02</t>
  </si>
  <si>
    <t>APU12,03</t>
  </si>
  <si>
    <t>APU12,04</t>
  </si>
  <si>
    <t>APU12,05</t>
  </si>
  <si>
    <t>APU12,06</t>
  </si>
  <si>
    <t>APU11,08</t>
  </si>
  <si>
    <t>APU11,06</t>
  </si>
  <si>
    <t>APU12,08</t>
  </si>
  <si>
    <t>APU12,09</t>
  </si>
  <si>
    <t>APU13,01</t>
  </si>
  <si>
    <t>CABAÑA DEL JEFE DE ÁREA - 24990</t>
  </si>
  <si>
    <t>APU1,03</t>
  </si>
  <si>
    <t>APU1,04</t>
  </si>
  <si>
    <t>cercha</t>
  </si>
  <si>
    <t>APU3,02</t>
  </si>
  <si>
    <t>marco y puerta de madera inmunizada 1.00x2.35</t>
  </si>
  <si>
    <t>Estructura soporte cielo raso</t>
  </si>
  <si>
    <t>APU4,02</t>
  </si>
  <si>
    <t>Cielo raso PVC</t>
  </si>
  <si>
    <t>Lamina Superboard 12 mm</t>
  </si>
  <si>
    <t>Tornillos 8x1/2</t>
  </si>
  <si>
    <t>caja</t>
  </si>
  <si>
    <t>Rollo</t>
  </si>
  <si>
    <t>Cinta Malla</t>
  </si>
  <si>
    <t>Estuco Plastico</t>
  </si>
  <si>
    <t>Masilla</t>
  </si>
  <si>
    <t>APU6,03</t>
  </si>
  <si>
    <t>Piso ceramica baños 30.5x30.5 calidad primera</t>
  </si>
  <si>
    <t>Pegante Piso Ceramica</t>
  </si>
  <si>
    <t>Suministro e instalación de Enchapes para muros en cerámica para baños 60 cm X 30 cm</t>
  </si>
  <si>
    <t>Enchape ceramica baños muros 60 cm x 30cm</t>
  </si>
  <si>
    <t>Division de vidrio e=8 mm incoloro templado incluye accesorios</t>
  </si>
  <si>
    <t>CABAÑA LABORATORIO (BODEGA) - 24991</t>
  </si>
  <si>
    <t>APU12,07</t>
  </si>
  <si>
    <t>APU5,02</t>
  </si>
  <si>
    <t>APU5,03</t>
  </si>
  <si>
    <t>APU7,04</t>
  </si>
  <si>
    <t>APU7,05</t>
  </si>
  <si>
    <t>Luminaria tipo tortuga Led</t>
  </si>
  <si>
    <t>APU7,06</t>
  </si>
  <si>
    <t>APU7,07</t>
  </si>
  <si>
    <t>APU4,03</t>
  </si>
  <si>
    <t>APU6,04</t>
  </si>
  <si>
    <t>APU6,05</t>
  </si>
  <si>
    <t>APU6,06</t>
  </si>
  <si>
    <t>APU6,07</t>
  </si>
  <si>
    <t>APU6,08</t>
  </si>
  <si>
    <t>APU6,09</t>
  </si>
  <si>
    <t>APU6,10</t>
  </si>
  <si>
    <t>APU6,11</t>
  </si>
  <si>
    <t>CABAÑA DE GUARDAPARQUES (FUNCIONARIOS) - 24992</t>
  </si>
  <si>
    <t>APU7,08</t>
  </si>
  <si>
    <t>APU7,09</t>
  </si>
  <si>
    <t>APU7,10</t>
  </si>
  <si>
    <t>APU7,11</t>
  </si>
  <si>
    <t>BATERIA DE BAÑOS - 24993</t>
  </si>
  <si>
    <t>sección metalica</t>
  </si>
  <si>
    <t>Division de vidrio e=8 mm incoloro templado con sandblasting incluye accesorios en acero inoxidable</t>
  </si>
  <si>
    <t>espejo 0,55 ancho x0,8 m alto</t>
  </si>
  <si>
    <t>tubo presion 21-200 psi</t>
  </si>
  <si>
    <t>tubo sanitario 2"</t>
  </si>
  <si>
    <t>SISTEMAS DE TRATAMIENTO AGUAS RESIDUALES</t>
  </si>
  <si>
    <t>Trampa de grasas 95 l</t>
  </si>
  <si>
    <t>Arena</t>
  </si>
  <si>
    <t>Sistema Séptico integrado</t>
  </si>
  <si>
    <t>tubo sanitario 2" y accesorios y pegante</t>
  </si>
  <si>
    <t>MAESTRO DE OBRA</t>
  </si>
  <si>
    <t>INGENIERO PROFESIONAL SISOMA.
Ingeniero ambiental con posgrado en SST (Seguridad y Salud en el trabajo), o afines, con licencia vigente. Experiencia general de CUATRO (04) años contados a partir de la expedición de la tarjeta profesional, y Experiencia especifica certificada de TRES (03) años como residente SISOMA (Seguridad Industrial, Seguridad Ocupacional y Medio Ambiente).</t>
  </si>
  <si>
    <t>Título de ingeniero Civil y/o sanitario o afines. Experiencia general de TRES (03) años contados a partir de la expedición de la tarjeta profesional, y Experiencia especifica certificada de DOS (02) años en obras hidráulicas e hidrosanitarias en contratos de Construcción.</t>
  </si>
  <si>
    <t xml:space="preserve">FACTOR PRESTACIONAL </t>
  </si>
  <si>
    <t>Máx (38,20%)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</si>
</sst>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8" formatCode="&quot;$&quot;\ #,##0.00;[Red]\-&quot;$&quot;\ #,##0.00"/>
    <numFmt numFmtId="44" formatCode="_-&quot;$&quot;\ * #,##0.00_-;\-&quot;$&quot;\ * #,##0.00_-;_-&quot;$&quot;\ * &quot;-&quot;??_-;_-@_-"/>
    <numFmt numFmtId="43" formatCode="_-* #,##0.00_-;\-* #,##0.00_-;_-* &quot;-&quot;??_-;_-@_-"/>
    <numFmt numFmtId="164" formatCode="_-&quot;$&quot;\ * #,##0.00_-;\-&quot;$&quot;\ * #,##0.00_-;_-&quot;$&quot;\ * &quot;-&quot;??_-;_-@"/>
    <numFmt numFmtId="165" formatCode="\$\ #,##0.00"/>
    <numFmt numFmtId="166" formatCode="\$\ #,##0"/>
    <numFmt numFmtId="167" formatCode="0.0"/>
    <numFmt numFmtId="168" formatCode="d/m/yyyy"/>
    <numFmt numFmtId="169" formatCode="_-&quot;$&quot;* #,##0_-;\-&quot;$&quot;* #,##0_-;_-&quot;$&quot;* &quot;-&quot;??_-;_-@"/>
    <numFmt numFmtId="170" formatCode="_-&quot;$&quot;* #,##0.0_-;\-&quot;$&quot;* #,##0.0_-;_-&quot;$&quot;* &quot;-&quot;??_-;_-@"/>
    <numFmt numFmtId="171" formatCode="_(&quot;$&quot;\ * #,##0.0_);_(&quot;$&quot;\ * \(#,##0.0\);_(&quot;$&quot;\ * &quot;-&quot;??_);_(@_)"/>
    <numFmt numFmtId="172" formatCode="_(&quot;$&quot;\ * #,##0.00_);_(&quot;$&quot;\ * \(#,##0.00\);_(&quot;$&quot;\ * &quot;-&quot;??_);_(@_)"/>
    <numFmt numFmtId="173" formatCode="_-&quot;$&quot;\ * #,##0.0_-;\-&quot;$&quot;\ * #,##0.0_-;_-&quot;$&quot;\ * &quot;-&quot;?_-;_-@"/>
    <numFmt numFmtId="174" formatCode="_-* #,##0.00_-;\-* #,##0.00_-;_-* &quot;-&quot;??_-;_-@"/>
    <numFmt numFmtId="175" formatCode="0.0000"/>
    <numFmt numFmtId="176" formatCode="_(&quot;$&quot;\ * #,##0_);_(&quot;$&quot;\ * \(#,##0\);_(&quot;$&quot;\ * &quot;-&quot;??_);_(@_)"/>
    <numFmt numFmtId="177" formatCode="0.0%"/>
    <numFmt numFmtId="178" formatCode="_-&quot;$&quot;* #,##0.00_-;\-&quot;$&quot;* #,##0.00_-;_-&quot;$&quot;* &quot;-&quot;??_-;_-@"/>
    <numFmt numFmtId="179" formatCode="_-&quot;$&quot;\ * #,##0.0_-;\-&quot;$&quot;\ * #,##0.0_-;_-&quot;$&quot;\ * &quot;-&quot;??_-;_-@"/>
    <numFmt numFmtId="180" formatCode="0.000%"/>
    <numFmt numFmtId="181" formatCode="_-&quot;$&quot;* #,##0_-;\-&quot;$&quot;* #,##0_-;_-&quot;$&quot;* &quot;-&quot;???_-;_-@"/>
    <numFmt numFmtId="182" formatCode="_-&quot;$&quot;\ * #,##0.0000_-;\-&quot;$&quot;\ * #,##0.0000_-;_-&quot;$&quot;\ * &quot;-&quot;????_-;_-@_-"/>
  </numFmts>
  <fonts count="65" x14ac:knownFonts="1">
    <font>
      <sz val="11"/>
      <color theme="1"/>
      <name val="Calibri"/>
      <scheme val="minor"/>
    </font>
    <font>
      <sz val="11"/>
      <color theme="1"/>
      <name val="Calibri"/>
      <family val="2"/>
      <scheme val="minor"/>
    </font>
    <font>
      <sz val="11"/>
      <color theme="1"/>
      <name val="Calibri"/>
      <family val="2"/>
    </font>
    <font>
      <sz val="11"/>
      <color rgb="FFFF0000"/>
      <name val="Calibri"/>
      <family val="2"/>
    </font>
    <font>
      <sz val="6"/>
      <color theme="1"/>
      <name val="Calibri"/>
      <family val="2"/>
    </font>
    <font>
      <b/>
      <sz val="10"/>
      <color theme="1"/>
      <name val="Arial"/>
      <family val="2"/>
    </font>
    <font>
      <sz val="11"/>
      <name val="Calibri"/>
      <family val="2"/>
    </font>
    <font>
      <b/>
      <sz val="10"/>
      <color theme="1"/>
      <name val="Swis721 LtCn BT"/>
      <family val="2"/>
    </font>
    <font>
      <b/>
      <sz val="11"/>
      <color theme="1"/>
      <name val="Calibri"/>
      <family val="2"/>
    </font>
    <font>
      <b/>
      <sz val="10"/>
      <color theme="1"/>
      <name val="Calibri"/>
      <family val="2"/>
    </font>
    <font>
      <sz val="10"/>
      <color theme="1"/>
      <name val="Calibri"/>
      <family val="2"/>
    </font>
    <font>
      <u/>
      <sz val="11"/>
      <color theme="10"/>
      <name val="Calibri"/>
      <family val="2"/>
    </font>
    <font>
      <b/>
      <sz val="16"/>
      <color theme="1"/>
      <name val="Calibri"/>
      <family val="2"/>
    </font>
    <font>
      <b/>
      <sz val="12"/>
      <color theme="1"/>
      <name val="Calibri"/>
      <family val="2"/>
    </font>
    <font>
      <i/>
      <sz val="10"/>
      <color theme="1"/>
      <name val="Calibri"/>
      <family val="2"/>
    </font>
    <font>
      <b/>
      <sz val="14"/>
      <color theme="1"/>
      <name val="Calibri"/>
      <family val="2"/>
    </font>
    <font>
      <i/>
      <sz val="8"/>
      <color theme="1"/>
      <name val="Calibri"/>
      <family val="2"/>
    </font>
    <font>
      <sz val="11"/>
      <color theme="0"/>
      <name val="Calibri"/>
      <family val="2"/>
    </font>
    <font>
      <sz val="14"/>
      <color theme="1"/>
      <name val="Calibri"/>
      <family val="2"/>
    </font>
    <font>
      <b/>
      <sz val="14"/>
      <color theme="0"/>
      <name val="Calibri"/>
      <family val="2"/>
    </font>
    <font>
      <sz val="14"/>
      <color theme="0"/>
      <name val="Calibri"/>
      <family val="2"/>
    </font>
    <font>
      <b/>
      <sz val="10"/>
      <color theme="0"/>
      <name val="Calibri"/>
      <family val="2"/>
    </font>
    <font>
      <b/>
      <sz val="10"/>
      <color rgb="FF000000"/>
      <name val="Calibri"/>
      <family val="2"/>
    </font>
    <font>
      <sz val="10"/>
      <color rgb="FF000000"/>
      <name val="Calibri"/>
      <family val="2"/>
    </font>
    <font>
      <u/>
      <sz val="11"/>
      <color theme="10"/>
      <name val="Calibri"/>
      <family val="2"/>
    </font>
    <font>
      <b/>
      <sz val="11"/>
      <color rgb="FFFF0000"/>
      <name val="Calibri"/>
      <family val="2"/>
    </font>
    <font>
      <b/>
      <sz val="14"/>
      <color rgb="FFFF0000"/>
      <name val="Calibri"/>
      <family val="2"/>
    </font>
    <font>
      <sz val="12"/>
      <color theme="1"/>
      <name val="Calibri"/>
      <family val="2"/>
    </font>
    <font>
      <b/>
      <i/>
      <sz val="12"/>
      <color theme="1"/>
      <name val="Calibri"/>
      <family val="2"/>
    </font>
    <font>
      <b/>
      <sz val="12"/>
      <color rgb="FFFF0000"/>
      <name val="Calibri"/>
      <family val="2"/>
    </font>
    <font>
      <b/>
      <sz val="14"/>
      <color rgb="FF000000"/>
      <name val="Calibri"/>
      <family val="2"/>
    </font>
    <font>
      <i/>
      <vertAlign val="superscript"/>
      <sz val="10"/>
      <color theme="1"/>
      <name val="Calibri"/>
      <family val="2"/>
    </font>
    <font>
      <sz val="11"/>
      <color theme="1"/>
      <name val="Calibri"/>
      <family val="2"/>
      <scheme val="minor"/>
    </font>
    <font>
      <b/>
      <sz val="12"/>
      <name val="Calibri"/>
      <family val="2"/>
    </font>
    <font>
      <sz val="11"/>
      <color rgb="FF000000"/>
      <name val="Calibri"/>
      <family val="2"/>
    </font>
    <font>
      <sz val="12"/>
      <name val="Calibri"/>
      <family val="2"/>
    </font>
    <font>
      <sz val="12"/>
      <name val="Calibri"/>
      <family val="2"/>
      <scheme val="minor"/>
    </font>
    <font>
      <i/>
      <sz val="12"/>
      <color theme="1"/>
      <name val="Calibri"/>
      <family val="2"/>
    </font>
    <font>
      <i/>
      <sz val="12"/>
      <name val="Calibri"/>
      <family val="2"/>
    </font>
    <font>
      <b/>
      <sz val="12"/>
      <color theme="1"/>
      <name val="Calibri"/>
      <family val="2"/>
    </font>
    <font>
      <sz val="12"/>
      <color theme="1"/>
      <name val="Calibri"/>
      <family val="2"/>
    </font>
    <font>
      <sz val="12"/>
      <color rgb="FFFF0000"/>
      <name val="Calibri"/>
      <family val="2"/>
    </font>
    <font>
      <sz val="12"/>
      <color theme="1"/>
      <name val="Calibri"/>
      <family val="2"/>
      <scheme val="minor"/>
    </font>
    <font>
      <b/>
      <sz val="12"/>
      <color rgb="FF000000"/>
      <name val="Calibri"/>
      <family val="2"/>
    </font>
    <font>
      <i/>
      <vertAlign val="superscript"/>
      <sz val="12"/>
      <name val="Calibri"/>
      <family val="2"/>
    </font>
    <font>
      <i/>
      <vertAlign val="superscript"/>
      <sz val="12"/>
      <color theme="1"/>
      <name val="Calibri"/>
      <family val="2"/>
    </font>
    <font>
      <b/>
      <sz val="13"/>
      <name val="Calibri"/>
      <family val="2"/>
    </font>
    <font>
      <sz val="13"/>
      <name val="Calibri"/>
      <family val="2"/>
    </font>
    <font>
      <sz val="13"/>
      <name val="Calibri"/>
      <family val="2"/>
      <scheme val="minor"/>
    </font>
    <font>
      <i/>
      <sz val="13"/>
      <color theme="1"/>
      <name val="Calibri"/>
      <family val="2"/>
    </font>
    <font>
      <i/>
      <sz val="13"/>
      <name val="Calibri"/>
      <family val="2"/>
    </font>
    <font>
      <b/>
      <sz val="13"/>
      <color theme="1"/>
      <name val="Calibri"/>
      <family val="2"/>
    </font>
    <font>
      <b/>
      <i/>
      <sz val="13"/>
      <name val="Calibri"/>
      <family val="2"/>
    </font>
    <font>
      <sz val="13"/>
      <color theme="1"/>
      <name val="Calibri"/>
      <family val="2"/>
    </font>
    <font>
      <sz val="13"/>
      <color rgb="FFFF0000"/>
      <name val="Calibri"/>
      <family val="2"/>
    </font>
    <font>
      <sz val="13"/>
      <color theme="1"/>
      <name val="Calibri"/>
      <family val="2"/>
      <scheme val="minor"/>
    </font>
    <font>
      <sz val="8"/>
      <name val="Calibri"/>
      <family val="2"/>
      <scheme val="minor"/>
    </font>
    <font>
      <b/>
      <sz val="11"/>
      <color theme="1"/>
      <name val="Calibri"/>
      <family val="2"/>
      <scheme val="minor"/>
    </font>
    <font>
      <sz val="11"/>
      <color theme="1"/>
      <name val="Calibri"/>
      <family val="2"/>
    </font>
    <font>
      <b/>
      <sz val="11"/>
      <color theme="1"/>
      <name val="Calibri"/>
      <family val="2"/>
    </font>
    <font>
      <sz val="11"/>
      <color theme="0"/>
      <name val="Calibri"/>
      <family val="2"/>
      <scheme val="minor"/>
    </font>
    <font>
      <sz val="10"/>
      <color theme="0"/>
      <name val="Calibri"/>
      <family val="2"/>
    </font>
    <font>
      <b/>
      <sz val="11"/>
      <color theme="1"/>
      <name val="Arial"/>
      <family val="2"/>
    </font>
    <font>
      <sz val="11"/>
      <color theme="1"/>
      <name val="Arial"/>
      <family val="2"/>
    </font>
    <font>
      <sz val="11"/>
      <color theme="1"/>
      <name val="Calibri"/>
      <scheme val="minor"/>
    </font>
  </fonts>
  <fills count="21">
    <fill>
      <patternFill patternType="none"/>
    </fill>
    <fill>
      <patternFill patternType="gray125"/>
    </fill>
    <fill>
      <patternFill patternType="solid">
        <fgColor theme="0"/>
        <bgColor theme="0"/>
      </patternFill>
    </fill>
    <fill>
      <patternFill patternType="solid">
        <fgColor rgb="FFB9D4ED"/>
        <bgColor rgb="FFB9D4ED"/>
      </patternFill>
    </fill>
    <fill>
      <patternFill patternType="solid">
        <fgColor rgb="FFBFBFBF"/>
        <bgColor rgb="FFBFBFBF"/>
      </patternFill>
    </fill>
    <fill>
      <patternFill patternType="solid">
        <fgColor rgb="FFC8C8C8"/>
        <bgColor rgb="FFC8C8C8"/>
      </patternFill>
    </fill>
    <fill>
      <patternFill patternType="solid">
        <fgColor rgb="FFA8D08D"/>
        <bgColor rgb="FFA8D08D"/>
      </patternFill>
    </fill>
    <fill>
      <patternFill patternType="solid">
        <fgColor rgb="FFC9DAF8"/>
        <bgColor rgb="FFC9DAF8"/>
      </patternFill>
    </fill>
    <fill>
      <patternFill patternType="solid">
        <fgColor rgb="FFFFFF00"/>
        <bgColor rgb="FFFFFF00"/>
      </patternFill>
    </fill>
    <fill>
      <patternFill patternType="solid">
        <fgColor rgb="FFD6DCE4"/>
        <bgColor rgb="FFD6DCE4"/>
      </patternFill>
    </fill>
    <fill>
      <patternFill patternType="solid">
        <fgColor rgb="FFC5E0B3"/>
        <bgColor rgb="FFC5E0B3"/>
      </patternFill>
    </fill>
    <fill>
      <patternFill patternType="solid">
        <fgColor rgb="FFFF0000"/>
        <bgColor rgb="FFFF0000"/>
      </patternFill>
    </fill>
    <fill>
      <patternFill patternType="solid">
        <fgColor rgb="FFFBE4D5"/>
        <bgColor rgb="FFFBE4D5"/>
      </patternFill>
    </fill>
    <fill>
      <patternFill patternType="solid">
        <fgColor rgb="FF548135"/>
        <bgColor rgb="FF548135"/>
      </patternFill>
    </fill>
    <fill>
      <patternFill patternType="solid">
        <fgColor rgb="FFD8D8D8"/>
        <bgColor rgb="FFD8D8D8"/>
      </patternFill>
    </fill>
    <fill>
      <patternFill patternType="solid">
        <fgColor rgb="FFD9E2F3"/>
        <bgColor rgb="FFD9E2F3"/>
      </patternFill>
    </fill>
    <fill>
      <patternFill patternType="solid">
        <fgColor rgb="FFB4C6E7"/>
        <bgColor rgb="FFB4C6E7"/>
      </patternFill>
    </fill>
    <fill>
      <patternFill patternType="solid">
        <fgColor rgb="FF92D050"/>
        <bgColor rgb="FF92D050"/>
      </patternFill>
    </fill>
    <fill>
      <patternFill patternType="solid">
        <fgColor rgb="FF3F3F3F"/>
        <bgColor rgb="FF3F3F3F"/>
      </patternFill>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hair">
        <color rgb="FF000000"/>
      </bottom>
      <diagonal/>
    </border>
    <border>
      <left/>
      <right/>
      <top/>
      <bottom style="hair">
        <color rgb="FF000000"/>
      </bottom>
      <diagonal/>
    </border>
    <border>
      <left/>
      <right style="medium">
        <color rgb="FF000000"/>
      </right>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style="hair">
        <color rgb="FF000000"/>
      </left>
      <right style="hair">
        <color rgb="FF000000"/>
      </right>
      <top/>
      <bottom style="hair">
        <color rgb="FF000000"/>
      </bottom>
      <diagonal/>
    </border>
    <border>
      <left/>
      <right style="hair">
        <color rgb="FF000000"/>
      </right>
      <top/>
      <bottom style="hair">
        <color rgb="FF000000"/>
      </bottom>
      <diagonal/>
    </border>
    <border>
      <left/>
      <right style="hair">
        <color rgb="FF000000"/>
      </right>
      <top style="hair">
        <color rgb="FF000000"/>
      </top>
      <bottom style="hair">
        <color rgb="FF000000"/>
      </bottom>
      <diagonal/>
    </border>
    <border>
      <left style="medium">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medium">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style="hair">
        <color rgb="FF000000"/>
      </left>
      <right/>
      <top/>
      <bottom/>
      <diagonal/>
    </border>
    <border>
      <left/>
      <right style="hair">
        <color rgb="FF000000"/>
      </right>
      <top/>
      <bottom/>
      <diagonal/>
    </border>
    <border>
      <left/>
      <right/>
      <top/>
      <bottom style="hair">
        <color rgb="FF000000"/>
      </bottom>
      <diagonal/>
    </border>
    <border>
      <left style="hair">
        <color rgb="FF000000"/>
      </left>
      <right/>
      <top style="hair">
        <color rgb="FF000000"/>
      </top>
      <bottom style="hair">
        <color rgb="FF000000"/>
      </bottom>
      <diagonal/>
    </border>
    <border>
      <left style="medium">
        <color rgb="FF000000"/>
      </left>
      <right style="medium">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hair">
        <color rgb="FF000000"/>
      </left>
      <right/>
      <top/>
      <bottom/>
      <diagonal/>
    </border>
    <border>
      <left style="hair">
        <color rgb="FF000000"/>
      </left>
      <right/>
      <top/>
      <bottom style="hair">
        <color rgb="FF000000"/>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style="hair">
        <color rgb="FF000000"/>
      </left>
      <right/>
      <top/>
      <bottom style="hair">
        <color rgb="FF000000"/>
      </bottom>
      <diagonal/>
    </border>
    <border>
      <left/>
      <right/>
      <top/>
      <bottom style="hair">
        <color rgb="FF000000"/>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32" fillId="0" borderId="0" applyFont="0" applyFill="0" applyBorder="0" applyAlignment="0" applyProtection="0"/>
    <xf numFmtId="0" fontId="32" fillId="0" borderId="13"/>
    <xf numFmtId="44" fontId="32" fillId="0" borderId="13" applyFont="0" applyFill="0" applyBorder="0" applyAlignment="0" applyProtection="0"/>
    <xf numFmtId="0" fontId="32" fillId="0" borderId="13"/>
    <xf numFmtId="43" fontId="64" fillId="0" borderId="0" applyFont="0" applyFill="0" applyBorder="0" applyAlignment="0" applyProtection="0"/>
  </cellStyleXfs>
  <cellXfs count="488">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164" fontId="2" fillId="0" borderId="0" xfId="0" applyNumberFormat="1" applyFont="1" applyAlignment="1">
      <alignment horizontal="center" vertical="center"/>
    </xf>
    <xf numFmtId="164" fontId="2" fillId="0" borderId="5" xfId="0" applyNumberFormat="1" applyFont="1" applyBorder="1" applyAlignment="1">
      <alignment horizontal="center" vertic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164" fontId="2" fillId="0" borderId="0" xfId="0" applyNumberFormat="1" applyFont="1"/>
    <xf numFmtId="0" fontId="3" fillId="0" borderId="0" xfId="0" applyFont="1"/>
    <xf numFmtId="165" fontId="4" fillId="0" borderId="9" xfId="0" applyNumberFormat="1" applyFont="1" applyBorder="1" applyAlignment="1">
      <alignment horizontal="center" vertical="center" shrinkToFit="1"/>
    </xf>
    <xf numFmtId="165" fontId="4" fillId="0" borderId="9" xfId="0" applyNumberFormat="1" applyFont="1" applyBorder="1" applyAlignment="1">
      <alignment horizontal="center" vertical="top" shrinkToFit="1"/>
    </xf>
    <xf numFmtId="166" fontId="4" fillId="0" borderId="9" xfId="0" applyNumberFormat="1" applyFont="1" applyBorder="1" applyAlignment="1">
      <alignment horizontal="center" vertical="center" shrinkToFit="1"/>
    </xf>
    <xf numFmtId="166" fontId="4" fillId="0" borderId="9" xfId="0" applyNumberFormat="1" applyFont="1" applyBorder="1" applyAlignment="1">
      <alignment horizontal="center" vertical="top" shrinkToFit="1"/>
    </xf>
    <xf numFmtId="0" fontId="2" fillId="2" borderId="10" xfId="0" applyFont="1" applyFill="1" applyBorder="1" applyAlignment="1">
      <alignment horizontal="center" vertical="center"/>
    </xf>
    <xf numFmtId="0" fontId="2" fillId="2" borderId="10" xfId="0" applyFont="1" applyFill="1" applyBorder="1"/>
    <xf numFmtId="0" fontId="2" fillId="2" borderId="10" xfId="0" applyFont="1" applyFill="1" applyBorder="1" applyAlignment="1">
      <alignment horizontal="center"/>
    </xf>
    <xf numFmtId="0" fontId="5" fillId="2" borderId="10" xfId="0" applyFont="1" applyFill="1" applyBorder="1" applyAlignment="1">
      <alignment horizontal="center" vertical="center"/>
    </xf>
    <xf numFmtId="0" fontId="7" fillId="2" borderId="10" xfId="0" applyFont="1" applyFill="1" applyBorder="1" applyAlignment="1">
      <alignment horizontal="center" vertical="center"/>
    </xf>
    <xf numFmtId="0" fontId="8" fillId="3" borderId="9" xfId="0" applyFont="1" applyFill="1" applyBorder="1" applyAlignment="1">
      <alignment horizontal="center" vertical="center"/>
    </xf>
    <xf numFmtId="167" fontId="9" fillId="3" borderId="9" xfId="0" applyNumberFormat="1" applyFont="1" applyFill="1" applyBorder="1" applyAlignment="1">
      <alignment horizontal="center" vertical="center" wrapText="1"/>
    </xf>
    <xf numFmtId="2" fontId="10" fillId="2" borderId="9" xfId="0" applyNumberFormat="1" applyFont="1" applyFill="1" applyBorder="1" applyAlignment="1">
      <alignment horizontal="center" vertical="center" wrapText="1"/>
    </xf>
    <xf numFmtId="0" fontId="10" fillId="2" borderId="9" xfId="0" applyFont="1" applyFill="1" applyBorder="1" applyAlignment="1">
      <alignment horizontal="left" vertical="center" wrapText="1"/>
    </xf>
    <xf numFmtId="0" fontId="10" fillId="2" borderId="9" xfId="0" applyFont="1" applyFill="1" applyBorder="1" applyAlignment="1">
      <alignment horizontal="center" vertical="center" wrapText="1"/>
    </xf>
    <xf numFmtId="164" fontId="10" fillId="2" borderId="9" xfId="0" applyNumberFormat="1" applyFont="1" applyFill="1" applyBorder="1" applyAlignment="1">
      <alignment horizontal="center" vertical="center" wrapText="1"/>
    </xf>
    <xf numFmtId="164" fontId="10" fillId="2" borderId="9" xfId="0" applyNumberFormat="1" applyFont="1" applyFill="1" applyBorder="1" applyAlignment="1">
      <alignment horizontal="right" vertical="center" wrapText="1"/>
    </xf>
    <xf numFmtId="167" fontId="10" fillId="2" borderId="9" xfId="0" applyNumberFormat="1" applyFont="1" applyFill="1" applyBorder="1" applyAlignment="1">
      <alignment horizontal="center" vertical="center" wrapText="1"/>
    </xf>
    <xf numFmtId="0" fontId="11" fillId="0" borderId="0" xfId="0" applyFont="1"/>
    <xf numFmtId="168" fontId="2" fillId="0" borderId="0" xfId="0" applyNumberFormat="1" applyFont="1"/>
    <xf numFmtId="0" fontId="2" fillId="0" borderId="0" xfId="0" applyFont="1" applyAlignment="1">
      <alignment vertical="center"/>
    </xf>
    <xf numFmtId="2" fontId="2" fillId="0" borderId="0" xfId="0" applyNumberFormat="1" applyFont="1" applyAlignment="1">
      <alignment vertical="center"/>
    </xf>
    <xf numFmtId="0" fontId="2" fillId="8" borderId="10" xfId="0" applyFont="1" applyFill="1" applyBorder="1" applyAlignment="1">
      <alignment horizontal="center" vertical="center"/>
    </xf>
    <xf numFmtId="169" fontId="9" fillId="9" borderId="29" xfId="0" applyNumberFormat="1" applyFont="1" applyFill="1" applyBorder="1" applyAlignment="1">
      <alignment vertical="center" wrapText="1"/>
    </xf>
    <xf numFmtId="49" fontId="9" fillId="9" borderId="29" xfId="0" applyNumberFormat="1" applyFont="1" applyFill="1" applyBorder="1" applyAlignment="1">
      <alignment horizontal="center" vertical="center" wrapText="1"/>
    </xf>
    <xf numFmtId="164" fontId="2" fillId="0" borderId="0" xfId="0" applyNumberFormat="1" applyFont="1" applyAlignment="1">
      <alignment vertical="center"/>
    </xf>
    <xf numFmtId="49" fontId="14" fillId="0" borderId="29" xfId="0" applyNumberFormat="1" applyFont="1" applyBorder="1" applyAlignment="1">
      <alignment horizontal="center" vertical="center" wrapText="1"/>
    </xf>
    <xf numFmtId="2" fontId="2" fillId="0" borderId="0" xfId="0" applyNumberFormat="1" applyFont="1" applyAlignment="1">
      <alignment horizontal="center" vertical="center"/>
    </xf>
    <xf numFmtId="49" fontId="14" fillId="2" borderId="29" xfId="0" applyNumberFormat="1" applyFont="1" applyFill="1" applyBorder="1" applyAlignment="1">
      <alignment horizontal="center" vertical="center" wrapText="1"/>
    </xf>
    <xf numFmtId="169" fontId="9" fillId="9" borderId="29" xfId="0" applyNumberFormat="1" applyFont="1" applyFill="1" applyBorder="1" applyAlignment="1">
      <alignment vertical="top" wrapText="1"/>
    </xf>
    <xf numFmtId="49" fontId="2" fillId="0" borderId="0" xfId="0" applyNumberFormat="1" applyFont="1" applyAlignment="1">
      <alignment vertical="center"/>
    </xf>
    <xf numFmtId="0" fontId="10" fillId="0" borderId="0" xfId="0" applyFont="1"/>
    <xf numFmtId="0" fontId="2" fillId="0" borderId="0" xfId="0" applyFont="1" applyAlignment="1">
      <alignment horizontal="center"/>
    </xf>
    <xf numFmtId="172" fontId="2" fillId="0" borderId="0" xfId="0" applyNumberFormat="1" applyFont="1"/>
    <xf numFmtId="0" fontId="16" fillId="0" borderId="29" xfId="0" applyFont="1" applyBorder="1" applyAlignment="1">
      <alignment horizontal="left" vertical="center" wrapText="1"/>
    </xf>
    <xf numFmtId="0" fontId="16" fillId="8" borderId="29" xfId="0" applyFont="1" applyFill="1" applyBorder="1" applyAlignment="1">
      <alignment horizontal="left" vertical="center" wrapText="1"/>
    </xf>
    <xf numFmtId="49" fontId="14" fillId="8" borderId="29" xfId="0" applyNumberFormat="1" applyFont="1" applyFill="1" applyBorder="1" applyAlignment="1">
      <alignment horizontal="center" vertical="center" wrapText="1"/>
    </xf>
    <xf numFmtId="164" fontId="2" fillId="8" borderId="10" xfId="0" applyNumberFormat="1" applyFont="1" applyFill="1" applyBorder="1" applyAlignment="1">
      <alignment horizontal="center" vertical="center"/>
    </xf>
    <xf numFmtId="0" fontId="2" fillId="8" borderId="10" xfId="0" applyFont="1" applyFill="1" applyBorder="1"/>
    <xf numFmtId="164" fontId="2" fillId="11" borderId="10" xfId="0" applyNumberFormat="1" applyFont="1" applyFill="1" applyBorder="1" applyAlignment="1">
      <alignment horizontal="center" vertical="center"/>
    </xf>
    <xf numFmtId="164" fontId="2" fillId="12" borderId="10" xfId="0" applyNumberFormat="1" applyFont="1" applyFill="1" applyBorder="1"/>
    <xf numFmtId="164" fontId="2" fillId="0" borderId="0" xfId="0" applyNumberFormat="1" applyFont="1" applyAlignment="1">
      <alignment horizontal="center" vertical="center" wrapText="1"/>
    </xf>
    <xf numFmtId="0" fontId="16" fillId="2" borderId="29" xfId="0" applyFont="1" applyFill="1" applyBorder="1" applyAlignment="1">
      <alignment horizontal="left" vertical="center" wrapText="1"/>
    </xf>
    <xf numFmtId="164" fontId="2" fillId="0" borderId="0" xfId="0" applyNumberFormat="1" applyFont="1" applyAlignment="1">
      <alignment horizontal="center"/>
    </xf>
    <xf numFmtId="171" fontId="2" fillId="0" borderId="0" xfId="0" applyNumberFormat="1" applyFont="1" applyAlignment="1">
      <alignment vertical="center"/>
    </xf>
    <xf numFmtId="0" fontId="17" fillId="0" borderId="0" xfId="0" applyFont="1" applyAlignment="1">
      <alignment horizontal="center" vertical="center"/>
    </xf>
    <xf numFmtId="0" fontId="17" fillId="0" borderId="0" xfId="0" applyFont="1"/>
    <xf numFmtId="0" fontId="9" fillId="0" borderId="0" xfId="0" applyFont="1" applyAlignment="1">
      <alignment vertical="center"/>
    </xf>
    <xf numFmtId="2" fontId="9" fillId="0" borderId="0" xfId="0" applyNumberFormat="1" applyFont="1" applyAlignment="1">
      <alignment vertical="center"/>
    </xf>
    <xf numFmtId="0" fontId="18" fillId="0" borderId="0" xfId="0" applyFont="1"/>
    <xf numFmtId="0" fontId="13" fillId="0" borderId="9" xfId="0" applyFont="1" applyBorder="1" applyAlignment="1">
      <alignment vertical="center" wrapText="1"/>
    </xf>
    <xf numFmtId="174" fontId="13" fillId="0" borderId="9" xfId="0" applyNumberFormat="1" applyFont="1" applyBorder="1" applyAlignment="1">
      <alignment vertical="center" wrapText="1"/>
    </xf>
    <xf numFmtId="0" fontId="20" fillId="0" borderId="0" xfId="0" applyFont="1" applyAlignment="1">
      <alignment horizontal="center" vertical="center"/>
    </xf>
    <xf numFmtId="0" fontId="20" fillId="0" borderId="0" xfId="0" applyFont="1"/>
    <xf numFmtId="0" fontId="21" fillId="13" borderId="9" xfId="0" applyFont="1" applyFill="1" applyBorder="1" applyAlignment="1">
      <alignment horizontal="center" vertical="center" wrapText="1"/>
    </xf>
    <xf numFmtId="0" fontId="22" fillId="10" borderId="9" xfId="0" applyFont="1" applyFill="1" applyBorder="1" applyAlignment="1">
      <alignment horizontal="center" vertical="center"/>
    </xf>
    <xf numFmtId="171" fontId="22" fillId="10" borderId="9" xfId="0" applyNumberFormat="1" applyFont="1" applyFill="1" applyBorder="1" applyAlignment="1">
      <alignment horizontal="right" vertical="center"/>
    </xf>
    <xf numFmtId="10" fontId="2" fillId="0" borderId="0" xfId="0" applyNumberFormat="1" applyFont="1"/>
    <xf numFmtId="0" fontId="2" fillId="0" borderId="9" xfId="0" applyFont="1" applyBorder="1" applyAlignment="1">
      <alignment horizontal="center" vertical="center"/>
    </xf>
    <xf numFmtId="0" fontId="2" fillId="0" borderId="9" xfId="0" applyFont="1" applyBorder="1" applyAlignment="1">
      <alignment vertical="center" wrapText="1"/>
    </xf>
    <xf numFmtId="0" fontId="23" fillId="0" borderId="9" xfId="0" applyFont="1" applyBorder="1" applyAlignment="1">
      <alignment horizontal="center" vertical="center"/>
    </xf>
    <xf numFmtId="9" fontId="2" fillId="0" borderId="9" xfId="0" applyNumberFormat="1" applyFont="1" applyBorder="1" applyAlignment="1">
      <alignment horizontal="center" vertical="center"/>
    </xf>
    <xf numFmtId="2" fontId="2" fillId="0" borderId="9" xfId="0" applyNumberFormat="1" applyFont="1" applyBorder="1" applyAlignment="1">
      <alignment horizontal="center" vertical="center"/>
    </xf>
    <xf numFmtId="171" fontId="2" fillId="0" borderId="9" xfId="0" applyNumberFormat="1" applyFont="1" applyBorder="1" applyAlignment="1">
      <alignment vertical="center"/>
    </xf>
    <xf numFmtId="175" fontId="2" fillId="0" borderId="9" xfId="0" applyNumberFormat="1" applyFont="1" applyBorder="1" applyAlignment="1">
      <alignment horizontal="center" vertical="center"/>
    </xf>
    <xf numFmtId="172" fontId="2" fillId="0" borderId="9" xfId="0" applyNumberFormat="1" applyFont="1" applyBorder="1" applyAlignment="1">
      <alignment horizontal="center" vertical="center"/>
    </xf>
    <xf numFmtId="174" fontId="2" fillId="0" borderId="0" xfId="0" applyNumberFormat="1" applyFont="1" applyAlignment="1">
      <alignment horizontal="center" vertical="center"/>
    </xf>
    <xf numFmtId="164" fontId="17" fillId="0" borderId="0" xfId="0" applyNumberFormat="1" applyFont="1" applyAlignment="1">
      <alignment horizontal="center" vertical="center"/>
    </xf>
    <xf numFmtId="2" fontId="2" fillId="0" borderId="35" xfId="0" applyNumberFormat="1" applyFont="1" applyBorder="1" applyAlignment="1">
      <alignment horizontal="center" vertical="center"/>
    </xf>
    <xf numFmtId="0" fontId="23" fillId="0" borderId="35" xfId="0" applyFont="1" applyBorder="1" applyAlignment="1">
      <alignment horizontal="center" vertical="center"/>
    </xf>
    <xf numFmtId="9" fontId="2" fillId="0" borderId="35" xfId="0" applyNumberFormat="1" applyFont="1" applyBorder="1" applyAlignment="1">
      <alignment horizontal="center" vertical="center"/>
    </xf>
    <xf numFmtId="176" fontId="2" fillId="0" borderId="35" xfId="0" applyNumberFormat="1" applyFont="1" applyBorder="1" applyAlignment="1">
      <alignment vertical="center"/>
    </xf>
    <xf numFmtId="172" fontId="2" fillId="0" borderId="35" xfId="0" applyNumberFormat="1" applyFont="1" applyBorder="1" applyAlignment="1">
      <alignment horizontal="center" vertical="center"/>
    </xf>
    <xf numFmtId="2" fontId="2" fillId="0" borderId="52" xfId="0" applyNumberFormat="1" applyFont="1" applyBorder="1" applyAlignment="1">
      <alignment horizontal="center" vertical="center"/>
    </xf>
    <xf numFmtId="0" fontId="2" fillId="0" borderId="53" xfId="0" applyFont="1" applyBorder="1" applyAlignment="1">
      <alignment horizontal="center" vertical="center" wrapText="1"/>
    </xf>
    <xf numFmtId="0" fontId="2" fillId="0" borderId="39" xfId="0" applyFont="1" applyBorder="1" applyAlignment="1">
      <alignment horizontal="center" vertical="center" wrapText="1"/>
    </xf>
    <xf numFmtId="0" fontId="23" fillId="0" borderId="39" xfId="0" applyFont="1" applyBorder="1" applyAlignment="1">
      <alignment horizontal="center" vertical="center"/>
    </xf>
    <xf numFmtId="9" fontId="2" fillId="0" borderId="39" xfId="0" applyNumberFormat="1" applyFont="1" applyBorder="1" applyAlignment="1">
      <alignment horizontal="center" vertical="center"/>
    </xf>
    <xf numFmtId="2" fontId="2" fillId="0" borderId="39" xfId="0" applyNumberFormat="1" applyFont="1" applyBorder="1" applyAlignment="1">
      <alignment horizontal="center" vertical="center"/>
    </xf>
    <xf numFmtId="176" fontId="2" fillId="0" borderId="39" xfId="0" applyNumberFormat="1" applyFont="1" applyBorder="1" applyAlignment="1">
      <alignment vertical="center"/>
    </xf>
    <xf numFmtId="2" fontId="2" fillId="0" borderId="40" xfId="0" applyNumberFormat="1" applyFont="1" applyBorder="1" applyAlignment="1">
      <alignment horizontal="center" vertical="center"/>
    </xf>
    <xf numFmtId="172" fontId="2" fillId="0" borderId="52" xfId="0" applyNumberFormat="1" applyFont="1" applyBorder="1" applyAlignment="1">
      <alignment horizontal="center" vertical="center"/>
    </xf>
    <xf numFmtId="0" fontId="22" fillId="2" borderId="10" xfId="0" applyFont="1" applyFill="1" applyBorder="1" applyAlignment="1">
      <alignment horizontal="center" vertical="center"/>
    </xf>
    <xf numFmtId="173" fontId="22" fillId="2" borderId="10" xfId="0" applyNumberFormat="1" applyFont="1" applyFill="1" applyBorder="1" applyAlignment="1">
      <alignment horizontal="center" vertical="center"/>
    </xf>
    <xf numFmtId="0" fontId="22" fillId="2" borderId="55" xfId="0" applyFont="1" applyFill="1" applyBorder="1" applyAlignment="1">
      <alignment horizontal="center" vertical="center"/>
    </xf>
    <xf numFmtId="164" fontId="2" fillId="0" borderId="9" xfId="0" applyNumberFormat="1" applyFont="1" applyBorder="1" applyAlignment="1">
      <alignment horizontal="center" vertical="center"/>
    </xf>
    <xf numFmtId="171" fontId="23" fillId="0" borderId="9" xfId="0" applyNumberFormat="1" applyFont="1" applyBorder="1" applyAlignment="1">
      <alignment horizontal="right" vertical="center"/>
    </xf>
    <xf numFmtId="173" fontId="2" fillId="0" borderId="0" xfId="0" applyNumberFormat="1" applyFont="1" applyAlignment="1">
      <alignment horizontal="center" vertical="center"/>
    </xf>
    <xf numFmtId="171" fontId="17" fillId="0" borderId="0" xfId="0" applyNumberFormat="1" applyFont="1" applyAlignment="1">
      <alignment horizontal="center" vertical="center"/>
    </xf>
    <xf numFmtId="164" fontId="17" fillId="0" borderId="0" xfId="0" applyNumberFormat="1" applyFont="1"/>
    <xf numFmtId="177" fontId="2" fillId="0" borderId="9" xfId="0" applyNumberFormat="1" applyFont="1" applyBorder="1" applyAlignment="1">
      <alignment horizontal="center" vertical="center"/>
    </xf>
    <xf numFmtId="178" fontId="17" fillId="0" borderId="0" xfId="0" applyNumberFormat="1" applyFont="1" applyAlignment="1">
      <alignment horizontal="center" vertical="center"/>
    </xf>
    <xf numFmtId="176" fontId="2" fillId="0" borderId="0" xfId="0" applyNumberFormat="1" applyFont="1"/>
    <xf numFmtId="0" fontId="2" fillId="0" borderId="0" xfId="0" applyFont="1" applyAlignment="1">
      <alignment vertical="center" wrapText="1"/>
    </xf>
    <xf numFmtId="176" fontId="2" fillId="0" borderId="0" xfId="0" applyNumberFormat="1" applyFont="1" applyAlignment="1">
      <alignment horizontal="center" vertical="center"/>
    </xf>
    <xf numFmtId="0" fontId="24" fillId="0" borderId="0" xfId="0" applyFont="1" applyAlignment="1">
      <alignment vertical="center"/>
    </xf>
    <xf numFmtId="179" fontId="18" fillId="0" borderId="0" xfId="0" applyNumberFormat="1" applyFont="1"/>
    <xf numFmtId="179" fontId="2" fillId="0" borderId="0" xfId="0" applyNumberFormat="1" applyFont="1"/>
    <xf numFmtId="0" fontId="17" fillId="0" borderId="0" xfId="0" applyFont="1" applyAlignment="1">
      <alignment vertical="center"/>
    </xf>
    <xf numFmtId="174" fontId="25" fillId="0" borderId="0" xfId="0" applyNumberFormat="1" applyFont="1" applyAlignment="1">
      <alignment horizontal="center" vertical="center"/>
    </xf>
    <xf numFmtId="174" fontId="2" fillId="0" borderId="0" xfId="0" applyNumberFormat="1" applyFont="1"/>
    <xf numFmtId="9" fontId="2" fillId="0" borderId="0" xfId="0" applyNumberFormat="1" applyFont="1"/>
    <xf numFmtId="0" fontId="22" fillId="10" borderId="29" xfId="0" applyFont="1" applyFill="1" applyBorder="1" applyAlignment="1">
      <alignment horizontal="center" vertical="center"/>
    </xf>
    <xf numFmtId="172" fontId="22" fillId="10" borderId="29" xfId="0" applyNumberFormat="1" applyFont="1" applyFill="1" applyBorder="1" applyAlignment="1">
      <alignment vertical="center"/>
    </xf>
    <xf numFmtId="0" fontId="2" fillId="0" borderId="29" xfId="0" applyFont="1" applyBorder="1" applyAlignment="1">
      <alignment horizontal="center" vertical="center"/>
    </xf>
    <xf numFmtId="0" fontId="2" fillId="0" borderId="29" xfId="0" applyFont="1" applyBorder="1" applyAlignment="1">
      <alignment horizontal="left" vertical="center"/>
    </xf>
    <xf numFmtId="9" fontId="2" fillId="0" borderId="29" xfId="0" applyNumberFormat="1" applyFont="1" applyBorder="1" applyAlignment="1">
      <alignment horizontal="center" vertical="center"/>
    </xf>
    <xf numFmtId="178" fontId="2" fillId="0" borderId="29" xfId="0" applyNumberFormat="1" applyFont="1" applyBorder="1" applyAlignment="1">
      <alignment horizontal="center" vertical="center"/>
    </xf>
    <xf numFmtId="180" fontId="2" fillId="0" borderId="29" xfId="0" applyNumberFormat="1" applyFont="1" applyBorder="1" applyAlignment="1">
      <alignment horizontal="center" vertical="center"/>
    </xf>
    <xf numFmtId="174" fontId="2" fillId="0" borderId="29" xfId="0" applyNumberFormat="1" applyFont="1" applyBorder="1" applyAlignment="1">
      <alignment horizontal="center" vertical="center"/>
    </xf>
    <xf numFmtId="181" fontId="2" fillId="0" borderId="29" xfId="0" applyNumberFormat="1" applyFont="1" applyBorder="1" applyAlignment="1">
      <alignment horizontal="center" vertical="center"/>
    </xf>
    <xf numFmtId="0" fontId="2" fillId="0" borderId="29" xfId="0" applyFont="1" applyBorder="1" applyAlignment="1">
      <alignment horizontal="left" vertical="center" wrapText="1"/>
    </xf>
    <xf numFmtId="9" fontId="2" fillId="0" borderId="29" xfId="0" applyNumberFormat="1" applyFont="1" applyBorder="1" applyAlignment="1">
      <alignment horizontal="center" vertical="center" wrapText="1"/>
    </xf>
    <xf numFmtId="178" fontId="2" fillId="14" borderId="29" xfId="0" applyNumberFormat="1" applyFont="1" applyFill="1" applyBorder="1" applyAlignment="1">
      <alignment horizontal="center" vertical="center"/>
    </xf>
    <xf numFmtId="0" fontId="2" fillId="0" borderId="29" xfId="0" applyFont="1" applyBorder="1"/>
    <xf numFmtId="172" fontId="2" fillId="0" borderId="29" xfId="0" applyNumberFormat="1" applyFont="1" applyBorder="1" applyAlignment="1">
      <alignment horizontal="center" vertical="center"/>
    </xf>
    <xf numFmtId="176" fontId="2" fillId="14" borderId="29" xfId="0" applyNumberFormat="1" applyFont="1" applyFill="1" applyBorder="1" applyAlignment="1">
      <alignment horizontal="center" vertical="center"/>
    </xf>
    <xf numFmtId="172" fontId="8" fillId="0" borderId="29" xfId="0" applyNumberFormat="1" applyFont="1" applyBorder="1" applyAlignment="1">
      <alignment horizontal="center" vertical="center"/>
    </xf>
    <xf numFmtId="174" fontId="25" fillId="0" borderId="9"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15" borderId="9" xfId="0" applyFont="1" applyFill="1" applyBorder="1" applyAlignment="1">
      <alignment horizontal="center" vertical="center" wrapText="1"/>
    </xf>
    <xf numFmtId="0" fontId="25" fillId="12" borderId="9" xfId="0" applyFont="1" applyFill="1" applyBorder="1" applyAlignment="1">
      <alignment horizontal="center" vertical="center" wrapText="1"/>
    </xf>
    <xf numFmtId="0" fontId="15" fillId="16" borderId="9" xfId="0" applyFont="1" applyFill="1" applyBorder="1" applyAlignment="1">
      <alignment vertical="center"/>
    </xf>
    <xf numFmtId="176" fontId="25" fillId="0" borderId="9" xfId="0" applyNumberFormat="1" applyFont="1" applyBorder="1" applyAlignment="1">
      <alignment horizontal="center" vertical="center"/>
    </xf>
    <xf numFmtId="0" fontId="8" fillId="0" borderId="9" xfId="0" applyFont="1" applyBorder="1" applyAlignment="1">
      <alignment horizontal="center" vertical="center" wrapText="1"/>
    </xf>
    <xf numFmtId="0" fontId="2" fillId="15" borderId="9" xfId="0" applyFont="1" applyFill="1" applyBorder="1" applyAlignment="1">
      <alignment horizontal="left" vertical="center" wrapText="1"/>
    </xf>
    <xf numFmtId="0" fontId="8" fillId="15" borderId="9" xfId="0" applyFont="1" applyFill="1" applyBorder="1" applyAlignment="1">
      <alignment horizontal="center" vertical="center" wrapText="1"/>
    </xf>
    <xf numFmtId="0" fontId="2" fillId="12" borderId="9" xfId="0" applyFont="1" applyFill="1" applyBorder="1" applyAlignment="1">
      <alignment horizontal="center" vertical="center" wrapText="1"/>
    </xf>
    <xf numFmtId="0" fontId="8" fillId="12" borderId="9" xfId="0" applyFont="1" applyFill="1" applyBorder="1" applyAlignment="1">
      <alignment horizontal="center" vertical="center" wrapText="1"/>
    </xf>
    <xf numFmtId="0" fontId="2" fillId="12" borderId="9" xfId="0" applyFont="1" applyFill="1" applyBorder="1" applyAlignment="1">
      <alignment horizontal="left" vertical="center" wrapText="1"/>
    </xf>
    <xf numFmtId="0" fontId="26" fillId="17" borderId="9" xfId="0" applyFont="1" applyFill="1" applyBorder="1" applyAlignment="1">
      <alignment vertical="center"/>
    </xf>
    <xf numFmtId="0" fontId="26" fillId="18" borderId="58" xfId="0" applyFont="1" applyFill="1" applyBorder="1" applyAlignment="1">
      <alignment vertical="center"/>
    </xf>
    <xf numFmtId="0" fontId="2" fillId="0" borderId="0" xfId="0" applyFont="1" applyAlignment="1">
      <alignment horizontal="center" vertical="center" wrapText="1"/>
    </xf>
    <xf numFmtId="174" fontId="8"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49" fontId="2" fillId="0" borderId="0" xfId="0" applyNumberFormat="1" applyFont="1" applyAlignment="1">
      <alignment horizontal="center" vertical="center"/>
    </xf>
    <xf numFmtId="4" fontId="2" fillId="0" borderId="0" xfId="0" applyNumberFormat="1" applyFont="1"/>
    <xf numFmtId="171" fontId="13" fillId="0" borderId="9" xfId="0" applyNumberFormat="1" applyFont="1" applyBorder="1" applyAlignment="1">
      <alignment horizontal="center" vertical="center"/>
    </xf>
    <xf numFmtId="0" fontId="8" fillId="0" borderId="60" xfId="0" applyFont="1" applyBorder="1" applyAlignment="1">
      <alignment horizontal="center" vertical="center"/>
    </xf>
    <xf numFmtId="0" fontId="8" fillId="0" borderId="62" xfId="0" applyFont="1" applyBorder="1" applyAlignment="1">
      <alignment horizontal="center" vertical="center"/>
    </xf>
    <xf numFmtId="0" fontId="28" fillId="0" borderId="60" xfId="0" applyFont="1" applyBorder="1"/>
    <xf numFmtId="10" fontId="28" fillId="0" borderId="61" xfId="0" applyNumberFormat="1" applyFont="1" applyBorder="1"/>
    <xf numFmtId="0" fontId="13" fillId="0" borderId="17" xfId="0" applyFont="1" applyBorder="1"/>
    <xf numFmtId="0" fontId="27" fillId="0" borderId="19" xfId="0" applyFont="1" applyBorder="1"/>
    <xf numFmtId="0" fontId="27" fillId="0" borderId="20" xfId="0" applyFont="1" applyBorder="1"/>
    <xf numFmtId="10" fontId="2" fillId="0" borderId="21" xfId="0" applyNumberFormat="1" applyFont="1" applyBorder="1"/>
    <xf numFmtId="0" fontId="2" fillId="0" borderId="20" xfId="0" applyFont="1" applyBorder="1"/>
    <xf numFmtId="0" fontId="8" fillId="0" borderId="20" xfId="0" applyFont="1" applyBorder="1"/>
    <xf numFmtId="10" fontId="8" fillId="0" borderId="21" xfId="0" applyNumberFormat="1" applyFont="1" applyBorder="1"/>
    <xf numFmtId="0" fontId="28" fillId="0" borderId="22" xfId="0" applyFont="1" applyBorder="1"/>
    <xf numFmtId="10" fontId="28" fillId="0" borderId="24" xfId="0" applyNumberFormat="1" applyFont="1" applyBorder="1"/>
    <xf numFmtId="0" fontId="13" fillId="0" borderId="0" xfId="0" applyFont="1"/>
    <xf numFmtId="0" fontId="12" fillId="0" borderId="0" xfId="0" applyFont="1" applyAlignment="1">
      <alignment vertical="center"/>
    </xf>
    <xf numFmtId="0" fontId="19" fillId="13" borderId="9" xfId="0" applyFont="1" applyFill="1" applyBorder="1" applyAlignment="1">
      <alignment vertical="center" wrapText="1"/>
    </xf>
    <xf numFmtId="2" fontId="13" fillId="0" borderId="9" xfId="0" applyNumberFormat="1" applyFont="1" applyBorder="1" applyAlignment="1">
      <alignment vertical="center" wrapText="1"/>
    </xf>
    <xf numFmtId="174" fontId="29" fillId="0" borderId="9" xfId="0" applyNumberFormat="1" applyFont="1" applyBorder="1" applyAlignment="1">
      <alignment vertical="center" wrapText="1"/>
    </xf>
    <xf numFmtId="0" fontId="21" fillId="13" borderId="9" xfId="0" applyFont="1" applyFill="1" applyBorder="1" applyAlignment="1">
      <alignment vertical="center" wrapText="1"/>
    </xf>
    <xf numFmtId="9" fontId="21" fillId="13" borderId="9" xfId="0" applyNumberFormat="1" applyFont="1" applyFill="1" applyBorder="1" applyAlignment="1">
      <alignment vertical="center" wrapText="1"/>
    </xf>
    <xf numFmtId="2" fontId="21" fillId="13" borderId="9" xfId="0" applyNumberFormat="1" applyFont="1" applyFill="1" applyBorder="1" applyAlignment="1">
      <alignment vertical="center" wrapText="1"/>
    </xf>
    <xf numFmtId="171" fontId="21" fillId="13" borderId="9" xfId="0" applyNumberFormat="1" applyFont="1" applyFill="1" applyBorder="1" applyAlignment="1">
      <alignment vertical="center" wrapText="1"/>
    </xf>
    <xf numFmtId="0" fontId="22" fillId="10" borderId="9" xfId="0" applyFont="1" applyFill="1" applyBorder="1" applyAlignment="1">
      <alignment vertical="center"/>
    </xf>
    <xf numFmtId="0" fontId="22" fillId="10" borderId="9" xfId="0" applyFont="1" applyFill="1" applyBorder="1" applyAlignment="1">
      <alignment horizontal="left" vertical="center"/>
    </xf>
    <xf numFmtId="0" fontId="23" fillId="0" borderId="14" xfId="0" applyFont="1" applyBorder="1" applyAlignment="1">
      <alignment vertical="center"/>
    </xf>
    <xf numFmtId="0" fontId="23" fillId="0" borderId="16" xfId="0" applyFont="1" applyBorder="1" applyAlignment="1">
      <alignment vertical="center"/>
    </xf>
    <xf numFmtId="176" fontId="2" fillId="0" borderId="9" xfId="0" applyNumberFormat="1" applyFont="1" applyBorder="1" applyAlignment="1">
      <alignment vertical="center"/>
    </xf>
    <xf numFmtId="164" fontId="22" fillId="10" borderId="9" xfId="0" applyNumberFormat="1" applyFont="1" applyFill="1" applyBorder="1" applyAlignment="1">
      <alignment vertical="center"/>
    </xf>
    <xf numFmtId="0" fontId="22" fillId="2" borderId="63" xfId="0" applyFont="1" applyFill="1" applyBorder="1" applyAlignment="1">
      <alignment horizontal="center" vertical="center"/>
    </xf>
    <xf numFmtId="0" fontId="2" fillId="0" borderId="9" xfId="0" applyFont="1" applyBorder="1" applyAlignment="1">
      <alignment vertical="center"/>
    </xf>
    <xf numFmtId="0" fontId="22" fillId="2" borderId="9" xfId="0" applyFont="1" applyFill="1" applyBorder="1" applyAlignment="1">
      <alignment horizontal="center" vertical="center"/>
    </xf>
    <xf numFmtId="173" fontId="22" fillId="2" borderId="9" xfId="0" applyNumberFormat="1" applyFont="1" applyFill="1" applyBorder="1" applyAlignment="1">
      <alignment horizontal="center" vertical="center"/>
    </xf>
    <xf numFmtId="0" fontId="23" fillId="2" borderId="9" xfId="0" applyFont="1" applyFill="1" applyBorder="1" applyAlignment="1">
      <alignment vertical="center"/>
    </xf>
    <xf numFmtId="0" fontId="2" fillId="0" borderId="35" xfId="0" applyFont="1" applyBorder="1" applyAlignment="1">
      <alignment horizontal="center" vertical="center"/>
    </xf>
    <xf numFmtId="0" fontId="23" fillId="2" borderId="64" xfId="0" applyFont="1" applyFill="1" applyBorder="1" applyAlignment="1">
      <alignment vertical="center"/>
    </xf>
    <xf numFmtId="0" fontId="23" fillId="2" borderId="65" xfId="0" applyFont="1" applyFill="1" applyBorder="1" applyAlignment="1">
      <alignment vertical="center"/>
    </xf>
    <xf numFmtId="164" fontId="2" fillId="0" borderId="35" xfId="0" applyNumberFormat="1" applyFont="1" applyBorder="1" applyAlignment="1">
      <alignment horizontal="center" vertical="center"/>
    </xf>
    <xf numFmtId="0" fontId="23" fillId="2" borderId="66" xfId="0" applyFont="1" applyFill="1" applyBorder="1" applyAlignment="1">
      <alignment vertical="center"/>
    </xf>
    <xf numFmtId="0" fontId="23" fillId="2" borderId="67" xfId="0" applyFont="1" applyFill="1" applyBorder="1" applyAlignment="1">
      <alignment vertical="center"/>
    </xf>
    <xf numFmtId="2" fontId="2" fillId="0" borderId="29" xfId="0" applyNumberFormat="1" applyFont="1" applyBorder="1" applyAlignment="1">
      <alignment horizontal="center" vertical="center"/>
    </xf>
    <xf numFmtId="164" fontId="2" fillId="0" borderId="29" xfId="0" applyNumberFormat="1" applyFont="1" applyBorder="1" applyAlignment="1">
      <alignment horizontal="center" vertical="center"/>
    </xf>
    <xf numFmtId="176" fontId="2" fillId="0" borderId="9" xfId="0" applyNumberFormat="1" applyFont="1" applyBorder="1" applyAlignment="1">
      <alignment vertical="center" wrapText="1"/>
    </xf>
    <xf numFmtId="0" fontId="23" fillId="0" borderId="9" xfId="0" applyFont="1" applyBorder="1" applyAlignment="1">
      <alignment vertical="center" wrapText="1"/>
    </xf>
    <xf numFmtId="0" fontId="30" fillId="10" borderId="9" xfId="0" applyFont="1" applyFill="1" applyBorder="1" applyAlignment="1">
      <alignment vertical="center"/>
    </xf>
    <xf numFmtId="173" fontId="22" fillId="10" borderId="9" xfId="0" applyNumberFormat="1" applyFont="1" applyFill="1" applyBorder="1" applyAlignment="1">
      <alignment vertical="center"/>
    </xf>
    <xf numFmtId="178" fontId="2" fillId="0" borderId="0" xfId="0" applyNumberFormat="1" applyFont="1"/>
    <xf numFmtId="171" fontId="2" fillId="0" borderId="0" xfId="0" applyNumberFormat="1" applyFont="1" applyAlignment="1">
      <alignment horizontal="center" vertical="center"/>
    </xf>
    <xf numFmtId="182" fontId="2" fillId="0" borderId="0" xfId="0" applyNumberFormat="1" applyFont="1"/>
    <xf numFmtId="44" fontId="2" fillId="0" borderId="0" xfId="0" applyNumberFormat="1" applyFont="1"/>
    <xf numFmtId="2" fontId="8" fillId="0" borderId="9" xfId="0" applyNumberFormat="1" applyFont="1" applyBorder="1" applyAlignment="1">
      <alignment horizontal="center" vertical="center" wrapText="1"/>
    </xf>
    <xf numFmtId="44" fontId="27" fillId="0" borderId="9" xfId="1" applyFont="1" applyBorder="1" applyAlignment="1">
      <alignment horizontal="center" vertical="center"/>
    </xf>
    <xf numFmtId="44" fontId="2" fillId="0" borderId="0" xfId="0" applyNumberFormat="1" applyFont="1" applyAlignment="1">
      <alignment horizontal="center" vertical="center"/>
    </xf>
    <xf numFmtId="44" fontId="8" fillId="0" borderId="9" xfId="1" applyFont="1" applyBorder="1" applyAlignment="1">
      <alignment horizontal="center" vertical="center" wrapText="1"/>
    </xf>
    <xf numFmtId="0" fontId="33" fillId="5" borderId="29" xfId="0" applyFont="1" applyFill="1" applyBorder="1" applyAlignment="1">
      <alignment horizontal="center" vertical="center"/>
    </xf>
    <xf numFmtId="169" fontId="33" fillId="9" borderId="29" xfId="0" applyNumberFormat="1" applyFont="1" applyFill="1" applyBorder="1" applyAlignment="1">
      <alignment vertical="center" wrapText="1"/>
    </xf>
    <xf numFmtId="169" fontId="39" fillId="9" borderId="29" xfId="0" applyNumberFormat="1" applyFont="1" applyFill="1" applyBorder="1" applyAlignment="1">
      <alignment vertical="center" wrapText="1"/>
    </xf>
    <xf numFmtId="0" fontId="35" fillId="0" borderId="0" xfId="0" applyFont="1" applyAlignment="1">
      <alignment vertical="center"/>
    </xf>
    <xf numFmtId="2" fontId="35" fillId="2" borderId="10" xfId="0" applyNumberFormat="1" applyFont="1" applyFill="1" applyBorder="1" applyAlignment="1">
      <alignment horizontal="left" vertical="center" wrapText="1"/>
    </xf>
    <xf numFmtId="2" fontId="35" fillId="2" borderId="13" xfId="0" applyNumberFormat="1" applyFont="1" applyFill="1" applyBorder="1" applyAlignment="1">
      <alignment horizontal="left" vertical="center" wrapText="1"/>
    </xf>
    <xf numFmtId="2" fontId="40" fillId="0" borderId="0" xfId="0" applyNumberFormat="1" applyFont="1" applyAlignment="1">
      <alignment vertical="center"/>
    </xf>
    <xf numFmtId="0" fontId="40" fillId="0" borderId="0" xfId="0" applyFont="1" applyAlignment="1">
      <alignment vertical="center"/>
    </xf>
    <xf numFmtId="0" fontId="42" fillId="0" borderId="0" xfId="0" applyFont="1"/>
    <xf numFmtId="49" fontId="37" fillId="0" borderId="29" xfId="0" applyNumberFormat="1" applyFont="1" applyBorder="1" applyAlignment="1">
      <alignment horizontal="center" vertical="center" wrapText="1"/>
    </xf>
    <xf numFmtId="2" fontId="40" fillId="7" borderId="0" xfId="0" applyNumberFormat="1" applyFont="1" applyFill="1" applyAlignment="1">
      <alignment horizontal="center" vertical="center"/>
    </xf>
    <xf numFmtId="2" fontId="40" fillId="0" borderId="0" xfId="0" applyNumberFormat="1" applyFont="1" applyAlignment="1">
      <alignment horizontal="center" vertical="center"/>
    </xf>
    <xf numFmtId="2" fontId="33" fillId="5" borderId="28" xfId="0" applyNumberFormat="1" applyFont="1" applyFill="1" applyBorder="1" applyAlignment="1">
      <alignment horizontal="center" vertical="center"/>
    </xf>
    <xf numFmtId="49" fontId="33" fillId="5" borderId="29" xfId="0" applyNumberFormat="1" applyFont="1" applyFill="1" applyBorder="1" applyAlignment="1">
      <alignment horizontal="center" vertical="center"/>
    </xf>
    <xf numFmtId="2" fontId="33" fillId="9" borderId="28" xfId="0" applyNumberFormat="1" applyFont="1" applyFill="1" applyBorder="1" applyAlignment="1">
      <alignment horizontal="center" vertical="center" wrapText="1"/>
    </xf>
    <xf numFmtId="49" fontId="33" fillId="9" borderId="29" xfId="0" applyNumberFormat="1" applyFont="1" applyFill="1" applyBorder="1" applyAlignment="1">
      <alignment horizontal="center" vertical="center" wrapText="1"/>
    </xf>
    <xf numFmtId="10" fontId="40" fillId="0" borderId="0" xfId="0" applyNumberFormat="1" applyFont="1" applyAlignment="1">
      <alignment vertical="center"/>
    </xf>
    <xf numFmtId="2" fontId="38" fillId="0" borderId="28" xfId="0" applyNumberFormat="1" applyFont="1" applyBorder="1" applyAlignment="1">
      <alignment horizontal="center" vertical="center" wrapText="1"/>
    </xf>
    <xf numFmtId="0" fontId="38" fillId="0" borderId="29" xfId="0" applyFont="1" applyBorder="1" applyAlignment="1">
      <alignment horizontal="left" vertical="center" wrapText="1"/>
    </xf>
    <xf numFmtId="49" fontId="38" fillId="0" borderId="29" xfId="0" applyNumberFormat="1" applyFont="1" applyBorder="1" applyAlignment="1">
      <alignment horizontal="center" vertical="center" wrapText="1"/>
    </xf>
    <xf numFmtId="9" fontId="40" fillId="0" borderId="0" xfId="0" applyNumberFormat="1" applyFont="1" applyAlignment="1">
      <alignment vertical="center"/>
    </xf>
    <xf numFmtId="2" fontId="39" fillId="9" borderId="28" xfId="0" applyNumberFormat="1" applyFont="1" applyFill="1" applyBorder="1" applyAlignment="1">
      <alignment horizontal="center" vertical="center" wrapText="1"/>
    </xf>
    <xf numFmtId="169" fontId="43" fillId="9" borderId="0" xfId="0" applyNumberFormat="1" applyFont="1" applyFill="1"/>
    <xf numFmtId="49" fontId="39" fillId="9" borderId="29" xfId="0" applyNumberFormat="1" applyFont="1" applyFill="1" applyBorder="1" applyAlignment="1">
      <alignment horizontal="center" vertical="center" wrapText="1"/>
    </xf>
    <xf numFmtId="2" fontId="37" fillId="0" borderId="28" xfId="0" applyNumberFormat="1" applyFont="1" applyBorder="1" applyAlignment="1">
      <alignment horizontal="center" vertical="center" wrapText="1"/>
    </xf>
    <xf numFmtId="0" fontId="37" fillId="0" borderId="29" xfId="0" applyFont="1" applyBorder="1" applyAlignment="1">
      <alignment horizontal="left" vertical="center" wrapText="1"/>
    </xf>
    <xf numFmtId="49" fontId="37" fillId="2" borderId="29" xfId="0" applyNumberFormat="1" applyFont="1" applyFill="1" applyBorder="1" applyAlignment="1">
      <alignment horizontal="center" vertical="center" wrapText="1"/>
    </xf>
    <xf numFmtId="164" fontId="40" fillId="0" borderId="0" xfId="0" applyNumberFormat="1" applyFont="1" applyAlignment="1">
      <alignment vertical="center"/>
    </xf>
    <xf numFmtId="49" fontId="38" fillId="0" borderId="29" xfId="4" applyNumberFormat="1" applyFont="1" applyBorder="1" applyAlignment="1">
      <alignment horizontal="center" vertical="center" wrapText="1"/>
    </xf>
    <xf numFmtId="49" fontId="38" fillId="2" borderId="29" xfId="0" applyNumberFormat="1" applyFont="1" applyFill="1" applyBorder="1" applyAlignment="1">
      <alignment horizontal="center" vertical="center" wrapText="1"/>
    </xf>
    <xf numFmtId="169" fontId="33" fillId="9" borderId="29" xfId="0" applyNumberFormat="1" applyFont="1" applyFill="1" applyBorder="1" applyAlignment="1">
      <alignment vertical="top" wrapText="1"/>
    </xf>
    <xf numFmtId="169" fontId="33" fillId="9" borderId="0" xfId="0" applyNumberFormat="1" applyFont="1" applyFill="1"/>
    <xf numFmtId="0" fontId="40" fillId="0" borderId="29" xfId="0" applyFont="1" applyBorder="1" applyAlignment="1">
      <alignment horizontal="left" vertical="center" wrapText="1"/>
    </xf>
    <xf numFmtId="2" fontId="35" fillId="0" borderId="20" xfId="0" applyNumberFormat="1" applyFont="1" applyBorder="1" applyAlignment="1">
      <alignment vertical="center"/>
    </xf>
    <xf numFmtId="49" fontId="35" fillId="0" borderId="0" xfId="0" applyNumberFormat="1" applyFont="1" applyAlignment="1">
      <alignment vertical="center"/>
    </xf>
    <xf numFmtId="2" fontId="41" fillId="0" borderId="0" xfId="0" applyNumberFormat="1" applyFont="1" applyAlignment="1">
      <alignment horizontal="center" vertical="center"/>
    </xf>
    <xf numFmtId="0" fontId="38" fillId="0" borderId="38" xfId="0" applyFont="1" applyBorder="1" applyAlignment="1">
      <alignment horizontal="right" vertical="center" wrapText="1"/>
    </xf>
    <xf numFmtId="0" fontId="38" fillId="0" borderId="39" xfId="0" applyFont="1" applyBorder="1" applyAlignment="1">
      <alignment horizontal="right" vertical="center" wrapText="1"/>
    </xf>
    <xf numFmtId="49" fontId="38" fillId="0" borderId="39" xfId="0" applyNumberFormat="1" applyFont="1" applyBorder="1" applyAlignment="1">
      <alignment horizontal="right" vertical="center" wrapText="1"/>
    </xf>
    <xf numFmtId="0" fontId="38" fillId="0" borderId="29" xfId="0" applyFont="1" applyBorder="1" applyAlignment="1">
      <alignment horizontal="center" vertical="center" wrapText="1"/>
    </xf>
    <xf numFmtId="8" fontId="40" fillId="0" borderId="0" xfId="0" applyNumberFormat="1" applyFont="1" applyAlignment="1">
      <alignment horizontal="center" vertical="center"/>
    </xf>
    <xf numFmtId="2" fontId="35" fillId="2" borderId="46" xfId="0" applyNumberFormat="1" applyFont="1" applyFill="1" applyBorder="1" applyAlignment="1">
      <alignment horizontal="left" vertical="center" wrapText="1"/>
    </xf>
    <xf numFmtId="49" fontId="35" fillId="2" borderId="10" xfId="0" applyNumberFormat="1" applyFont="1" applyFill="1" applyBorder="1" applyAlignment="1">
      <alignment horizontal="left" vertical="center" wrapText="1"/>
    </xf>
    <xf numFmtId="49" fontId="35" fillId="2" borderId="13" xfId="0" applyNumberFormat="1" applyFont="1" applyFill="1" applyBorder="1" applyAlignment="1">
      <alignment horizontal="left" vertical="center" wrapText="1"/>
    </xf>
    <xf numFmtId="49" fontId="35" fillId="0" borderId="23" xfId="0" applyNumberFormat="1" applyFont="1" applyBorder="1" applyAlignment="1">
      <alignment vertical="center"/>
    </xf>
    <xf numFmtId="49" fontId="40" fillId="0" borderId="0" xfId="0" applyNumberFormat="1" applyFont="1" applyAlignment="1">
      <alignment vertical="center"/>
    </xf>
    <xf numFmtId="0" fontId="40" fillId="0" borderId="0" xfId="0" applyFont="1"/>
    <xf numFmtId="2" fontId="42" fillId="0" borderId="0" xfId="0" applyNumberFormat="1" applyFont="1" applyAlignment="1">
      <alignment horizontal="center" vertical="center"/>
    </xf>
    <xf numFmtId="2" fontId="46" fillId="5" borderId="29" xfId="0" applyNumberFormat="1" applyFont="1" applyFill="1" applyBorder="1" applyAlignment="1">
      <alignment horizontal="center" vertical="center"/>
    </xf>
    <xf numFmtId="0" fontId="46" fillId="5" borderId="29" xfId="0" applyFont="1" applyFill="1" applyBorder="1" applyAlignment="1">
      <alignment horizontal="center" vertical="center"/>
    </xf>
    <xf numFmtId="0" fontId="46" fillId="5" borderId="30" xfId="0" applyFont="1" applyFill="1" applyBorder="1" applyAlignment="1">
      <alignment horizontal="center" vertical="center"/>
    </xf>
    <xf numFmtId="164" fontId="46" fillId="6" borderId="34" xfId="0" applyNumberFormat="1" applyFont="1" applyFill="1" applyBorder="1" applyAlignment="1">
      <alignment vertical="center" wrapText="1"/>
    </xf>
    <xf numFmtId="2" fontId="46" fillId="9" borderId="29" xfId="0" applyNumberFormat="1" applyFont="1" applyFill="1" applyBorder="1" applyAlignment="1">
      <alignment horizontal="center" vertical="center" wrapText="1"/>
    </xf>
    <xf numFmtId="170" fontId="46" fillId="9" borderId="30" xfId="0" applyNumberFormat="1" applyFont="1" applyFill="1" applyBorder="1" applyAlignment="1">
      <alignment horizontal="right" vertical="center" wrapText="1"/>
    </xf>
    <xf numFmtId="2" fontId="49" fillId="0" borderId="29" xfId="0" applyNumberFormat="1" applyFont="1" applyBorder="1" applyAlignment="1">
      <alignment horizontal="center" vertical="center" wrapText="1"/>
    </xf>
    <xf numFmtId="170" fontId="50" fillId="0" borderId="30" xfId="0" applyNumberFormat="1" applyFont="1" applyBorder="1" applyAlignment="1">
      <alignment horizontal="right" vertical="center" wrapText="1"/>
    </xf>
    <xf numFmtId="2" fontId="50" fillId="0" borderId="29" xfId="0" applyNumberFormat="1" applyFont="1" applyBorder="1" applyAlignment="1">
      <alignment horizontal="center" vertical="center" wrapText="1"/>
    </xf>
    <xf numFmtId="2" fontId="51" fillId="9" borderId="29" xfId="0" applyNumberFormat="1" applyFont="1" applyFill="1" applyBorder="1" applyAlignment="1">
      <alignment horizontal="center" vertical="center" wrapText="1"/>
    </xf>
    <xf numFmtId="170" fontId="51" fillId="9" borderId="30" xfId="0" applyNumberFormat="1" applyFont="1" applyFill="1" applyBorder="1" applyAlignment="1">
      <alignment horizontal="right" vertical="center" wrapText="1"/>
    </xf>
    <xf numFmtId="170" fontId="49" fillId="0" borderId="30" xfId="0" applyNumberFormat="1" applyFont="1" applyBorder="1" applyAlignment="1">
      <alignment horizontal="right" vertical="center" wrapText="1"/>
    </xf>
    <xf numFmtId="2" fontId="50" fillId="0" borderId="29" xfId="4" applyNumberFormat="1" applyFont="1" applyBorder="1" applyAlignment="1">
      <alignment horizontal="center" vertical="center" wrapText="1"/>
    </xf>
    <xf numFmtId="2" fontId="47" fillId="0" borderId="0" xfId="0" applyNumberFormat="1" applyFont="1" applyAlignment="1">
      <alignment vertical="center"/>
    </xf>
    <xf numFmtId="0" fontId="47" fillId="0" borderId="0" xfId="0" applyFont="1" applyAlignment="1">
      <alignment vertical="center"/>
    </xf>
    <xf numFmtId="0" fontId="47" fillId="0" borderId="21" xfId="0" applyFont="1" applyBorder="1" applyAlignment="1">
      <alignment vertical="center"/>
    </xf>
    <xf numFmtId="0" fontId="46" fillId="5" borderId="29" xfId="0" applyFont="1" applyFill="1" applyBorder="1" applyAlignment="1">
      <alignment vertical="center"/>
    </xf>
    <xf numFmtId="10" fontId="46" fillId="5" borderId="29" xfId="0" applyNumberFormat="1" applyFont="1" applyFill="1" applyBorder="1" applyAlignment="1">
      <alignment horizontal="center" vertical="center"/>
    </xf>
    <xf numFmtId="9" fontId="47" fillId="0" borderId="29" xfId="0" applyNumberFormat="1" applyFont="1" applyBorder="1" applyAlignment="1">
      <alignment horizontal="center" vertical="center"/>
    </xf>
    <xf numFmtId="2" fontId="50" fillId="0" borderId="39" xfId="0" applyNumberFormat="1" applyFont="1" applyBorder="1" applyAlignment="1">
      <alignment horizontal="right" vertical="center" wrapText="1"/>
    </xf>
    <xf numFmtId="9" fontId="47" fillId="0" borderId="40" xfId="0" applyNumberFormat="1" applyFont="1" applyBorder="1" applyAlignment="1">
      <alignment horizontal="center" vertical="center"/>
    </xf>
    <xf numFmtId="2" fontId="52" fillId="0" borderId="29" xfId="0" applyNumberFormat="1" applyFont="1" applyBorder="1" applyAlignment="1">
      <alignment horizontal="center" vertical="center" wrapText="1"/>
    </xf>
    <xf numFmtId="2" fontId="47" fillId="2" borderId="10" xfId="0" applyNumberFormat="1" applyFont="1" applyFill="1" applyBorder="1" applyAlignment="1">
      <alignment horizontal="left" vertical="center" wrapText="1"/>
    </xf>
    <xf numFmtId="2" fontId="47" fillId="2" borderId="47" xfId="0" applyNumberFormat="1" applyFont="1" applyFill="1" applyBorder="1" applyAlignment="1">
      <alignment horizontal="left" vertical="center" wrapText="1"/>
    </xf>
    <xf numFmtId="2" fontId="47" fillId="2" borderId="13" xfId="0" applyNumberFormat="1" applyFont="1" applyFill="1" applyBorder="1" applyAlignment="1">
      <alignment horizontal="left" vertical="center" wrapText="1"/>
    </xf>
    <xf numFmtId="2" fontId="47" fillId="0" borderId="23" xfId="0" applyNumberFormat="1" applyFont="1" applyBorder="1" applyAlignment="1">
      <alignment vertical="center"/>
    </xf>
    <xf numFmtId="0" fontId="47" fillId="0" borderId="23" xfId="0" applyFont="1" applyBorder="1" applyAlignment="1">
      <alignment vertical="center"/>
    </xf>
    <xf numFmtId="0" fontId="47" fillId="0" borderId="24" xfId="0" applyFont="1" applyBorder="1" applyAlignment="1">
      <alignment vertical="center"/>
    </xf>
    <xf numFmtId="2" fontId="53" fillId="0" borderId="0" xfId="0" applyNumberFormat="1" applyFont="1" applyAlignment="1">
      <alignment vertical="center"/>
    </xf>
    <xf numFmtId="0" fontId="53" fillId="0" borderId="0" xfId="0" applyFont="1" applyAlignment="1">
      <alignment vertical="center"/>
    </xf>
    <xf numFmtId="172" fontId="54" fillId="0" borderId="0" xfId="0" applyNumberFormat="1" applyFont="1" applyAlignment="1">
      <alignment vertical="center"/>
    </xf>
    <xf numFmtId="172" fontId="51" fillId="0" borderId="0" xfId="0" applyNumberFormat="1" applyFont="1" applyAlignment="1">
      <alignment vertical="center"/>
    </xf>
    <xf numFmtId="2" fontId="55" fillId="0" borderId="0" xfId="0" applyNumberFormat="1" applyFont="1"/>
    <xf numFmtId="0" fontId="55" fillId="0" borderId="0" xfId="0" applyFont="1"/>
    <xf numFmtId="49" fontId="49" fillId="0" borderId="29" xfId="0" applyNumberFormat="1" applyFont="1" applyBorder="1" applyAlignment="1">
      <alignment horizontal="center" vertical="center" wrapText="1"/>
    </xf>
    <xf numFmtId="2" fontId="53" fillId="0" borderId="0" xfId="0" applyNumberFormat="1" applyFont="1"/>
    <xf numFmtId="173" fontId="53" fillId="0" borderId="0" xfId="0" applyNumberFormat="1" applyFont="1"/>
    <xf numFmtId="172" fontId="53" fillId="0" borderId="0" xfId="0" applyNumberFormat="1" applyFont="1"/>
    <xf numFmtId="164" fontId="53" fillId="0" borderId="0" xfId="0" applyNumberFormat="1" applyFont="1"/>
    <xf numFmtId="44" fontId="53" fillId="0" borderId="0" xfId="1" applyFont="1" applyAlignment="1">
      <alignment vertical="center"/>
    </xf>
    <xf numFmtId="44" fontId="2" fillId="0" borderId="9" xfId="1" applyFont="1" applyBorder="1" applyAlignment="1">
      <alignment horizontal="center" vertical="center"/>
    </xf>
    <xf numFmtId="0" fontId="57" fillId="0" borderId="0" xfId="0" applyFont="1" applyAlignment="1">
      <alignment horizontal="center"/>
    </xf>
    <xf numFmtId="0" fontId="58" fillId="0" borderId="9" xfId="0" applyFont="1" applyBorder="1" applyAlignment="1">
      <alignment vertical="center" wrapText="1"/>
    </xf>
    <xf numFmtId="0" fontId="59" fillId="12" borderId="9" xfId="0" applyFont="1" applyFill="1" applyBorder="1" applyAlignment="1">
      <alignment horizontal="center" vertical="center" wrapText="1"/>
    </xf>
    <xf numFmtId="0" fontId="59" fillId="15" borderId="9" xfId="0" applyFont="1" applyFill="1" applyBorder="1" applyAlignment="1">
      <alignment horizontal="center" vertical="center" wrapText="1"/>
    </xf>
    <xf numFmtId="0" fontId="0" fillId="0" borderId="0" xfId="0" applyAlignment="1">
      <alignment horizontal="center" vertical="center"/>
    </xf>
    <xf numFmtId="0" fontId="0" fillId="0" borderId="13" xfId="0" applyBorder="1"/>
    <xf numFmtId="0" fontId="2" fillId="0" borderId="13" xfId="0" applyFont="1" applyBorder="1" applyAlignment="1">
      <alignment vertical="center"/>
    </xf>
    <xf numFmtId="0" fontId="2" fillId="0" borderId="13" xfId="0" applyFont="1" applyBorder="1" applyAlignment="1">
      <alignment horizontal="center" vertical="center"/>
    </xf>
    <xf numFmtId="0" fontId="17" fillId="0" borderId="13" xfId="0" applyFont="1" applyBorder="1" applyAlignment="1">
      <alignment horizontal="center" vertical="center"/>
    </xf>
    <xf numFmtId="0" fontId="17" fillId="0" borderId="13" xfId="0" applyFont="1" applyBorder="1"/>
    <xf numFmtId="0" fontId="60" fillId="0" borderId="13" xfId="0" applyFont="1" applyBorder="1"/>
    <xf numFmtId="0" fontId="17" fillId="0" borderId="13" xfId="0" applyFont="1" applyBorder="1" applyAlignment="1">
      <alignment vertical="center"/>
    </xf>
    <xf numFmtId="10" fontId="61" fillId="0" borderId="13" xfId="0" applyNumberFormat="1" applyFont="1" applyBorder="1" applyAlignment="1">
      <alignment horizontal="right" vertical="center"/>
    </xf>
    <xf numFmtId="171" fontId="61" fillId="0" borderId="13" xfId="0" applyNumberFormat="1" applyFont="1" applyBorder="1" applyAlignment="1">
      <alignment horizontal="right" vertical="center"/>
    </xf>
    <xf numFmtId="171" fontId="23" fillId="0" borderId="48" xfId="0" applyNumberFormat="1" applyFont="1" applyBorder="1" applyAlignment="1">
      <alignment horizontal="right" vertical="center"/>
    </xf>
    <xf numFmtId="10" fontId="23" fillId="0" borderId="70" xfId="0" applyNumberFormat="1" applyFont="1" applyBorder="1" applyAlignment="1">
      <alignment horizontal="right" vertical="center"/>
    </xf>
    <xf numFmtId="171" fontId="23" fillId="2" borderId="70" xfId="0" applyNumberFormat="1" applyFont="1" applyFill="1" applyBorder="1" applyAlignment="1">
      <alignment horizontal="right" vertical="center"/>
    </xf>
    <xf numFmtId="176" fontId="46" fillId="5" borderId="30" xfId="0" applyNumberFormat="1" applyFont="1" applyFill="1" applyBorder="1" applyAlignment="1">
      <alignment vertical="center"/>
    </xf>
    <xf numFmtId="176" fontId="52" fillId="0" borderId="30" xfId="0" applyNumberFormat="1" applyFont="1" applyBorder="1" applyAlignment="1">
      <alignment horizontal="right" vertical="center" wrapText="1"/>
    </xf>
    <xf numFmtId="176" fontId="47" fillId="0" borderId="30" xfId="0" applyNumberFormat="1" applyFont="1" applyBorder="1" applyAlignment="1">
      <alignment horizontal="right" vertical="center" wrapText="1"/>
    </xf>
    <xf numFmtId="0" fontId="63" fillId="0" borderId="70" xfId="0" applyFont="1" applyBorder="1" applyAlignment="1">
      <alignment wrapText="1"/>
    </xf>
    <xf numFmtId="0" fontId="63" fillId="0" borderId="70" xfId="0" applyFont="1" applyBorder="1" applyAlignment="1">
      <alignment horizontal="center" vertical="center"/>
    </xf>
    <xf numFmtId="0" fontId="62" fillId="19" borderId="70" xfId="0" applyFont="1" applyFill="1" applyBorder="1" applyAlignment="1">
      <alignment horizontal="center"/>
    </xf>
    <xf numFmtId="44" fontId="63" fillId="0" borderId="70" xfId="1" applyFont="1" applyBorder="1" applyAlignment="1">
      <alignment vertical="center"/>
    </xf>
    <xf numFmtId="0" fontId="63" fillId="19" borderId="70" xfId="0" applyFont="1" applyFill="1" applyBorder="1" applyAlignment="1">
      <alignment horizontal="center" vertical="center"/>
    </xf>
    <xf numFmtId="0" fontId="62" fillId="19" borderId="70" xfId="0" applyFont="1" applyFill="1" applyBorder="1" applyAlignment="1">
      <alignment wrapText="1"/>
    </xf>
    <xf numFmtId="44" fontId="62" fillId="19" borderId="70" xfId="1" applyFont="1" applyFill="1" applyBorder="1" applyAlignment="1">
      <alignment vertical="center"/>
    </xf>
    <xf numFmtId="44" fontId="62" fillId="19" borderId="70" xfId="0" applyNumberFormat="1" applyFont="1" applyFill="1" applyBorder="1" applyAlignment="1">
      <alignment vertical="center"/>
    </xf>
    <xf numFmtId="0" fontId="38" fillId="0" borderId="13" xfId="0" applyFont="1" applyBorder="1" applyAlignment="1">
      <alignment horizontal="left" vertical="center" wrapText="1"/>
    </xf>
    <xf numFmtId="44" fontId="0" fillId="0" borderId="0" xfId="0" applyNumberFormat="1"/>
    <xf numFmtId="169" fontId="40" fillId="0" borderId="0" xfId="0" applyNumberFormat="1" applyFont="1" applyAlignment="1">
      <alignment vertical="center"/>
    </xf>
    <xf numFmtId="0" fontId="8" fillId="0" borderId="70" xfId="0" applyFont="1" applyBorder="1" applyAlignment="1">
      <alignment horizontal="left" vertical="center"/>
    </xf>
    <xf numFmtId="0" fontId="8" fillId="0" borderId="70" xfId="0" applyFont="1" applyBorder="1" applyAlignment="1">
      <alignment wrapText="1"/>
    </xf>
    <xf numFmtId="0" fontId="8" fillId="0" borderId="70" xfId="0" applyFont="1" applyBorder="1" applyAlignment="1">
      <alignment horizontal="center"/>
    </xf>
    <xf numFmtId="164" fontId="8" fillId="0" borderId="70" xfId="0" applyNumberFormat="1" applyFont="1" applyBorder="1"/>
    <xf numFmtId="164" fontId="8" fillId="0" borderId="70" xfId="0" applyNumberFormat="1" applyFont="1" applyBorder="1" applyAlignment="1">
      <alignment horizontal="left" vertical="center"/>
    </xf>
    <xf numFmtId="0" fontId="0" fillId="0" borderId="70" xfId="0" applyBorder="1"/>
    <xf numFmtId="0" fontId="0" fillId="0" borderId="70" xfId="0" applyBorder="1" applyAlignment="1">
      <alignment horizontal="center"/>
    </xf>
    <xf numFmtId="164" fontId="0" fillId="0" borderId="70" xfId="0" applyNumberFormat="1" applyBorder="1"/>
    <xf numFmtId="2" fontId="0" fillId="0" borderId="70" xfId="0" applyNumberFormat="1" applyBorder="1"/>
    <xf numFmtId="43" fontId="0" fillId="0" borderId="70" xfId="5" applyFont="1" applyBorder="1"/>
    <xf numFmtId="164" fontId="0" fillId="0" borderId="70" xfId="0" applyNumberFormat="1" applyBorder="1" applyAlignment="1">
      <alignment horizontal="center"/>
    </xf>
    <xf numFmtId="167" fontId="0" fillId="0" borderId="70" xfId="0" applyNumberFormat="1" applyBorder="1"/>
    <xf numFmtId="0" fontId="8" fillId="0" borderId="70" xfId="0" applyFont="1" applyBorder="1" applyAlignment="1">
      <alignment horizontal="center" vertical="center"/>
    </xf>
    <xf numFmtId="164" fontId="8" fillId="0" borderId="70" xfId="0" applyNumberFormat="1" applyFont="1" applyBorder="1" applyAlignment="1">
      <alignment horizontal="center" vertical="center"/>
    </xf>
    <xf numFmtId="0" fontId="8" fillId="0" borderId="70" xfId="0" applyFont="1" applyBorder="1" applyAlignment="1">
      <alignment horizontal="center" vertical="center" wrapText="1"/>
    </xf>
    <xf numFmtId="0" fontId="0" fillId="0" borderId="70" xfId="0" applyBorder="1" applyAlignment="1">
      <alignment wrapText="1"/>
    </xf>
    <xf numFmtId="0" fontId="0" fillId="0" borderId="70" xfId="0" applyBorder="1" applyAlignment="1">
      <alignment horizontal="center" vertical="center"/>
    </xf>
    <xf numFmtId="164" fontId="0" fillId="0" borderId="70" xfId="0" applyNumberFormat="1" applyBorder="1" applyAlignment="1">
      <alignment vertical="center"/>
    </xf>
    <xf numFmtId="2" fontId="0" fillId="0" borderId="70" xfId="0" applyNumberFormat="1" applyBorder="1" applyAlignment="1">
      <alignment vertical="center"/>
    </xf>
    <xf numFmtId="164" fontId="0" fillId="0" borderId="70" xfId="0" applyNumberFormat="1" applyBorder="1" applyAlignment="1">
      <alignment horizontal="center" vertical="center"/>
    </xf>
    <xf numFmtId="167" fontId="0" fillId="0" borderId="70" xfId="0" applyNumberFormat="1" applyBorder="1" applyAlignment="1">
      <alignment vertical="center"/>
    </xf>
    <xf numFmtId="0" fontId="0" fillId="0" borderId="70" xfId="0" applyBorder="1" applyAlignment="1">
      <alignment vertical="center" wrapText="1"/>
    </xf>
    <xf numFmtId="0" fontId="0" fillId="0" borderId="13" xfId="0" applyBorder="1" applyAlignment="1">
      <alignment horizontal="center"/>
    </xf>
    <xf numFmtId="164" fontId="0" fillId="0" borderId="13" xfId="0" applyNumberFormat="1" applyBorder="1"/>
    <xf numFmtId="164" fontId="8" fillId="0" borderId="13" xfId="0" applyNumberFormat="1" applyFont="1" applyBorder="1"/>
    <xf numFmtId="0" fontId="8" fillId="0" borderId="70" xfId="0" applyFont="1" applyBorder="1" applyAlignment="1">
      <alignment horizontal="center" wrapText="1"/>
    </xf>
    <xf numFmtId="164" fontId="8" fillId="0" borderId="70" xfId="0" applyNumberFormat="1" applyFont="1" applyBorder="1" applyAlignment="1">
      <alignment horizontal="center"/>
    </xf>
    <xf numFmtId="0" fontId="1" fillId="0" borderId="70" xfId="0" applyFont="1" applyBorder="1"/>
    <xf numFmtId="0" fontId="1" fillId="0" borderId="70" xfId="0" applyFont="1" applyBorder="1" applyAlignment="1">
      <alignment horizontal="center"/>
    </xf>
    <xf numFmtId="0" fontId="1" fillId="0" borderId="70" xfId="0" applyFont="1" applyBorder="1" applyAlignment="1">
      <alignment wrapText="1"/>
    </xf>
    <xf numFmtId="0" fontId="1" fillId="0" borderId="70" xfId="0" applyFont="1" applyBorder="1" applyAlignment="1">
      <alignment horizontal="center" vertical="center"/>
    </xf>
    <xf numFmtId="0" fontId="57" fillId="0" borderId="0" xfId="0" applyFont="1"/>
    <xf numFmtId="0" fontId="38" fillId="0" borderId="31" xfId="0" applyFont="1" applyBorder="1" applyAlignment="1">
      <alignment vertical="center" wrapText="1"/>
    </xf>
    <xf numFmtId="169" fontId="46" fillId="9" borderId="29" xfId="0" applyNumberFormat="1" applyFont="1" applyFill="1" applyBorder="1" applyAlignment="1" applyProtection="1">
      <alignment vertical="center" wrapText="1"/>
      <protection locked="0"/>
    </xf>
    <xf numFmtId="164" fontId="50" fillId="0" borderId="29" xfId="0" applyNumberFormat="1" applyFont="1" applyBorder="1" applyAlignment="1" applyProtection="1">
      <alignment vertical="center" wrapText="1"/>
      <protection locked="0"/>
    </xf>
    <xf numFmtId="169" fontId="51" fillId="9" borderId="29" xfId="0" applyNumberFormat="1" applyFont="1" applyFill="1" applyBorder="1" applyAlignment="1" applyProtection="1">
      <alignment vertical="center" wrapText="1"/>
      <protection locked="0"/>
    </xf>
    <xf numFmtId="164" fontId="49" fillId="0" borderId="29" xfId="0" applyNumberFormat="1" applyFont="1" applyBorder="1" applyAlignment="1" applyProtection="1">
      <alignment vertical="center" wrapText="1"/>
      <protection locked="0"/>
    </xf>
    <xf numFmtId="164" fontId="50" fillId="0" borderId="29" xfId="4" applyNumberFormat="1" applyFont="1" applyBorder="1" applyAlignment="1" applyProtection="1">
      <alignment vertical="center" wrapText="1"/>
      <protection locked="0"/>
    </xf>
    <xf numFmtId="44" fontId="50" fillId="0" borderId="29" xfId="1" applyFont="1" applyBorder="1" applyAlignment="1" applyProtection="1">
      <alignment horizontal="center" vertical="center" wrapText="1"/>
      <protection locked="0"/>
    </xf>
    <xf numFmtId="10" fontId="47" fillId="20" borderId="29" xfId="0" applyNumberFormat="1" applyFont="1" applyFill="1" applyBorder="1" applyAlignment="1" applyProtection="1">
      <alignment horizontal="center" vertical="center"/>
      <protection locked="0"/>
    </xf>
    <xf numFmtId="164" fontId="52" fillId="0" borderId="37" xfId="0" applyNumberFormat="1" applyFont="1" applyBorder="1" applyAlignment="1" applyProtection="1">
      <alignment vertical="center" wrapText="1"/>
      <protection locked="0"/>
    </xf>
    <xf numFmtId="0" fontId="5" fillId="2" borderId="11" xfId="0" applyFont="1" applyFill="1" applyBorder="1" applyAlignment="1">
      <alignment horizontal="center" vertical="center"/>
    </xf>
    <xf numFmtId="0" fontId="6" fillId="0" borderId="12" xfId="0" applyFont="1" applyBorder="1"/>
    <xf numFmtId="0" fontId="6" fillId="0" borderId="13" xfId="0" applyFont="1" applyBorder="1"/>
    <xf numFmtId="0" fontId="9" fillId="3" borderId="14" xfId="0" applyFont="1" applyFill="1" applyBorder="1" applyAlignment="1">
      <alignment horizontal="left" vertical="center" wrapText="1"/>
    </xf>
    <xf numFmtId="0" fontId="6" fillId="0" borderId="15" xfId="0" applyFont="1" applyBorder="1"/>
    <xf numFmtId="0" fontId="6" fillId="0" borderId="16" xfId="0" applyFont="1" applyBorder="1"/>
    <xf numFmtId="0" fontId="33" fillId="0" borderId="17" xfId="0" applyFont="1" applyBorder="1" applyAlignment="1">
      <alignment horizontal="center" vertical="center" wrapText="1"/>
    </xf>
    <xf numFmtId="0" fontId="35" fillId="0" borderId="18" xfId="0" applyFont="1" applyBorder="1"/>
    <xf numFmtId="0" fontId="35" fillId="0" borderId="20" xfId="0" applyFont="1" applyBorder="1"/>
    <xf numFmtId="0" fontId="36" fillId="0" borderId="0" xfId="0" applyFont="1"/>
    <xf numFmtId="0" fontId="35" fillId="0" borderId="22" xfId="0" applyFont="1" applyBorder="1"/>
    <xf numFmtId="0" fontId="35" fillId="0" borderId="23" xfId="0" applyFont="1" applyBorder="1"/>
    <xf numFmtId="0" fontId="46" fillId="0" borderId="18" xfId="0" applyFont="1" applyBorder="1" applyAlignment="1">
      <alignment horizontal="center" vertical="center" wrapText="1"/>
    </xf>
    <xf numFmtId="0" fontId="47" fillId="0" borderId="18" xfId="0" applyFont="1" applyBorder="1"/>
    <xf numFmtId="0" fontId="47" fillId="0" borderId="19" xfId="0" applyFont="1" applyBorder="1"/>
    <xf numFmtId="0" fontId="48" fillId="0" borderId="0" xfId="0" applyFont="1"/>
    <xf numFmtId="0" fontId="47" fillId="0" borderId="21" xfId="0" applyFont="1" applyBorder="1"/>
    <xf numFmtId="0" fontId="47" fillId="0" borderId="23" xfId="0" applyFont="1" applyBorder="1"/>
    <xf numFmtId="0" fontId="47" fillId="0" borderId="24" xfId="0" applyFont="1" applyBorder="1"/>
    <xf numFmtId="2" fontId="33" fillId="4" borderId="25" xfId="0" applyNumberFormat="1" applyFont="1" applyFill="1" applyBorder="1" applyAlignment="1">
      <alignment horizontal="center" vertical="center"/>
    </xf>
    <xf numFmtId="0" fontId="35" fillId="0" borderId="26" xfId="0" applyFont="1" applyBorder="1"/>
    <xf numFmtId="0" fontId="35" fillId="0" borderId="27" xfId="0" applyFont="1" applyBorder="1"/>
    <xf numFmtId="2" fontId="33" fillId="6" borderId="31" xfId="0" applyNumberFormat="1" applyFont="1" applyFill="1" applyBorder="1" applyAlignment="1">
      <alignment horizontal="center" vertical="center" wrapText="1"/>
    </xf>
    <xf numFmtId="0" fontId="35" fillId="0" borderId="32" xfId="0" applyFont="1" applyBorder="1"/>
    <xf numFmtId="0" fontId="35" fillId="0" borderId="33" xfId="0" applyFont="1" applyBorder="1"/>
    <xf numFmtId="0" fontId="33" fillId="5" borderId="31" xfId="0" applyFont="1" applyFill="1" applyBorder="1" applyAlignment="1">
      <alignment horizontal="center" vertical="center"/>
    </xf>
    <xf numFmtId="0" fontId="35" fillId="0" borderId="69" xfId="0" applyFont="1" applyBorder="1"/>
    <xf numFmtId="0" fontId="35" fillId="0" borderId="37" xfId="0" applyFont="1" applyBorder="1"/>
    <xf numFmtId="0" fontId="38" fillId="0" borderId="31" xfId="0" applyFont="1" applyBorder="1" applyAlignment="1">
      <alignment horizontal="right" vertical="center" wrapText="1"/>
    </xf>
    <xf numFmtId="0" fontId="35" fillId="0" borderId="67" xfId="0" applyFont="1" applyBorder="1"/>
    <xf numFmtId="0" fontId="35" fillId="0" borderId="67" xfId="0" applyFont="1" applyBorder="1" applyAlignment="1">
      <alignment horizontal="center"/>
    </xf>
    <xf numFmtId="0" fontId="35" fillId="0" borderId="37" xfId="0" applyFont="1" applyBorder="1" applyAlignment="1">
      <alignment horizontal="center"/>
    </xf>
    <xf numFmtId="0" fontId="33" fillId="0" borderId="70" xfId="0" applyFont="1" applyBorder="1" applyAlignment="1">
      <alignment horizontal="right" vertical="center"/>
    </xf>
    <xf numFmtId="0" fontId="33" fillId="5" borderId="41" xfId="0" applyFont="1" applyFill="1" applyBorder="1" applyAlignment="1">
      <alignment horizontal="center" vertical="center"/>
    </xf>
    <xf numFmtId="0" fontId="35" fillId="0" borderId="42" xfId="0" applyFont="1" applyBorder="1"/>
    <xf numFmtId="0" fontId="35" fillId="0" borderId="43" xfId="0" applyFont="1" applyBorder="1"/>
    <xf numFmtId="0" fontId="33" fillId="10" borderId="46" xfId="0" applyFont="1" applyFill="1" applyBorder="1" applyAlignment="1">
      <alignment horizontal="center" vertical="center" wrapText="1"/>
    </xf>
    <xf numFmtId="0" fontId="35" fillId="0" borderId="13" xfId="0" applyFont="1" applyBorder="1"/>
    <xf numFmtId="169" fontId="46" fillId="10" borderId="11" xfId="0" applyNumberFormat="1" applyFont="1" applyFill="1" applyBorder="1" applyAlignment="1">
      <alignment horizontal="center" vertical="center"/>
    </xf>
    <xf numFmtId="169" fontId="47" fillId="0" borderId="45" xfId="0" applyNumberFormat="1" applyFont="1" applyBorder="1" applyAlignment="1">
      <alignment horizontal="center"/>
    </xf>
    <xf numFmtId="0" fontId="35" fillId="0" borderId="22" xfId="0" applyFont="1" applyBorder="1" applyAlignment="1">
      <alignment horizontal="left" vertical="center"/>
    </xf>
    <xf numFmtId="0" fontId="33" fillId="5" borderId="25" xfId="0" applyFont="1" applyFill="1" applyBorder="1" applyAlignment="1">
      <alignment horizontal="center" vertical="center"/>
    </xf>
    <xf numFmtId="0" fontId="35" fillId="0" borderId="36" xfId="0" applyFont="1" applyBorder="1"/>
    <xf numFmtId="0" fontId="38" fillId="0" borderId="31" xfId="0" applyFont="1" applyBorder="1" applyAlignment="1">
      <alignment horizontal="center" vertical="center" wrapText="1"/>
    </xf>
    <xf numFmtId="0" fontId="38" fillId="0" borderId="37" xfId="0" applyFont="1" applyBorder="1" applyAlignment="1">
      <alignment horizontal="center" vertical="center" wrapText="1"/>
    </xf>
    <xf numFmtId="0" fontId="57" fillId="0" borderId="13" xfId="0" applyFont="1" applyBorder="1" applyAlignment="1">
      <alignment horizontal="center"/>
    </xf>
    <xf numFmtId="4" fontId="21" fillId="0" borderId="13" xfId="0" applyNumberFormat="1" applyFont="1" applyBorder="1" applyAlignment="1">
      <alignment horizontal="center" vertical="center" wrapText="1"/>
    </xf>
    <xf numFmtId="0" fontId="17" fillId="0" borderId="13" xfId="0" applyFont="1" applyBorder="1"/>
    <xf numFmtId="0" fontId="23" fillId="0" borderId="1" xfId="0" applyFont="1" applyBorder="1" applyAlignment="1">
      <alignment horizontal="center" vertical="center" wrapText="1"/>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176" fontId="2" fillId="0" borderId="1" xfId="0" applyNumberFormat="1" applyFont="1" applyBorder="1" applyAlignment="1">
      <alignment horizontal="center" vertical="center"/>
    </xf>
    <xf numFmtId="176" fontId="2" fillId="0" borderId="14" xfId="0" applyNumberFormat="1" applyFont="1" applyBorder="1" applyAlignment="1">
      <alignment horizontal="left" vertical="center" wrapText="1"/>
    </xf>
    <xf numFmtId="0" fontId="22" fillId="0" borderId="14" xfId="0" applyFont="1" applyBorder="1" applyAlignment="1">
      <alignment horizontal="center" vertical="center"/>
    </xf>
    <xf numFmtId="0" fontId="22" fillId="0" borderId="70" xfId="0" applyFont="1" applyBorder="1" applyAlignment="1">
      <alignment horizontal="left" vertical="center"/>
    </xf>
    <xf numFmtId="0" fontId="6" fillId="0" borderId="70" xfId="0" applyFont="1" applyBorder="1"/>
    <xf numFmtId="0" fontId="21" fillId="0" borderId="13" xfId="0" applyFont="1" applyBorder="1" applyAlignment="1">
      <alignment horizontal="left" vertical="center"/>
    </xf>
    <xf numFmtId="4" fontId="21" fillId="0" borderId="13" xfId="0" applyNumberFormat="1" applyFont="1" applyBorder="1" applyAlignment="1">
      <alignment horizontal="left" vertical="center" wrapText="1"/>
    </xf>
    <xf numFmtId="0" fontId="22" fillId="10" borderId="14" xfId="0" applyFont="1" applyFill="1" applyBorder="1" applyAlignment="1">
      <alignment horizontal="left" vertical="center"/>
    </xf>
    <xf numFmtId="0" fontId="12" fillId="0" borderId="0" xfId="0" applyFont="1" applyAlignment="1">
      <alignment horizontal="center" vertical="center"/>
    </xf>
    <xf numFmtId="0" fontId="2" fillId="0" borderId="0" xfId="0" applyFont="1" applyAlignment="1">
      <alignment horizontal="center" vertical="center"/>
    </xf>
    <xf numFmtId="0" fontId="19" fillId="13" borderId="14" xfId="0" applyFont="1" applyFill="1" applyBorder="1" applyAlignment="1">
      <alignment horizontal="center" vertical="center" wrapText="1"/>
    </xf>
    <xf numFmtId="2" fontId="13" fillId="0" borderId="14" xfId="0" applyNumberFormat="1" applyFont="1" applyBorder="1" applyAlignment="1">
      <alignment horizontal="center" vertical="center" wrapText="1"/>
    </xf>
    <xf numFmtId="0" fontId="21" fillId="13" borderId="48" xfId="0" applyFont="1" applyFill="1" applyBorder="1" applyAlignment="1">
      <alignment horizontal="center" vertical="center" wrapText="1"/>
    </xf>
    <xf numFmtId="0" fontId="6" fillId="0" borderId="49" xfId="0" applyFont="1" applyBorder="1"/>
    <xf numFmtId="0" fontId="21" fillId="13" borderId="1" xfId="0" applyFont="1" applyFill="1" applyBorder="1" applyAlignment="1">
      <alignment horizontal="center" vertical="center" wrapText="1"/>
    </xf>
    <xf numFmtId="0" fontId="21" fillId="13" borderId="14" xfId="0" applyFont="1" applyFill="1" applyBorder="1" applyAlignment="1">
      <alignment horizontal="center" vertical="center" wrapText="1"/>
    </xf>
    <xf numFmtId="2" fontId="21" fillId="13" borderId="48" xfId="0" applyNumberFormat="1" applyFont="1" applyFill="1" applyBorder="1" applyAlignment="1">
      <alignment horizontal="center" vertical="center" wrapText="1"/>
    </xf>
    <xf numFmtId="9" fontId="21" fillId="13" borderId="48" xfId="0" applyNumberFormat="1" applyFont="1" applyFill="1" applyBorder="1" applyAlignment="1">
      <alignment horizontal="center" vertical="center" wrapText="1"/>
    </xf>
    <xf numFmtId="171" fontId="21" fillId="13" borderId="48" xfId="0" applyNumberFormat="1" applyFont="1" applyFill="1" applyBorder="1" applyAlignment="1">
      <alignment horizontal="center" vertical="center" wrapText="1"/>
    </xf>
    <xf numFmtId="0" fontId="2" fillId="0" borderId="50" xfId="0" applyFont="1" applyBorder="1" applyAlignment="1">
      <alignment horizontal="center" vertical="center" wrapText="1"/>
    </xf>
    <xf numFmtId="0" fontId="6" fillId="0" borderId="51" xfId="0" applyFont="1" applyBorder="1"/>
    <xf numFmtId="0" fontId="22" fillId="10" borderId="14" xfId="0" applyFont="1" applyFill="1" applyBorder="1" applyAlignment="1">
      <alignment horizontal="center" vertical="center"/>
    </xf>
    <xf numFmtId="0" fontId="2" fillId="0" borderId="54" xfId="0" applyFont="1" applyBorder="1" applyAlignment="1">
      <alignment horizontal="center" vertical="center"/>
    </xf>
    <xf numFmtId="0" fontId="2" fillId="0" borderId="14" xfId="0" applyFont="1" applyBorder="1" applyAlignment="1">
      <alignment horizontal="left" vertical="center"/>
    </xf>
    <xf numFmtId="0" fontId="2" fillId="0" borderId="14" xfId="0" applyFont="1" applyBorder="1" applyAlignment="1">
      <alignment horizontal="left" vertical="center" wrapText="1"/>
    </xf>
    <xf numFmtId="0" fontId="34" fillId="2" borderId="14" xfId="0" applyFont="1" applyFill="1" applyBorder="1" applyAlignment="1">
      <alignment horizontal="left" vertical="center"/>
    </xf>
    <xf numFmtId="178" fontId="2" fillId="0" borderId="57" xfId="0" applyNumberFormat="1" applyFont="1" applyBorder="1" applyAlignment="1">
      <alignment horizontal="center"/>
    </xf>
    <xf numFmtId="0" fontId="6" fillId="0" borderId="32" xfId="0" applyFont="1" applyBorder="1"/>
    <xf numFmtId="0" fontId="6" fillId="0" borderId="37" xfId="0" applyFont="1" applyBorder="1"/>
    <xf numFmtId="174" fontId="2" fillId="14" borderId="57" xfId="0" applyNumberFormat="1" applyFont="1" applyFill="1" applyBorder="1" applyAlignment="1">
      <alignment horizontal="center"/>
    </xf>
    <xf numFmtId="0" fontId="15" fillId="0" borderId="0" xfId="0" applyFont="1" applyAlignment="1">
      <alignment horizontal="center" vertical="center"/>
    </xf>
    <xf numFmtId="0" fontId="9" fillId="0" borderId="0" xfId="0" applyFont="1" applyAlignment="1">
      <alignment horizontal="center" vertical="center"/>
    </xf>
    <xf numFmtId="0" fontId="6" fillId="0" borderId="56" xfId="0" applyFont="1" applyBorder="1"/>
    <xf numFmtId="0" fontId="19" fillId="13" borderId="57" xfId="0" applyFont="1" applyFill="1" applyBorder="1" applyAlignment="1">
      <alignment horizontal="center" vertical="center" wrapText="1"/>
    </xf>
    <xf numFmtId="0" fontId="6" fillId="0" borderId="33" xfId="0" applyFont="1" applyBorder="1"/>
    <xf numFmtId="0" fontId="15" fillId="0" borderId="57" xfId="0" applyFont="1" applyBorder="1" applyAlignment="1">
      <alignment horizontal="center" vertical="center" wrapText="1"/>
    </xf>
    <xf numFmtId="0" fontId="2" fillId="0" borderId="57" xfId="0" applyFont="1" applyBorder="1" applyAlignment="1">
      <alignment horizontal="center"/>
    </xf>
    <xf numFmtId="0" fontId="8" fillId="0" borderId="57" xfId="0" applyFont="1" applyBorder="1" applyAlignment="1">
      <alignment horizontal="center" vertical="center" wrapText="1"/>
    </xf>
    <xf numFmtId="0" fontId="2" fillId="0" borderId="57" xfId="0" applyFont="1" applyBorder="1" applyAlignment="1">
      <alignment horizontal="center" vertical="center"/>
    </xf>
    <xf numFmtId="0" fontId="21" fillId="13" borderId="52" xfId="0" applyFont="1" applyFill="1" applyBorder="1" applyAlignment="1">
      <alignment horizontal="center" vertical="center" wrapText="1"/>
    </xf>
    <xf numFmtId="0" fontId="6" fillId="0" borderId="35" xfId="0" applyFont="1" applyBorder="1"/>
    <xf numFmtId="9" fontId="21" fillId="13" borderId="52" xfId="0" applyNumberFormat="1" applyFont="1" applyFill="1" applyBorder="1" applyAlignment="1">
      <alignment horizontal="center" vertical="center" wrapText="1"/>
    </xf>
    <xf numFmtId="172" fontId="2" fillId="0" borderId="57" xfId="0" applyNumberFormat="1" applyFont="1" applyBorder="1" applyAlignment="1">
      <alignment horizontal="center"/>
    </xf>
    <xf numFmtId="0" fontId="22" fillId="10" borderId="57" xfId="0" applyFont="1" applyFill="1" applyBorder="1" applyAlignment="1">
      <alignment horizontal="center" vertical="center"/>
    </xf>
    <xf numFmtId="0" fontId="8" fillId="0" borderId="57" xfId="0" applyFont="1" applyBorder="1" applyAlignment="1">
      <alignment horizontal="center"/>
    </xf>
    <xf numFmtId="0" fontId="15" fillId="16" borderId="14" xfId="0" applyFont="1" applyFill="1" applyBorder="1" applyAlignment="1">
      <alignment horizontal="center" vertical="center"/>
    </xf>
    <xf numFmtId="0" fontId="15" fillId="17" borderId="14" xfId="0" applyFont="1" applyFill="1" applyBorder="1" applyAlignment="1">
      <alignment horizontal="center" vertical="center"/>
    </xf>
    <xf numFmtId="0" fontId="15" fillId="18" borderId="44" xfId="0" applyFont="1" applyFill="1" applyBorder="1" applyAlignment="1">
      <alignment horizontal="center" vertical="center"/>
    </xf>
    <xf numFmtId="0" fontId="6" fillId="0" borderId="59" xfId="0" applyFont="1" applyBorder="1"/>
    <xf numFmtId="0" fontId="8" fillId="0" borderId="14" xfId="0" applyFont="1" applyBorder="1" applyAlignment="1">
      <alignment horizontal="center" vertical="center"/>
    </xf>
    <xf numFmtId="0" fontId="12" fillId="0" borderId="0" xfId="0" applyFont="1" applyAlignment="1">
      <alignment horizontal="center" vertical="center" wrapText="1"/>
    </xf>
    <xf numFmtId="0" fontId="15" fillId="6" borderId="14" xfId="0" applyFont="1" applyFill="1" applyBorder="1" applyAlignment="1">
      <alignment horizontal="center" vertical="center"/>
    </xf>
    <xf numFmtId="0" fontId="15" fillId="0" borderId="60" xfId="0" applyFont="1" applyBorder="1" applyAlignment="1">
      <alignment horizontal="center"/>
    </xf>
    <xf numFmtId="0" fontId="6" fillId="0" borderId="61" xfId="0" applyFont="1" applyBorder="1"/>
    <xf numFmtId="0" fontId="23" fillId="2" borderId="14" xfId="0" applyFont="1" applyFill="1" applyBorder="1" applyAlignment="1">
      <alignment horizontal="left" vertical="center"/>
    </xf>
    <xf numFmtId="0" fontId="23" fillId="2" borderId="68" xfId="0" applyFont="1" applyFill="1" applyBorder="1" applyAlignment="1">
      <alignment horizontal="left" vertical="center"/>
    </xf>
    <xf numFmtId="0" fontId="6" fillId="0" borderId="26" xfId="0" applyFont="1" applyBorder="1"/>
    <xf numFmtId="0" fontId="6" fillId="0" borderId="69" xfId="0" applyFont="1" applyBorder="1"/>
    <xf numFmtId="0" fontId="23" fillId="2" borderId="57" xfId="0" applyFont="1" applyFill="1" applyBorder="1" applyAlignment="1">
      <alignment horizontal="left" vertical="center"/>
    </xf>
    <xf numFmtId="0" fontId="30" fillId="10" borderId="14" xfId="0" applyFont="1" applyFill="1" applyBorder="1" applyAlignment="1">
      <alignment horizontal="center" vertical="center"/>
    </xf>
    <xf numFmtId="173" fontId="22" fillId="10" borderId="14" xfId="0" applyNumberFormat="1" applyFont="1" applyFill="1" applyBorder="1" applyAlignment="1">
      <alignment horizontal="center" vertical="center"/>
    </xf>
    <xf numFmtId="0" fontId="23" fillId="0" borderId="14" xfId="0" applyFont="1" applyBorder="1" applyAlignment="1">
      <alignment horizontal="center" vertical="center"/>
    </xf>
    <xf numFmtId="0" fontId="2" fillId="0" borderId="14" xfId="0" applyFont="1" applyBorder="1" applyAlignment="1">
      <alignment horizontal="center" vertical="center"/>
    </xf>
  </cellXfs>
  <cellStyles count="6">
    <cellStyle name="Millares" xfId="5" builtinId="3"/>
    <cellStyle name="Moneda" xfId="1" builtinId="4"/>
    <cellStyle name="Moneda 2" xfId="3" xr:uid="{9FCFF6B7-411F-4516-AD03-C199E6AA1C3C}"/>
    <cellStyle name="Normal" xfId="0" builtinId="0"/>
    <cellStyle name="Normal 2" xfId="2" xr:uid="{A079EC39-7A23-47B0-8607-C5E7A94DE2B1}"/>
    <cellStyle name="Normal 3" xfId="4" xr:uid="{955501E7-9722-4904-B542-1ADC418F3F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NULL"/></Relationships>
</file>

<file path=xl/_rels/comments2.xml.rels><?xml version="1.0" encoding="UTF-8" standalone="yes"?>
<Relationships xmlns="http://schemas.openxmlformats.org/package/2006/relationships"><Relationship Id="rId1" Type="http://customschemas.google.com/relationships/workbookmetadata" Target="NULL"/></Relationships>
</file>

<file path=xl/_rels/comments3.xml.rels><?xml version="1.0" encoding="UTF-8" standalone="yes"?>
<Relationships xmlns="http://schemas.openxmlformats.org/package/2006/relationships"><Relationship Id="rId1" Type="http://customschemas.google.com/relationships/workbookmetadata" Target="NULL"/></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4.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7183100" cy="66865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35</xdr:row>
      <xdr:rowOff>171450</xdr:rowOff>
    </xdr:from>
    <xdr:ext cx="15344775" cy="869632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17</xdr:row>
      <xdr:rowOff>9525</xdr:rowOff>
    </xdr:from>
    <xdr:ext cx="9058275" cy="2333625"/>
    <xdr:pic>
      <xdr:nvPicPr>
        <xdr:cNvPr id="2" name="image10.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17</xdr:col>
      <xdr:colOff>9525</xdr:colOff>
      <xdr:row>0</xdr:row>
      <xdr:rowOff>0</xdr:rowOff>
    </xdr:from>
    <xdr:ext cx="3076575" cy="923925"/>
    <xdr:pic>
      <xdr:nvPicPr>
        <xdr:cNvPr id="3" name="image8.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xdr:row>
      <xdr:rowOff>28575</xdr:rowOff>
    </xdr:from>
    <xdr:ext cx="9077325" cy="3019425"/>
    <xdr:pic>
      <xdr:nvPicPr>
        <xdr:cNvPr id="4" name="image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742950</xdr:colOff>
      <xdr:row>41</xdr:row>
      <xdr:rowOff>9525</xdr:rowOff>
    </xdr:from>
    <xdr:ext cx="6286500" cy="4162425"/>
    <xdr:pic>
      <xdr:nvPicPr>
        <xdr:cNvPr id="5" name="image11.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63</xdr:row>
      <xdr:rowOff>28575</xdr:rowOff>
    </xdr:from>
    <xdr:ext cx="10029825" cy="3343275"/>
    <xdr:pic>
      <xdr:nvPicPr>
        <xdr:cNvPr id="6" name="image6.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0</xdr:colOff>
      <xdr:row>80</xdr:row>
      <xdr:rowOff>161925</xdr:rowOff>
    </xdr:from>
    <xdr:ext cx="9982200" cy="3743325"/>
    <xdr:pic>
      <xdr:nvPicPr>
        <xdr:cNvPr id="7" name="image5.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0</xdr:col>
      <xdr:colOff>0</xdr:colOff>
      <xdr:row>100</xdr:row>
      <xdr:rowOff>123825</xdr:rowOff>
    </xdr:from>
    <xdr:ext cx="10001250" cy="3962400"/>
    <xdr:pic>
      <xdr:nvPicPr>
        <xdr:cNvPr id="8" name="image12.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0</xdr:col>
      <xdr:colOff>0</xdr:colOff>
      <xdr:row>121</xdr:row>
      <xdr:rowOff>133350</xdr:rowOff>
    </xdr:from>
    <xdr:ext cx="6753225" cy="5200650"/>
    <xdr:pic>
      <xdr:nvPicPr>
        <xdr:cNvPr id="9" name="image4.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13</xdr:col>
      <xdr:colOff>666750</xdr:colOff>
      <xdr:row>80</xdr:row>
      <xdr:rowOff>152400</xdr:rowOff>
    </xdr:from>
    <xdr:ext cx="6915150" cy="3657600"/>
    <xdr:pic>
      <xdr:nvPicPr>
        <xdr:cNvPr id="10" name="image7.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0</xdr:colOff>
      <xdr:row>160</xdr:row>
      <xdr:rowOff>0</xdr:rowOff>
    </xdr:from>
    <xdr:ext cx="7153275" cy="3600450"/>
    <xdr:pic>
      <xdr:nvPicPr>
        <xdr:cNvPr id="11" name="image9.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358</xdr:row>
      <xdr:rowOff>76200</xdr:rowOff>
    </xdr:from>
    <xdr:ext cx="38100" cy="38100"/>
    <xdr:pic>
      <xdr:nvPicPr>
        <xdr:cNvPr id="2" name="image1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704850</xdr:colOff>
      <xdr:row>0</xdr:row>
      <xdr:rowOff>47625</xdr:rowOff>
    </xdr:from>
    <xdr:ext cx="2238375" cy="933450"/>
    <xdr:pic>
      <xdr:nvPicPr>
        <xdr:cNvPr id="3" name="image8.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223</xdr:row>
      <xdr:rowOff>76200</xdr:rowOff>
    </xdr:from>
    <xdr:ext cx="38100" cy="38100"/>
    <xdr:pic>
      <xdr:nvPicPr>
        <xdr:cNvPr id="2" name="image1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666750</xdr:colOff>
      <xdr:row>0</xdr:row>
      <xdr:rowOff>142875</xdr:rowOff>
    </xdr:from>
    <xdr:ext cx="2171700" cy="971550"/>
    <xdr:pic>
      <xdr:nvPicPr>
        <xdr:cNvPr id="2" name="image8.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742950</xdr:colOff>
      <xdr:row>66</xdr:row>
      <xdr:rowOff>76200</xdr:rowOff>
    </xdr:from>
    <xdr:ext cx="9296400" cy="4924425"/>
    <xdr:pic>
      <xdr:nvPicPr>
        <xdr:cNvPr id="3" name="image15.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9525</xdr:colOff>
      <xdr:row>95</xdr:row>
      <xdr:rowOff>19050</xdr:rowOff>
    </xdr:from>
    <xdr:ext cx="9429750" cy="5267325"/>
    <xdr:pic>
      <xdr:nvPicPr>
        <xdr:cNvPr id="4" name="image16.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47625</xdr:colOff>
      <xdr:row>122</xdr:row>
      <xdr:rowOff>171450</xdr:rowOff>
    </xdr:from>
    <xdr:ext cx="9191625" cy="5153025"/>
    <xdr:pic>
      <xdr:nvPicPr>
        <xdr:cNvPr id="5" name="image14.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400050</xdr:colOff>
      <xdr:row>1</xdr:row>
      <xdr:rowOff>47625</xdr:rowOff>
    </xdr:from>
    <xdr:ext cx="1676400" cy="685800"/>
    <xdr:pic>
      <xdr:nvPicPr>
        <xdr:cNvPr id="2" name="image17.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285750</xdr:colOff>
      <xdr:row>1</xdr:row>
      <xdr:rowOff>123825</xdr:rowOff>
    </xdr:from>
    <xdr:ext cx="2466975" cy="1200150"/>
    <xdr:pic>
      <xdr:nvPicPr>
        <xdr:cNvPr id="2" name="image8.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10</xdr:col>
      <xdr:colOff>0</xdr:colOff>
      <xdr:row>0</xdr:row>
      <xdr:rowOff>142875</xdr:rowOff>
    </xdr:from>
    <xdr:ext cx="2181225" cy="933450"/>
    <xdr:pic>
      <xdr:nvPicPr>
        <xdr:cNvPr id="2" name="image8.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7</xdr:col>
      <xdr:colOff>666750</xdr:colOff>
      <xdr:row>0</xdr:row>
      <xdr:rowOff>142875</xdr:rowOff>
    </xdr:from>
    <xdr:ext cx="2181225" cy="933450"/>
    <xdr:pic>
      <xdr:nvPicPr>
        <xdr:cNvPr id="2" name="image8.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laferreteriagravina.com/alquiler-de-herramienta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hyperlink" Target="http://www.secretariasenado.gov.co/senado/basedoc/ley_1697_2013.html" TargetMode="External"/><Relationship Id="rId2" Type="http://schemas.openxmlformats.org/officeDocument/2006/relationships/hyperlink" Target="http://www.comunidadcontable.com/BancoNorma/uvt-vigente-para-2022.asp?CodSeccion=106" TargetMode="External"/><Relationship Id="rId1" Type="http://schemas.openxmlformats.org/officeDocument/2006/relationships/hyperlink" Target="https://www.portafolio.co/economia/impuestos/uvt-para-2022-en-cuanto-lo-fijo-la-dian-y-para-que-es-usado-559127" TargetMode="External"/><Relationship Id="rId5" Type="http://schemas.openxmlformats.org/officeDocument/2006/relationships/drawing" Target="../drawings/drawing5.xml"/><Relationship Id="rId4"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I100" sqref="I100"/>
    </sheetView>
  </sheetViews>
  <sheetFormatPr baseColWidth="10" defaultColWidth="14.44140625" defaultRowHeight="15" customHeight="1" x14ac:dyDescent="0.3"/>
  <cols>
    <col min="1" max="2" width="11.44140625" customWidth="1"/>
    <col min="3" max="3" width="43" customWidth="1"/>
    <col min="4" max="23" width="11.44140625" customWidth="1"/>
    <col min="24" max="24" width="18.88671875" customWidth="1"/>
    <col min="25" max="25" width="15" customWidth="1"/>
    <col min="26" max="26" width="10.6640625" customWidth="1"/>
  </cols>
  <sheetData>
    <row r="1" spans="1:26" ht="14.4" x14ac:dyDescent="0.3">
      <c r="A1" s="1"/>
      <c r="B1" s="1"/>
      <c r="C1" s="1"/>
      <c r="D1" s="1"/>
      <c r="E1" s="1"/>
      <c r="F1" s="1"/>
      <c r="G1" s="1"/>
      <c r="H1" s="1"/>
      <c r="I1" s="1"/>
      <c r="J1" s="1"/>
      <c r="K1" s="1"/>
      <c r="L1" s="1"/>
      <c r="M1" s="1"/>
      <c r="N1" s="1"/>
      <c r="O1" s="1"/>
      <c r="P1" s="1"/>
      <c r="Q1" s="1"/>
      <c r="R1" s="1"/>
      <c r="S1" s="1"/>
      <c r="T1" s="1"/>
      <c r="U1" s="1"/>
      <c r="V1" s="1"/>
      <c r="W1" s="1"/>
      <c r="X1" s="1"/>
      <c r="Y1" s="1"/>
      <c r="Z1" s="1"/>
    </row>
    <row r="2" spans="1:26" ht="14.4" x14ac:dyDescent="0.3">
      <c r="A2" s="1"/>
      <c r="B2" s="1"/>
      <c r="C2" s="1"/>
      <c r="D2" s="1"/>
      <c r="E2" s="1"/>
      <c r="F2" s="1"/>
      <c r="G2" s="1"/>
      <c r="H2" s="1"/>
      <c r="I2" s="1"/>
      <c r="J2" s="1"/>
      <c r="K2" s="1"/>
      <c r="L2" s="1"/>
      <c r="M2" s="1"/>
      <c r="N2" s="1"/>
      <c r="O2" s="1"/>
      <c r="P2" s="1"/>
      <c r="Q2" s="1"/>
      <c r="R2" s="1"/>
      <c r="S2" s="1"/>
      <c r="T2" s="1"/>
      <c r="U2" s="1"/>
      <c r="V2" s="1"/>
      <c r="W2" s="1"/>
      <c r="X2" s="1"/>
      <c r="Y2" s="1"/>
      <c r="Z2" s="1"/>
    </row>
    <row r="3" spans="1:26" ht="14.4" x14ac:dyDescent="0.3">
      <c r="A3" s="1"/>
      <c r="B3" s="1"/>
      <c r="C3" s="1"/>
      <c r="D3" s="1"/>
      <c r="E3" s="1"/>
      <c r="F3" s="1"/>
      <c r="G3" s="1"/>
      <c r="H3" s="1"/>
      <c r="I3" s="1"/>
      <c r="J3" s="1"/>
      <c r="K3" s="1"/>
      <c r="L3" s="1"/>
      <c r="M3" s="1"/>
      <c r="N3" s="1"/>
      <c r="O3" s="1"/>
      <c r="P3" s="1"/>
      <c r="Q3" s="1"/>
      <c r="R3" s="1"/>
      <c r="S3" s="1"/>
      <c r="T3" s="1"/>
      <c r="U3" s="1"/>
      <c r="V3" s="1"/>
      <c r="W3" s="1"/>
      <c r="X3" s="1"/>
      <c r="Y3" s="1"/>
      <c r="Z3" s="1"/>
    </row>
    <row r="4" spans="1:26" ht="14.4" x14ac:dyDescent="0.3">
      <c r="A4" s="1"/>
      <c r="B4" s="1"/>
      <c r="C4" s="1"/>
      <c r="D4" s="1"/>
      <c r="E4" s="1"/>
      <c r="F4" s="1"/>
      <c r="G4" s="1"/>
      <c r="H4" s="1"/>
      <c r="I4" s="1"/>
      <c r="J4" s="1"/>
      <c r="K4" s="1"/>
      <c r="L4" s="1"/>
      <c r="M4" s="1"/>
      <c r="N4" s="1"/>
      <c r="O4" s="1"/>
      <c r="P4" s="1"/>
      <c r="Q4" s="1"/>
      <c r="R4" s="1"/>
      <c r="S4" s="1"/>
      <c r="T4" s="1"/>
      <c r="U4" s="1"/>
      <c r="V4" s="1"/>
      <c r="W4" s="1"/>
      <c r="X4" s="1"/>
      <c r="Y4" s="1"/>
      <c r="Z4" s="1"/>
    </row>
    <row r="5" spans="1:26" ht="14.4" x14ac:dyDescent="0.3">
      <c r="A5" s="1"/>
      <c r="B5" s="1"/>
      <c r="C5" s="1"/>
      <c r="D5" s="1"/>
      <c r="E5" s="1"/>
      <c r="F5" s="1"/>
      <c r="G5" s="1"/>
      <c r="H5" s="1"/>
      <c r="I5" s="1"/>
      <c r="J5" s="1"/>
      <c r="K5" s="1"/>
      <c r="L5" s="1"/>
      <c r="M5" s="1"/>
      <c r="N5" s="1"/>
      <c r="O5" s="1"/>
      <c r="P5" s="1"/>
      <c r="Q5" s="1"/>
      <c r="R5" s="1"/>
      <c r="S5" s="1"/>
      <c r="T5" s="1"/>
      <c r="U5" s="1"/>
      <c r="V5" s="1"/>
      <c r="W5" s="1"/>
      <c r="X5" s="1"/>
      <c r="Y5" s="1"/>
      <c r="Z5" s="1"/>
    </row>
    <row r="6" spans="1:26" ht="14.4" x14ac:dyDescent="0.3">
      <c r="A6" s="1"/>
      <c r="B6" s="1"/>
      <c r="C6" s="1"/>
      <c r="D6" s="1"/>
      <c r="E6" s="1"/>
      <c r="F6" s="1"/>
      <c r="G6" s="1"/>
      <c r="H6" s="1"/>
      <c r="I6" s="1"/>
      <c r="J6" s="1"/>
      <c r="K6" s="1"/>
      <c r="L6" s="1"/>
      <c r="M6" s="1"/>
      <c r="N6" s="1"/>
      <c r="O6" s="1"/>
      <c r="P6" s="1"/>
      <c r="Q6" s="1"/>
      <c r="R6" s="1"/>
      <c r="S6" s="1"/>
      <c r="T6" s="1"/>
      <c r="U6" s="1"/>
      <c r="V6" s="1"/>
      <c r="W6" s="1"/>
      <c r="X6" s="1"/>
      <c r="Y6" s="1"/>
      <c r="Z6" s="1"/>
    </row>
    <row r="7" spans="1:26" ht="14.4" x14ac:dyDescent="0.3">
      <c r="A7" s="1"/>
      <c r="B7" s="1"/>
      <c r="C7" s="1"/>
      <c r="D7" s="1"/>
      <c r="E7" s="1"/>
      <c r="F7" s="1"/>
      <c r="G7" s="1"/>
      <c r="H7" s="1"/>
      <c r="I7" s="1"/>
      <c r="J7" s="1"/>
      <c r="K7" s="1"/>
      <c r="L7" s="1"/>
      <c r="M7" s="1"/>
      <c r="N7" s="1"/>
      <c r="O7" s="1"/>
      <c r="P7" s="1"/>
      <c r="Q7" s="1"/>
      <c r="R7" s="1"/>
      <c r="S7" s="1"/>
      <c r="T7" s="1"/>
      <c r="U7" s="1"/>
      <c r="V7" s="1"/>
      <c r="W7" s="1"/>
      <c r="X7" s="1"/>
      <c r="Y7" s="1"/>
      <c r="Z7" s="1"/>
    </row>
    <row r="8" spans="1:26" ht="14.4" x14ac:dyDescent="0.3">
      <c r="A8" s="1"/>
      <c r="B8" s="1"/>
      <c r="C8" s="1"/>
      <c r="D8" s="1"/>
      <c r="E8" s="1"/>
      <c r="F8" s="1"/>
      <c r="G8" s="1"/>
      <c r="H8" s="1"/>
      <c r="I8" s="1"/>
      <c r="J8" s="1"/>
      <c r="K8" s="1"/>
      <c r="L8" s="1"/>
      <c r="M8" s="1"/>
      <c r="N8" s="1"/>
      <c r="O8" s="1"/>
      <c r="P8" s="1"/>
      <c r="Q8" s="1"/>
      <c r="R8" s="1"/>
      <c r="S8" s="1"/>
      <c r="T8" s="1"/>
      <c r="U8" s="1"/>
      <c r="V8" s="1"/>
      <c r="W8" s="1"/>
      <c r="X8" s="1"/>
      <c r="Y8" s="1"/>
      <c r="Z8" s="1"/>
    </row>
    <row r="9" spans="1:26" ht="14.4" x14ac:dyDescent="0.3">
      <c r="A9" s="1"/>
      <c r="B9" s="1"/>
      <c r="C9" s="1"/>
      <c r="D9" s="1"/>
      <c r="E9" s="1"/>
      <c r="F9" s="1"/>
      <c r="G9" s="1"/>
      <c r="H9" s="1"/>
      <c r="I9" s="1"/>
      <c r="J9" s="1"/>
      <c r="K9" s="1"/>
      <c r="L9" s="1"/>
      <c r="M9" s="1"/>
      <c r="N9" s="1"/>
      <c r="O9" s="1"/>
      <c r="P9" s="1"/>
      <c r="Q9" s="1"/>
      <c r="R9" s="1"/>
      <c r="S9" s="1"/>
      <c r="T9" s="1"/>
      <c r="U9" s="1"/>
      <c r="V9" s="1"/>
      <c r="W9" s="1"/>
      <c r="X9" s="1"/>
      <c r="Y9" s="1"/>
      <c r="Z9" s="1"/>
    </row>
    <row r="10" spans="1:26" ht="14.4" x14ac:dyDescent="0.3">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4.4" x14ac:dyDescent="0.3">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4.4" x14ac:dyDescent="0.3">
      <c r="A12" s="1"/>
      <c r="B12" s="1"/>
      <c r="C12" s="1"/>
      <c r="D12" s="1"/>
      <c r="E12" s="1"/>
      <c r="F12" s="1"/>
      <c r="G12" s="1"/>
      <c r="H12" s="1"/>
      <c r="I12" s="1"/>
      <c r="J12" s="1"/>
      <c r="K12" s="1"/>
      <c r="L12" s="1"/>
      <c r="M12" s="1"/>
      <c r="N12" s="1"/>
      <c r="O12" s="1"/>
      <c r="P12" s="1"/>
      <c r="Q12" s="1"/>
      <c r="R12" s="1"/>
      <c r="S12" s="1"/>
      <c r="T12" s="1"/>
      <c r="U12" s="1"/>
      <c r="V12" s="2"/>
      <c r="W12" s="3"/>
      <c r="X12" s="4"/>
      <c r="Y12" s="1"/>
      <c r="Z12" s="1"/>
    </row>
    <row r="13" spans="1:26" ht="14.4" x14ac:dyDescent="0.3">
      <c r="A13" s="1"/>
      <c r="B13" s="1"/>
      <c r="C13" s="1"/>
      <c r="D13" s="1"/>
      <c r="E13" s="1"/>
      <c r="F13" s="1"/>
      <c r="G13" s="1"/>
      <c r="H13" s="1"/>
      <c r="I13" s="1"/>
      <c r="J13" s="1"/>
      <c r="K13" s="1"/>
      <c r="L13" s="1"/>
      <c r="M13" s="1"/>
      <c r="N13" s="1"/>
      <c r="O13" s="1"/>
      <c r="P13" s="1"/>
      <c r="Q13" s="1"/>
      <c r="R13" s="1"/>
      <c r="S13" s="1"/>
      <c r="T13" s="1"/>
      <c r="U13" s="1"/>
      <c r="V13" s="5" t="s">
        <v>0</v>
      </c>
      <c r="W13" s="6"/>
      <c r="X13" s="7"/>
      <c r="Y13" s="1"/>
      <c r="Z13" s="1"/>
    </row>
    <row r="14" spans="1:26" ht="14.4" x14ac:dyDescent="0.3">
      <c r="A14" s="1"/>
      <c r="B14" s="1"/>
      <c r="C14" s="1"/>
      <c r="D14" s="1"/>
      <c r="E14" s="1"/>
      <c r="F14" s="1"/>
      <c r="G14" s="1"/>
      <c r="H14" s="1"/>
      <c r="I14" s="1"/>
      <c r="J14" s="1"/>
      <c r="K14" s="1"/>
      <c r="L14" s="1"/>
      <c r="M14" s="1"/>
      <c r="N14" s="1"/>
      <c r="O14" s="1"/>
      <c r="P14" s="1"/>
      <c r="Q14" s="1"/>
      <c r="R14" s="1"/>
      <c r="S14" s="1"/>
      <c r="T14" s="1"/>
      <c r="U14" s="1"/>
      <c r="V14" s="5">
        <v>804</v>
      </c>
      <c r="W14" s="8">
        <v>0.97</v>
      </c>
      <c r="X14" s="7">
        <f>+W14*V14</f>
        <v>779.88</v>
      </c>
      <c r="Y14" s="1"/>
      <c r="Z14" s="1"/>
    </row>
    <row r="15" spans="1:26" ht="14.4" x14ac:dyDescent="0.3">
      <c r="A15" s="1"/>
      <c r="B15" s="1"/>
      <c r="C15" s="1"/>
      <c r="D15" s="1"/>
      <c r="E15" s="1"/>
      <c r="F15" s="1"/>
      <c r="G15" s="1"/>
      <c r="H15" s="1"/>
      <c r="I15" s="1"/>
      <c r="J15" s="1"/>
      <c r="K15" s="1"/>
      <c r="L15" s="1"/>
      <c r="M15" s="1"/>
      <c r="N15" s="1"/>
      <c r="O15" s="1"/>
      <c r="P15" s="1"/>
      <c r="Q15" s="1"/>
      <c r="R15" s="1"/>
      <c r="S15" s="1"/>
      <c r="T15" s="1"/>
      <c r="U15" s="1"/>
      <c r="V15" s="5"/>
      <c r="W15" s="6"/>
      <c r="X15" s="7"/>
      <c r="Y15" s="1"/>
      <c r="Z15" s="1"/>
    </row>
    <row r="16" spans="1:26" ht="14.4" x14ac:dyDescent="0.3">
      <c r="A16" s="1"/>
      <c r="B16" s="1"/>
      <c r="C16" s="1"/>
      <c r="D16" s="1"/>
      <c r="E16" s="1"/>
      <c r="F16" s="1"/>
      <c r="G16" s="1"/>
      <c r="H16" s="1"/>
      <c r="I16" s="1"/>
      <c r="J16" s="1"/>
      <c r="K16" s="1"/>
      <c r="L16" s="1"/>
      <c r="M16" s="1"/>
      <c r="N16" s="1"/>
      <c r="O16" s="1"/>
      <c r="P16" s="1"/>
      <c r="Q16" s="1"/>
      <c r="R16" s="1"/>
      <c r="S16" s="1"/>
      <c r="T16" s="1"/>
      <c r="U16" s="1"/>
      <c r="V16" s="5" t="s">
        <v>1</v>
      </c>
      <c r="W16" s="6"/>
      <c r="X16" s="7"/>
      <c r="Y16" s="1"/>
      <c r="Z16" s="1"/>
    </row>
    <row r="17" spans="1:26" ht="14.4" x14ac:dyDescent="0.3">
      <c r="A17" s="1"/>
      <c r="B17" s="1"/>
      <c r="C17" s="1"/>
      <c r="D17" s="1"/>
      <c r="E17" s="1"/>
      <c r="F17" s="1"/>
      <c r="G17" s="1"/>
      <c r="H17" s="1"/>
      <c r="I17" s="1"/>
      <c r="J17" s="1"/>
      <c r="K17" s="1"/>
      <c r="L17" s="1"/>
      <c r="M17" s="1"/>
      <c r="N17" s="1"/>
      <c r="O17" s="1"/>
      <c r="P17" s="1"/>
      <c r="Q17" s="1"/>
      <c r="R17" s="1"/>
      <c r="S17" s="1"/>
      <c r="T17" s="1"/>
      <c r="U17" s="1"/>
      <c r="V17" s="5">
        <v>1000</v>
      </c>
      <c r="W17" s="6"/>
      <c r="X17" s="9">
        <f>+X14*V17</f>
        <v>779880</v>
      </c>
      <c r="Y17" s="1"/>
      <c r="Z17" s="1"/>
    </row>
    <row r="18" spans="1:26" ht="14.4" x14ac:dyDescent="0.3">
      <c r="A18" s="1"/>
      <c r="B18" s="1"/>
      <c r="C18" s="1"/>
      <c r="D18" s="1"/>
      <c r="E18" s="1"/>
      <c r="F18" s="1"/>
      <c r="G18" s="1"/>
      <c r="H18" s="1"/>
      <c r="I18" s="1"/>
      <c r="J18" s="1"/>
      <c r="K18" s="1"/>
      <c r="L18" s="1"/>
      <c r="M18" s="1"/>
      <c r="N18" s="1"/>
      <c r="O18" s="1"/>
      <c r="P18" s="1"/>
      <c r="Q18" s="1"/>
      <c r="R18" s="1"/>
      <c r="S18" s="1"/>
      <c r="T18" s="1"/>
      <c r="U18" s="1"/>
      <c r="V18" s="10"/>
      <c r="W18" s="1"/>
      <c r="X18" s="11"/>
      <c r="Y18" s="1"/>
      <c r="Z18" s="1"/>
    </row>
    <row r="19" spans="1:26" ht="14.4" x14ac:dyDescent="0.3">
      <c r="A19" s="1"/>
      <c r="B19" s="1"/>
      <c r="C19" s="1"/>
      <c r="D19" s="1"/>
      <c r="E19" s="1"/>
      <c r="F19" s="1"/>
      <c r="G19" s="1"/>
      <c r="H19" s="1"/>
      <c r="I19" s="1"/>
      <c r="J19" s="1"/>
      <c r="K19" s="1"/>
      <c r="L19" s="1"/>
      <c r="M19" s="1"/>
      <c r="N19" s="1"/>
      <c r="O19" s="1"/>
      <c r="P19" s="1"/>
      <c r="Q19" s="1"/>
      <c r="R19" s="1"/>
      <c r="S19" s="1"/>
      <c r="T19" s="1"/>
      <c r="U19" s="1"/>
      <c r="V19" s="12"/>
      <c r="W19" s="13"/>
      <c r="X19" s="14"/>
      <c r="Y19" s="1"/>
      <c r="Z19" s="1"/>
    </row>
    <row r="20" spans="1:26" ht="14.4" x14ac:dyDescent="0.3">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3">
      <c r="A21" s="1"/>
      <c r="B21" s="1"/>
      <c r="C21" s="1"/>
      <c r="D21" s="1"/>
      <c r="E21" s="1"/>
      <c r="F21" s="1"/>
      <c r="G21" s="1"/>
      <c r="H21" s="1"/>
      <c r="I21" s="1"/>
      <c r="J21" s="1"/>
      <c r="K21" s="1"/>
      <c r="L21" s="1"/>
      <c r="M21" s="1"/>
      <c r="N21" s="1"/>
      <c r="O21" s="1"/>
      <c r="P21" s="1"/>
      <c r="Q21" s="1"/>
      <c r="R21" s="1"/>
      <c r="S21" s="1"/>
      <c r="T21" s="1"/>
      <c r="U21" s="1"/>
      <c r="V21" s="1"/>
      <c r="W21" s="1"/>
      <c r="X21" s="15"/>
      <c r="Y21" s="1"/>
      <c r="Z21" s="1"/>
    </row>
    <row r="22" spans="1:26" ht="15.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3">
      <c r="A23" s="1"/>
      <c r="B23" s="1"/>
      <c r="C23" s="1"/>
      <c r="D23" s="1"/>
      <c r="E23" s="1"/>
      <c r="F23" s="1"/>
      <c r="G23" s="1"/>
      <c r="H23" s="1"/>
      <c r="I23" s="1"/>
      <c r="J23" s="1"/>
      <c r="K23" s="1"/>
      <c r="L23" s="1"/>
      <c r="M23" s="1"/>
      <c r="N23" s="1"/>
      <c r="O23" s="1"/>
      <c r="P23" s="1"/>
      <c r="Q23" s="1"/>
      <c r="R23" s="1"/>
      <c r="S23" s="1"/>
      <c r="T23" s="1"/>
      <c r="U23" s="1"/>
      <c r="V23" s="1"/>
      <c r="W23" s="1"/>
      <c r="X23" s="6" t="s">
        <v>2</v>
      </c>
      <c r="Y23" s="6" t="s">
        <v>3</v>
      </c>
      <c r="Z23" s="1"/>
    </row>
    <row r="24" spans="1:26" ht="15.75" customHeight="1" x14ac:dyDescent="0.3">
      <c r="A24" s="1"/>
      <c r="B24" s="1"/>
      <c r="C24" s="1"/>
      <c r="D24" s="1"/>
      <c r="E24" s="1"/>
      <c r="F24" s="1"/>
      <c r="G24" s="1"/>
      <c r="H24" s="1"/>
      <c r="I24" s="1"/>
      <c r="J24" s="1"/>
      <c r="K24" s="1"/>
      <c r="L24" s="1"/>
      <c r="M24" s="1"/>
      <c r="N24" s="1"/>
      <c r="O24" s="1"/>
      <c r="P24" s="1"/>
      <c r="Q24" s="1"/>
      <c r="R24" s="1"/>
      <c r="S24" s="1"/>
      <c r="T24" s="1"/>
      <c r="U24" s="1"/>
      <c r="V24" s="1" t="s">
        <v>4</v>
      </c>
      <c r="W24" s="1"/>
      <c r="X24" s="8">
        <v>573595</v>
      </c>
      <c r="Y24" s="8">
        <f>+X24/164</f>
        <v>3497.5304878048782</v>
      </c>
      <c r="Z24" s="1"/>
    </row>
    <row r="25" spans="1:26" ht="15.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5">
        <f>+Y24*10</f>
        <v>34975.304878048781</v>
      </c>
      <c r="Z29" s="1"/>
    </row>
    <row r="30" spans="1:26" ht="15.75" customHeight="1" x14ac:dyDescent="0.3">
      <c r="A30" s="1"/>
      <c r="B30" s="1" t="s">
        <v>5</v>
      </c>
      <c r="C30" s="1"/>
      <c r="D30" s="1"/>
      <c r="E30" s="1"/>
      <c r="F30" s="1"/>
      <c r="G30" s="1"/>
      <c r="H30" s="1"/>
      <c r="I30" s="1">
        <v>2000000</v>
      </c>
      <c r="J30" s="1"/>
      <c r="K30" s="1"/>
      <c r="L30" s="1"/>
      <c r="M30" s="1"/>
      <c r="N30" s="1"/>
      <c r="O30" s="1"/>
      <c r="P30" s="1"/>
      <c r="Q30" s="1"/>
      <c r="R30" s="1"/>
      <c r="S30" s="1"/>
      <c r="T30" s="1"/>
      <c r="U30" s="1"/>
      <c r="V30" s="1"/>
      <c r="W30" s="1"/>
      <c r="X30" s="1"/>
      <c r="Y30" s="1"/>
      <c r="Z30" s="1"/>
    </row>
    <row r="31" spans="1:26"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3">
      <c r="A34" s="16"/>
      <c r="B34" s="16"/>
      <c r="C34" s="16"/>
      <c r="D34" s="16"/>
      <c r="E34" s="16">
        <f>+ROUND(I34*$I$6/8,0)</f>
        <v>0</v>
      </c>
      <c r="F34" s="16"/>
      <c r="G34" s="1"/>
      <c r="H34" s="1"/>
      <c r="I34" s="1">
        <v>1277730</v>
      </c>
      <c r="J34" s="1"/>
      <c r="K34" s="1"/>
      <c r="L34" s="1"/>
      <c r="M34" s="1"/>
      <c r="N34" s="1"/>
      <c r="O34" s="1"/>
      <c r="P34" s="1"/>
      <c r="Q34" s="1"/>
      <c r="R34" s="1"/>
      <c r="S34" s="1"/>
      <c r="T34" s="1"/>
      <c r="U34" s="1"/>
      <c r="V34" s="1"/>
      <c r="W34" s="1"/>
      <c r="X34" s="1"/>
      <c r="Y34" s="1"/>
      <c r="Z34" s="1"/>
    </row>
    <row r="35" spans="1:26"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3">
      <c r="A83" s="1"/>
      <c r="B83" s="1"/>
      <c r="C83" s="1"/>
      <c r="D83" s="1"/>
      <c r="E83" s="1">
        <v>2842</v>
      </c>
      <c r="F83" s="1"/>
      <c r="G83" s="1"/>
      <c r="H83" s="1"/>
      <c r="I83" s="1">
        <v>2842</v>
      </c>
      <c r="J83" s="1"/>
      <c r="K83" s="1"/>
      <c r="L83" s="1"/>
      <c r="M83" s="1"/>
      <c r="N83" s="1"/>
      <c r="O83" s="1"/>
      <c r="P83" s="1"/>
      <c r="Q83" s="1"/>
      <c r="R83" s="1"/>
      <c r="S83" s="1"/>
      <c r="T83" s="1"/>
      <c r="U83" s="1"/>
      <c r="V83" s="1"/>
      <c r="W83" s="1"/>
      <c r="X83" s="1"/>
      <c r="Y83" s="1"/>
      <c r="Z83" s="1"/>
    </row>
    <row r="84" spans="1:26" ht="15.75" customHeight="1" x14ac:dyDescent="0.3">
      <c r="A84" s="1"/>
      <c r="B84" s="1"/>
      <c r="C84" s="1"/>
      <c r="D84" s="1"/>
      <c r="E84" s="1">
        <v>152468</v>
      </c>
      <c r="F84" s="1"/>
      <c r="G84" s="1"/>
      <c r="H84" s="1"/>
      <c r="I84" s="1">
        <v>128602</v>
      </c>
      <c r="J84" s="1"/>
      <c r="K84" s="1"/>
      <c r="L84" s="1"/>
      <c r="M84" s="1"/>
      <c r="N84" s="1"/>
      <c r="O84" s="1"/>
      <c r="P84" s="1"/>
      <c r="Q84" s="1"/>
      <c r="R84" s="1"/>
      <c r="S84" s="1"/>
      <c r="T84" s="1"/>
      <c r="U84" s="1"/>
      <c r="V84" s="1"/>
      <c r="W84" s="1"/>
      <c r="X84" s="1"/>
      <c r="Y84" s="1"/>
      <c r="Z84" s="1"/>
    </row>
    <row r="85" spans="1:26" ht="15.75" customHeight="1" x14ac:dyDescent="0.3">
      <c r="A85" s="1"/>
      <c r="B85" s="1"/>
      <c r="C85" s="1"/>
      <c r="D85" s="1"/>
      <c r="E85" s="1">
        <v>152468</v>
      </c>
      <c r="F85" s="1"/>
      <c r="G85" s="1"/>
      <c r="H85" s="1"/>
      <c r="I85" s="1">
        <v>128602</v>
      </c>
      <c r="J85" s="1"/>
      <c r="K85" s="1"/>
      <c r="L85" s="1"/>
      <c r="M85" s="1"/>
      <c r="N85" s="1"/>
      <c r="O85" s="1"/>
      <c r="P85" s="1"/>
      <c r="Q85" s="1"/>
      <c r="R85" s="1"/>
      <c r="S85" s="1"/>
      <c r="T85" s="1"/>
      <c r="U85" s="1"/>
      <c r="V85" s="1"/>
      <c r="W85" s="1"/>
      <c r="X85" s="1"/>
      <c r="Y85" s="1"/>
      <c r="Z85" s="1"/>
    </row>
    <row r="86" spans="1:26" ht="15.75" customHeight="1" x14ac:dyDescent="0.3">
      <c r="A86" s="1"/>
      <c r="B86" s="1"/>
      <c r="C86" s="1"/>
      <c r="D86" s="1"/>
      <c r="E86" s="1">
        <v>152468</v>
      </c>
      <c r="F86" s="1"/>
      <c r="G86" s="1"/>
      <c r="H86" s="1"/>
      <c r="I86" s="1">
        <v>129841</v>
      </c>
      <c r="J86" s="1"/>
      <c r="K86" s="1"/>
      <c r="L86" s="1"/>
      <c r="M86" s="1"/>
      <c r="N86" s="1"/>
      <c r="O86" s="1"/>
      <c r="P86" s="1"/>
      <c r="Q86" s="1"/>
      <c r="R86" s="1"/>
      <c r="S86" s="1"/>
      <c r="T86" s="1"/>
      <c r="U86" s="1"/>
      <c r="V86" s="1"/>
      <c r="W86" s="1"/>
      <c r="X86" s="1"/>
      <c r="Y86" s="1"/>
      <c r="Z86" s="1"/>
    </row>
    <row r="87" spans="1:26" ht="15.75" customHeight="1" x14ac:dyDescent="0.3">
      <c r="A87" s="1"/>
      <c r="B87" s="1" t="s">
        <v>6</v>
      </c>
      <c r="C87" s="1"/>
      <c r="D87" s="1"/>
      <c r="E87" s="1"/>
      <c r="F87" s="1"/>
      <c r="G87" s="1"/>
      <c r="H87" s="1"/>
      <c r="I87" s="17">
        <v>139041</v>
      </c>
      <c r="J87" s="1"/>
      <c r="K87" s="1"/>
      <c r="L87" s="1"/>
      <c r="M87" s="1"/>
      <c r="N87" s="1"/>
      <c r="O87" s="1"/>
      <c r="P87" s="1"/>
      <c r="Q87" s="1"/>
      <c r="R87" s="1"/>
      <c r="S87" s="1"/>
      <c r="T87" s="1"/>
      <c r="U87" s="1"/>
      <c r="V87" s="1"/>
      <c r="W87" s="1"/>
      <c r="X87" s="1"/>
      <c r="Y87" s="1"/>
      <c r="Z87" s="1"/>
    </row>
    <row r="88" spans="1:26" ht="15.75" customHeight="1" x14ac:dyDescent="0.3">
      <c r="A88" s="1"/>
      <c r="B88" s="1" t="s">
        <v>7</v>
      </c>
      <c r="C88" s="1"/>
      <c r="D88" s="1"/>
      <c r="E88" s="1"/>
      <c r="F88" s="1"/>
      <c r="G88" s="1"/>
      <c r="H88" s="1"/>
      <c r="I88" s="17">
        <v>151041</v>
      </c>
      <c r="J88" s="1"/>
      <c r="K88" s="1"/>
      <c r="L88" s="1"/>
      <c r="M88" s="1"/>
      <c r="N88" s="1"/>
      <c r="O88" s="1"/>
      <c r="P88" s="1"/>
      <c r="Q88" s="1"/>
      <c r="R88" s="1"/>
      <c r="S88" s="1"/>
      <c r="T88" s="1"/>
      <c r="U88" s="1"/>
      <c r="V88" s="1"/>
      <c r="W88" s="1"/>
      <c r="X88" s="1"/>
      <c r="Y88" s="1"/>
      <c r="Z88" s="1"/>
    </row>
    <row r="89" spans="1:26" ht="46.5" customHeight="1" x14ac:dyDescent="0.3">
      <c r="A89" s="1"/>
      <c r="B89" s="1" t="s">
        <v>8</v>
      </c>
      <c r="C89" s="1"/>
      <c r="D89" s="1"/>
      <c r="E89" s="1"/>
      <c r="F89" s="1"/>
      <c r="G89" s="1"/>
      <c r="H89" s="1"/>
      <c r="I89" s="17">
        <v>159319</v>
      </c>
      <c r="J89" s="1"/>
      <c r="K89" s="1"/>
      <c r="L89" s="1"/>
      <c r="M89" s="1"/>
      <c r="N89" s="1"/>
      <c r="O89" s="1"/>
      <c r="P89" s="1"/>
      <c r="Q89" s="1"/>
      <c r="R89" s="1"/>
      <c r="S89" s="1"/>
      <c r="T89" s="1"/>
      <c r="U89" s="1"/>
      <c r="V89" s="1"/>
      <c r="W89" s="1"/>
      <c r="X89" s="1"/>
      <c r="Y89" s="1"/>
      <c r="Z89" s="1"/>
    </row>
    <row r="90" spans="1:26" ht="45.75" customHeight="1" x14ac:dyDescent="0.3">
      <c r="A90" s="1"/>
      <c r="B90" s="1" t="s">
        <v>9</v>
      </c>
      <c r="C90" s="1"/>
      <c r="D90" s="1"/>
      <c r="E90" s="1"/>
      <c r="F90" s="1"/>
      <c r="G90" s="1"/>
      <c r="H90" s="1"/>
      <c r="I90" s="17">
        <v>124863</v>
      </c>
      <c r="J90" s="1"/>
      <c r="K90" s="1"/>
      <c r="L90" s="1"/>
      <c r="M90" s="1"/>
      <c r="N90" s="1"/>
      <c r="O90" s="1"/>
      <c r="P90" s="1"/>
      <c r="Q90" s="1"/>
      <c r="R90" s="1"/>
      <c r="S90" s="1"/>
      <c r="T90" s="1"/>
      <c r="U90" s="1"/>
      <c r="V90" s="1"/>
      <c r="W90" s="1"/>
      <c r="X90" s="1"/>
      <c r="Y90" s="1"/>
      <c r="Z90" s="1"/>
    </row>
    <row r="91" spans="1:26" ht="15.75" customHeight="1" x14ac:dyDescent="0.3">
      <c r="A91" s="1"/>
      <c r="B91" s="1" t="s">
        <v>10</v>
      </c>
      <c r="C91" s="1"/>
      <c r="D91" s="1"/>
      <c r="E91" s="1"/>
      <c r="F91" s="1"/>
      <c r="G91" s="1"/>
      <c r="H91" s="1"/>
      <c r="I91" s="17">
        <v>87813</v>
      </c>
      <c r="J91" s="1"/>
      <c r="K91" s="1"/>
      <c r="L91" s="1"/>
      <c r="M91" s="1"/>
      <c r="N91" s="1"/>
      <c r="O91" s="1"/>
      <c r="P91" s="1"/>
      <c r="Q91" s="1"/>
      <c r="R91" s="1"/>
      <c r="S91" s="1"/>
      <c r="T91" s="1"/>
      <c r="U91" s="1"/>
      <c r="V91" s="1"/>
      <c r="W91" s="1"/>
      <c r="X91" s="1"/>
      <c r="Y91" s="1"/>
      <c r="Z91" s="1"/>
    </row>
    <row r="92" spans="1:26" ht="15.75" customHeight="1" x14ac:dyDescent="0.3">
      <c r="A92" s="1"/>
      <c r="B92" s="1" t="s">
        <v>11</v>
      </c>
      <c r="C92" s="1"/>
      <c r="D92" s="1"/>
      <c r="E92" s="1"/>
      <c r="F92" s="1"/>
      <c r="G92" s="1"/>
      <c r="H92" s="1"/>
      <c r="I92" s="17">
        <v>96653</v>
      </c>
      <c r="J92" s="1"/>
      <c r="K92" s="1"/>
      <c r="L92" s="1"/>
      <c r="M92" s="1"/>
      <c r="N92" s="1"/>
      <c r="O92" s="1"/>
      <c r="P92" s="1"/>
      <c r="Q92" s="1"/>
      <c r="R92" s="1"/>
      <c r="S92" s="1"/>
      <c r="T92" s="1"/>
      <c r="U92" s="1"/>
      <c r="V92" s="1"/>
      <c r="W92" s="1"/>
      <c r="X92" s="1"/>
      <c r="Y92" s="1"/>
      <c r="Z92" s="1"/>
    </row>
    <row r="93" spans="1:26" ht="15.75" customHeight="1" x14ac:dyDescent="0.3">
      <c r="A93" s="1"/>
      <c r="B93" s="1" t="s">
        <v>12</v>
      </c>
      <c r="C93" s="1"/>
      <c r="D93" s="1"/>
      <c r="E93" s="1"/>
      <c r="F93" s="1"/>
      <c r="G93" s="1"/>
      <c r="H93" s="1"/>
      <c r="I93" s="17">
        <v>74181</v>
      </c>
      <c r="J93" s="1"/>
      <c r="K93" s="1"/>
      <c r="L93" s="1"/>
      <c r="M93" s="1"/>
      <c r="N93" s="1"/>
      <c r="O93" s="1"/>
      <c r="P93" s="1"/>
      <c r="Q93" s="1"/>
      <c r="R93" s="1"/>
      <c r="S93" s="1"/>
      <c r="T93" s="1"/>
      <c r="U93" s="1"/>
      <c r="V93" s="1"/>
      <c r="W93" s="1"/>
      <c r="X93" s="1"/>
      <c r="Y93" s="1"/>
      <c r="Z93" s="1"/>
    </row>
    <row r="94" spans="1:26" ht="15.75" customHeight="1" x14ac:dyDescent="0.3">
      <c r="A94" s="1"/>
      <c r="B94" s="1" t="s">
        <v>13</v>
      </c>
      <c r="C94" s="1"/>
      <c r="D94" s="1"/>
      <c r="E94" s="1"/>
      <c r="F94" s="1"/>
      <c r="G94" s="1"/>
      <c r="H94" s="1"/>
      <c r="I94" s="17">
        <v>87813</v>
      </c>
      <c r="J94" s="1"/>
      <c r="K94" s="1"/>
      <c r="L94" s="1"/>
      <c r="M94" s="1"/>
      <c r="N94" s="1"/>
      <c r="O94" s="1"/>
      <c r="P94" s="1"/>
      <c r="Q94" s="1"/>
      <c r="R94" s="1"/>
      <c r="S94" s="1"/>
      <c r="T94" s="1"/>
      <c r="U94" s="1"/>
      <c r="V94" s="1"/>
      <c r="W94" s="1"/>
      <c r="X94" s="1"/>
      <c r="Y94" s="1"/>
      <c r="Z94" s="1"/>
    </row>
    <row r="95" spans="1:26" ht="15.75" customHeight="1" x14ac:dyDescent="0.3">
      <c r="A95" s="1"/>
      <c r="B95" s="1" t="s">
        <v>14</v>
      </c>
      <c r="C95" s="1"/>
      <c r="D95" s="1"/>
      <c r="E95" s="1"/>
      <c r="F95" s="1"/>
      <c r="G95" s="1"/>
      <c r="H95" s="1"/>
      <c r="I95" s="17">
        <v>96384</v>
      </c>
      <c r="J95" s="1"/>
      <c r="K95" s="1"/>
      <c r="L95" s="1"/>
      <c r="M95" s="1"/>
      <c r="N95" s="1"/>
      <c r="O95" s="1"/>
      <c r="P95" s="1"/>
      <c r="Q95" s="1"/>
      <c r="R95" s="1"/>
      <c r="S95" s="1"/>
      <c r="T95" s="1"/>
      <c r="U95" s="1"/>
      <c r="V95" s="1"/>
      <c r="W95" s="1"/>
      <c r="X95" s="1"/>
      <c r="Y95" s="1"/>
      <c r="Z95" s="1"/>
    </row>
    <row r="96" spans="1:26" ht="15.75" customHeight="1" x14ac:dyDescent="0.3">
      <c r="A96" s="1"/>
      <c r="B96" s="1" t="s">
        <v>15</v>
      </c>
      <c r="C96" s="1"/>
      <c r="D96" s="1"/>
      <c r="E96" s="1"/>
      <c r="F96" s="1"/>
      <c r="G96" s="1"/>
      <c r="H96" s="1"/>
      <c r="I96" s="17">
        <v>51462</v>
      </c>
      <c r="J96" s="1"/>
      <c r="K96" s="1"/>
      <c r="L96" s="1"/>
      <c r="M96" s="1"/>
      <c r="N96" s="1"/>
      <c r="O96" s="1"/>
      <c r="P96" s="1"/>
      <c r="Q96" s="1"/>
      <c r="R96" s="1"/>
      <c r="S96" s="1"/>
      <c r="T96" s="1"/>
      <c r="U96" s="1"/>
      <c r="V96" s="1"/>
      <c r="W96" s="1"/>
      <c r="X96" s="1"/>
      <c r="Y96" s="1"/>
      <c r="Z96" s="1"/>
    </row>
    <row r="97" spans="1:26" ht="15.75" customHeight="1" x14ac:dyDescent="0.3">
      <c r="A97" s="1"/>
      <c r="B97" s="1" t="s">
        <v>16</v>
      </c>
      <c r="C97" s="1"/>
      <c r="D97" s="1"/>
      <c r="E97" s="1"/>
      <c r="F97" s="1"/>
      <c r="G97" s="1"/>
      <c r="H97" s="1"/>
      <c r="I97" s="17">
        <v>43590</v>
      </c>
      <c r="J97" s="1"/>
      <c r="K97" s="1"/>
      <c r="L97" s="1"/>
      <c r="M97" s="1"/>
      <c r="N97" s="1"/>
      <c r="O97" s="1"/>
      <c r="P97" s="1"/>
      <c r="Q97" s="1"/>
      <c r="R97" s="1"/>
      <c r="S97" s="1"/>
      <c r="T97" s="1"/>
      <c r="U97" s="1"/>
      <c r="V97" s="1"/>
      <c r="W97" s="1"/>
      <c r="X97" s="1"/>
      <c r="Y97" s="1"/>
      <c r="Z97" s="1"/>
    </row>
    <row r="98" spans="1:26" ht="15.75" customHeight="1" x14ac:dyDescent="0.3">
      <c r="A98" s="1"/>
      <c r="B98" s="1" t="s">
        <v>17</v>
      </c>
      <c r="C98" s="1"/>
      <c r="D98" s="1"/>
      <c r="E98" s="1"/>
      <c r="F98" s="1"/>
      <c r="G98" s="1"/>
      <c r="H98" s="1"/>
      <c r="I98" s="18">
        <v>81390</v>
      </c>
      <c r="J98" s="1"/>
      <c r="K98" s="1"/>
      <c r="L98" s="1"/>
      <c r="M98" s="1"/>
      <c r="N98" s="1"/>
      <c r="O98" s="1"/>
      <c r="P98" s="1"/>
      <c r="Q98" s="1"/>
      <c r="R98" s="1"/>
      <c r="S98" s="1"/>
      <c r="T98" s="1"/>
      <c r="U98" s="1"/>
      <c r="V98" s="1"/>
      <c r="W98" s="1"/>
      <c r="X98" s="1"/>
      <c r="Y98" s="1"/>
      <c r="Z98" s="1"/>
    </row>
    <row r="99" spans="1:26" ht="15.75" customHeight="1" x14ac:dyDescent="0.3">
      <c r="A99" s="1"/>
      <c r="B99" s="1" t="s">
        <v>18</v>
      </c>
      <c r="C99" s="1"/>
      <c r="D99" s="1"/>
      <c r="E99" s="1"/>
      <c r="F99" s="1"/>
      <c r="G99" s="1"/>
      <c r="H99" s="1"/>
      <c r="I99" s="17">
        <v>43590</v>
      </c>
      <c r="J99" s="1"/>
      <c r="K99" s="1"/>
      <c r="L99" s="1"/>
      <c r="M99" s="1"/>
      <c r="N99" s="1"/>
      <c r="O99" s="1"/>
      <c r="P99" s="1"/>
      <c r="Q99" s="1"/>
      <c r="R99" s="1"/>
      <c r="S99" s="1"/>
      <c r="T99" s="1"/>
      <c r="U99" s="1"/>
      <c r="V99" s="1"/>
      <c r="W99" s="1"/>
      <c r="X99" s="1"/>
      <c r="Y99" s="1"/>
      <c r="Z99" s="1"/>
    </row>
    <row r="100" spans="1:26" ht="15.75" customHeight="1" x14ac:dyDescent="0.3">
      <c r="A100" s="1"/>
      <c r="B100" s="1" t="s">
        <v>19</v>
      </c>
      <c r="C100" s="1"/>
      <c r="D100" s="1"/>
      <c r="E100" s="1"/>
      <c r="F100" s="1"/>
      <c r="G100" s="1"/>
      <c r="H100" s="1"/>
      <c r="I100" s="17">
        <v>79155</v>
      </c>
      <c r="J100" s="1"/>
      <c r="K100" s="1"/>
      <c r="L100" s="1"/>
      <c r="M100" s="1"/>
      <c r="N100" s="1"/>
      <c r="O100" s="1"/>
      <c r="P100" s="1"/>
      <c r="Q100" s="1"/>
      <c r="R100" s="1"/>
      <c r="S100" s="1"/>
      <c r="T100" s="1"/>
      <c r="U100" s="1"/>
      <c r="V100" s="1"/>
      <c r="W100" s="1"/>
      <c r="X100" s="1"/>
      <c r="Y100" s="1"/>
      <c r="Z100" s="1"/>
    </row>
    <row r="101" spans="1:26" ht="15.75" customHeight="1" x14ac:dyDescent="0.3">
      <c r="A101" s="1"/>
      <c r="B101" s="1" t="s">
        <v>20</v>
      </c>
      <c r="C101" s="1"/>
      <c r="D101" s="1"/>
      <c r="E101" s="1"/>
      <c r="F101" s="1"/>
      <c r="G101" s="1"/>
      <c r="H101" s="1"/>
      <c r="I101" s="17">
        <v>74181</v>
      </c>
      <c r="J101" s="1"/>
      <c r="K101" s="1"/>
      <c r="L101" s="1"/>
      <c r="M101" s="1"/>
      <c r="N101" s="1"/>
      <c r="O101" s="1"/>
      <c r="P101" s="1"/>
      <c r="Q101" s="1"/>
      <c r="R101" s="1"/>
      <c r="S101" s="1"/>
      <c r="T101" s="1"/>
      <c r="U101" s="1"/>
      <c r="V101" s="1"/>
      <c r="W101" s="1"/>
      <c r="X101" s="1"/>
      <c r="Y101" s="1"/>
      <c r="Z101" s="1"/>
    </row>
    <row r="102" spans="1:26" ht="15.75" customHeight="1" x14ac:dyDescent="0.3">
      <c r="A102" s="1"/>
      <c r="B102" s="1" t="s">
        <v>21</v>
      </c>
      <c r="C102" s="1"/>
      <c r="D102" s="1"/>
      <c r="E102" s="1"/>
      <c r="F102" s="1"/>
      <c r="G102" s="1"/>
      <c r="H102" s="1"/>
      <c r="I102" s="17">
        <v>77087</v>
      </c>
      <c r="J102" s="1"/>
      <c r="K102" s="1"/>
      <c r="L102" s="1"/>
      <c r="M102" s="1"/>
      <c r="N102" s="1"/>
      <c r="O102" s="1"/>
      <c r="P102" s="1"/>
      <c r="Q102" s="1"/>
      <c r="R102" s="1"/>
      <c r="S102" s="1"/>
      <c r="T102" s="1"/>
      <c r="U102" s="1"/>
      <c r="V102" s="1"/>
      <c r="W102" s="1"/>
      <c r="X102" s="1"/>
      <c r="Y102" s="1"/>
      <c r="Z102" s="1"/>
    </row>
    <row r="103" spans="1:26" ht="15.75" customHeight="1" x14ac:dyDescent="0.3">
      <c r="A103" s="1"/>
      <c r="B103" s="1" t="s">
        <v>22</v>
      </c>
      <c r="C103" s="1"/>
      <c r="D103" s="1"/>
      <c r="E103" s="1"/>
      <c r="F103" s="1"/>
      <c r="G103" s="1"/>
      <c r="H103" s="1"/>
      <c r="I103" s="17">
        <v>152909</v>
      </c>
      <c r="J103" s="1"/>
      <c r="K103" s="1"/>
      <c r="L103" s="1"/>
      <c r="M103" s="1"/>
      <c r="N103" s="1"/>
      <c r="O103" s="1"/>
      <c r="P103" s="1"/>
      <c r="Q103" s="1"/>
      <c r="R103" s="1"/>
      <c r="S103" s="1"/>
      <c r="T103" s="1"/>
      <c r="U103" s="1"/>
      <c r="V103" s="1"/>
      <c r="W103" s="1"/>
      <c r="X103" s="1"/>
      <c r="Y103" s="1"/>
      <c r="Z103" s="1"/>
    </row>
    <row r="104" spans="1:26" ht="15.75" customHeight="1" x14ac:dyDescent="0.3">
      <c r="A104" s="1"/>
      <c r="B104" s="1" t="s">
        <v>23</v>
      </c>
      <c r="C104" s="1"/>
      <c r="D104" s="1"/>
      <c r="E104" s="1"/>
      <c r="F104" s="1"/>
      <c r="G104" s="1"/>
      <c r="H104" s="1"/>
      <c r="I104" s="17">
        <v>77087</v>
      </c>
      <c r="J104" s="1"/>
      <c r="K104" s="1"/>
      <c r="L104" s="1"/>
      <c r="M104" s="1"/>
      <c r="N104" s="1"/>
      <c r="O104" s="1"/>
      <c r="P104" s="1"/>
      <c r="Q104" s="1"/>
      <c r="R104" s="1"/>
      <c r="S104" s="1"/>
      <c r="T104" s="1"/>
      <c r="U104" s="1"/>
      <c r="V104" s="1"/>
      <c r="W104" s="1"/>
      <c r="X104" s="1"/>
      <c r="Y104" s="1"/>
      <c r="Z104" s="1"/>
    </row>
    <row r="105" spans="1:26" ht="15.75" customHeight="1" x14ac:dyDescent="0.3">
      <c r="A105" s="1"/>
      <c r="B105" s="1" t="s">
        <v>24</v>
      </c>
      <c r="C105" s="1"/>
      <c r="D105" s="1"/>
      <c r="E105" s="1"/>
      <c r="F105" s="1"/>
      <c r="G105" s="1"/>
      <c r="H105" s="1"/>
      <c r="I105" s="17">
        <v>82353</v>
      </c>
      <c r="J105" s="1"/>
      <c r="K105" s="1"/>
      <c r="L105" s="1"/>
      <c r="M105" s="1"/>
      <c r="N105" s="1"/>
      <c r="O105" s="1"/>
      <c r="P105" s="1"/>
      <c r="Q105" s="1"/>
      <c r="R105" s="1"/>
      <c r="S105" s="1"/>
      <c r="T105" s="1"/>
      <c r="U105" s="1"/>
      <c r="V105" s="1"/>
      <c r="W105" s="1"/>
      <c r="X105" s="1"/>
      <c r="Y105" s="1"/>
      <c r="Z105" s="1"/>
    </row>
    <row r="106" spans="1:26" ht="15.75" customHeight="1" x14ac:dyDescent="0.3">
      <c r="A106" s="1"/>
      <c r="B106" s="1" t="s">
        <v>25</v>
      </c>
      <c r="C106" s="1"/>
      <c r="D106" s="1"/>
      <c r="E106" s="1"/>
      <c r="F106" s="1"/>
      <c r="G106" s="1"/>
      <c r="H106" s="1"/>
      <c r="I106" s="17">
        <v>77087</v>
      </c>
      <c r="J106" s="1"/>
      <c r="K106" s="1"/>
      <c r="L106" s="1"/>
      <c r="M106" s="1"/>
      <c r="N106" s="1"/>
      <c r="O106" s="1"/>
      <c r="P106" s="1"/>
      <c r="Q106" s="1"/>
      <c r="R106" s="1"/>
      <c r="S106" s="1"/>
      <c r="T106" s="1"/>
      <c r="U106" s="1"/>
      <c r="V106" s="1"/>
      <c r="W106" s="1"/>
      <c r="X106" s="1"/>
      <c r="Y106" s="1"/>
      <c r="Z106" s="1"/>
    </row>
    <row r="107" spans="1:26" ht="15.75" customHeight="1" x14ac:dyDescent="0.3">
      <c r="A107" s="1"/>
      <c r="B107" s="1" t="s">
        <v>26</v>
      </c>
      <c r="C107" s="1"/>
      <c r="D107" s="1"/>
      <c r="E107" s="1"/>
      <c r="F107" s="1"/>
      <c r="G107" s="1"/>
      <c r="H107" s="1"/>
      <c r="I107" s="17">
        <v>77087</v>
      </c>
      <c r="J107" s="1"/>
      <c r="K107" s="1"/>
      <c r="L107" s="1"/>
      <c r="M107" s="1"/>
      <c r="N107" s="1"/>
      <c r="O107" s="1"/>
      <c r="P107" s="1"/>
      <c r="Q107" s="1"/>
      <c r="R107" s="1"/>
      <c r="S107" s="1"/>
      <c r="T107" s="1"/>
      <c r="U107" s="1"/>
      <c r="V107" s="1"/>
      <c r="W107" s="1"/>
      <c r="X107" s="1"/>
      <c r="Y107" s="1"/>
      <c r="Z107" s="1"/>
    </row>
    <row r="108" spans="1:26" ht="15.75" customHeight="1" x14ac:dyDescent="0.3">
      <c r="A108" s="1"/>
      <c r="B108" s="1" t="s">
        <v>27</v>
      </c>
      <c r="C108" s="1"/>
      <c r="D108" s="1"/>
      <c r="E108" s="1"/>
      <c r="F108" s="1"/>
      <c r="G108" s="1"/>
      <c r="H108" s="1"/>
      <c r="I108" s="17">
        <v>116771</v>
      </c>
      <c r="J108" s="1"/>
      <c r="K108" s="1"/>
      <c r="L108" s="1"/>
      <c r="M108" s="1"/>
      <c r="N108" s="1"/>
      <c r="O108" s="1"/>
      <c r="P108" s="1"/>
      <c r="Q108" s="1"/>
      <c r="R108" s="1"/>
      <c r="S108" s="1"/>
      <c r="T108" s="1"/>
      <c r="U108" s="1"/>
      <c r="V108" s="1"/>
      <c r="W108" s="1"/>
      <c r="X108" s="1"/>
      <c r="Y108" s="1"/>
      <c r="Z108" s="1"/>
    </row>
    <row r="109" spans="1:26" ht="15.75" customHeight="1" x14ac:dyDescent="0.3">
      <c r="A109" s="1"/>
      <c r="B109" s="1" t="s">
        <v>28</v>
      </c>
      <c r="C109" s="1"/>
      <c r="D109" s="1"/>
      <c r="E109" s="1"/>
      <c r="F109" s="1"/>
      <c r="G109" s="1"/>
      <c r="H109" s="1"/>
      <c r="I109" s="17">
        <v>86979</v>
      </c>
      <c r="J109" s="1"/>
      <c r="K109" s="1"/>
      <c r="L109" s="1"/>
      <c r="M109" s="1"/>
      <c r="N109" s="1"/>
      <c r="O109" s="1"/>
      <c r="P109" s="1"/>
      <c r="Q109" s="1"/>
      <c r="R109" s="1"/>
      <c r="S109" s="1"/>
      <c r="T109" s="1"/>
      <c r="U109" s="1"/>
      <c r="V109" s="1"/>
      <c r="W109" s="1"/>
      <c r="X109" s="1"/>
      <c r="Y109" s="1"/>
      <c r="Z109" s="1"/>
    </row>
    <row r="110" spans="1:26" ht="15.75" customHeight="1" x14ac:dyDescent="0.3">
      <c r="A110" s="1"/>
      <c r="B110" s="1" t="s">
        <v>29</v>
      </c>
      <c r="C110" s="1"/>
      <c r="D110" s="1"/>
      <c r="E110" s="1"/>
      <c r="F110" s="1"/>
      <c r="G110" s="1"/>
      <c r="H110" s="1"/>
      <c r="I110" s="17">
        <v>78353</v>
      </c>
      <c r="J110" s="1"/>
      <c r="K110" s="1"/>
      <c r="L110" s="1"/>
      <c r="M110" s="1"/>
      <c r="N110" s="1"/>
      <c r="O110" s="1"/>
      <c r="P110" s="1"/>
      <c r="Q110" s="1"/>
      <c r="R110" s="1"/>
      <c r="S110" s="1"/>
      <c r="T110" s="1"/>
      <c r="U110" s="1"/>
      <c r="V110" s="1"/>
      <c r="W110" s="1"/>
      <c r="X110" s="1"/>
      <c r="Y110" s="1"/>
      <c r="Z110" s="1"/>
    </row>
    <row r="111" spans="1:26" ht="15.75" customHeight="1" x14ac:dyDescent="0.3">
      <c r="A111" s="1"/>
      <c r="B111" s="1" t="s">
        <v>30</v>
      </c>
      <c r="C111" s="1"/>
      <c r="D111" s="1"/>
      <c r="E111" s="1"/>
      <c r="F111" s="1"/>
      <c r="G111" s="1"/>
      <c r="H111" s="1"/>
      <c r="I111" s="17">
        <v>80087</v>
      </c>
      <c r="J111" s="1"/>
      <c r="K111" s="1"/>
      <c r="L111" s="1"/>
      <c r="M111" s="1"/>
      <c r="N111" s="1"/>
      <c r="O111" s="1"/>
      <c r="P111" s="1"/>
      <c r="Q111" s="1"/>
      <c r="R111" s="1"/>
      <c r="S111" s="1"/>
      <c r="T111" s="1"/>
      <c r="U111" s="1"/>
      <c r="V111" s="1"/>
      <c r="W111" s="1"/>
      <c r="X111" s="1"/>
      <c r="Y111" s="1"/>
      <c r="Z111" s="1"/>
    </row>
    <row r="112" spans="1:26" ht="15.75" customHeight="1" x14ac:dyDescent="0.3">
      <c r="A112" s="1"/>
      <c r="B112" s="1" t="s">
        <v>31</v>
      </c>
      <c r="C112" s="1"/>
      <c r="D112" s="1"/>
      <c r="E112" s="1"/>
      <c r="F112" s="1"/>
      <c r="G112" s="1"/>
      <c r="H112" s="1"/>
      <c r="I112" s="17">
        <v>87087</v>
      </c>
      <c r="J112" s="1"/>
      <c r="K112" s="1"/>
      <c r="L112" s="1"/>
      <c r="M112" s="1"/>
      <c r="N112" s="1"/>
      <c r="O112" s="1"/>
      <c r="P112" s="1"/>
      <c r="Q112" s="1"/>
      <c r="R112" s="1"/>
      <c r="S112" s="1"/>
      <c r="T112" s="1"/>
      <c r="U112" s="1"/>
      <c r="V112" s="1"/>
      <c r="W112" s="1"/>
      <c r="X112" s="1"/>
      <c r="Y112" s="1"/>
      <c r="Z112" s="1"/>
    </row>
    <row r="113" spans="1:26" ht="15.75" customHeight="1" x14ac:dyDescent="0.3">
      <c r="A113" s="1"/>
      <c r="B113" s="1"/>
      <c r="C113" s="1"/>
      <c r="D113" s="1">
        <v>36.200000000000003</v>
      </c>
      <c r="E113" s="1"/>
      <c r="F113" s="1"/>
      <c r="G113" s="1"/>
      <c r="H113" s="1"/>
      <c r="I113" s="18">
        <v>210181</v>
      </c>
      <c r="J113" s="1"/>
      <c r="K113" s="1"/>
      <c r="L113" s="1"/>
      <c r="M113" s="1"/>
      <c r="N113" s="1"/>
      <c r="O113" s="1"/>
      <c r="P113" s="1"/>
      <c r="Q113" s="1"/>
      <c r="R113" s="1"/>
      <c r="S113" s="1"/>
      <c r="T113" s="1"/>
      <c r="U113" s="1"/>
      <c r="V113" s="1"/>
      <c r="W113" s="1"/>
      <c r="X113" s="1"/>
      <c r="Y113" s="1"/>
      <c r="Z113" s="1"/>
    </row>
    <row r="114" spans="1:26" ht="15.75" hidden="1" customHeight="1" x14ac:dyDescent="0.3">
      <c r="A114" s="1"/>
      <c r="B114" s="1"/>
      <c r="C114" s="1"/>
      <c r="D114" s="1"/>
      <c r="E114" s="1"/>
      <c r="F114" s="1"/>
      <c r="G114" s="1"/>
      <c r="H114" s="1"/>
      <c r="I114" s="18">
        <v>154181</v>
      </c>
      <c r="J114" s="1"/>
      <c r="K114" s="1"/>
      <c r="L114" s="1"/>
      <c r="M114" s="1"/>
      <c r="N114" s="1"/>
      <c r="O114" s="1"/>
      <c r="P114" s="1"/>
      <c r="Q114" s="1"/>
      <c r="R114" s="1"/>
      <c r="S114" s="1"/>
      <c r="T114" s="1"/>
      <c r="U114" s="1"/>
      <c r="V114" s="1"/>
      <c r="W114" s="1"/>
      <c r="X114" s="1"/>
      <c r="Y114" s="1"/>
      <c r="Z114" s="1"/>
    </row>
    <row r="115" spans="1:26" ht="15.75" customHeight="1" x14ac:dyDescent="0.3">
      <c r="A115" s="1">
        <f>A113+0.01</f>
        <v>0.01</v>
      </c>
      <c r="B115" s="1" t="s">
        <v>32</v>
      </c>
      <c r="C115" s="1" t="s">
        <v>33</v>
      </c>
      <c r="D115" s="1"/>
      <c r="E115" s="1"/>
      <c r="F115" s="1"/>
      <c r="G115" s="1"/>
      <c r="H115" s="1"/>
      <c r="I115" s="17">
        <v>6554933</v>
      </c>
      <c r="J115" s="1"/>
      <c r="K115" s="1"/>
      <c r="L115" s="1"/>
      <c r="M115" s="1"/>
      <c r="N115" s="1"/>
      <c r="O115" s="1"/>
      <c r="P115" s="1"/>
      <c r="Q115" s="1"/>
      <c r="R115" s="1"/>
      <c r="S115" s="1"/>
      <c r="T115" s="1"/>
      <c r="U115" s="1"/>
      <c r="V115" s="1"/>
      <c r="W115" s="1"/>
      <c r="X115" s="1"/>
      <c r="Y115" s="1"/>
      <c r="Z115" s="1"/>
    </row>
    <row r="116" spans="1:26" ht="15.75" customHeight="1" x14ac:dyDescent="0.3">
      <c r="A116" s="1"/>
      <c r="B116" s="1" t="s">
        <v>34</v>
      </c>
      <c r="C116" s="1" t="s">
        <v>33</v>
      </c>
      <c r="D116" s="1"/>
      <c r="E116" s="1"/>
      <c r="F116" s="1"/>
      <c r="G116" s="1"/>
      <c r="H116" s="1"/>
      <c r="I116" s="17">
        <v>270603</v>
      </c>
      <c r="J116" s="1"/>
      <c r="K116" s="1"/>
      <c r="L116" s="1"/>
      <c r="M116" s="1"/>
      <c r="N116" s="1"/>
      <c r="O116" s="1"/>
      <c r="P116" s="1"/>
      <c r="Q116" s="1"/>
      <c r="R116" s="1"/>
      <c r="S116" s="1"/>
      <c r="T116" s="1"/>
      <c r="U116" s="1"/>
      <c r="V116" s="1"/>
      <c r="W116" s="1"/>
      <c r="X116" s="1"/>
      <c r="Y116" s="1"/>
      <c r="Z116" s="1"/>
    </row>
    <row r="117" spans="1:26" ht="15.75" customHeight="1" x14ac:dyDescent="0.3">
      <c r="A117" s="1"/>
      <c r="B117" s="1"/>
      <c r="C117" s="1"/>
      <c r="D117" s="1"/>
      <c r="E117" s="1"/>
      <c r="F117" s="1"/>
      <c r="G117" s="1"/>
      <c r="H117" s="1"/>
      <c r="I117" s="19">
        <v>697535</v>
      </c>
      <c r="J117" s="1"/>
      <c r="K117" s="1"/>
      <c r="L117" s="1"/>
      <c r="M117" s="1"/>
      <c r="N117" s="1"/>
      <c r="O117" s="1"/>
      <c r="P117" s="1"/>
      <c r="Q117" s="1"/>
      <c r="R117" s="1"/>
      <c r="S117" s="1"/>
      <c r="T117" s="1"/>
      <c r="U117" s="1"/>
      <c r="V117" s="1"/>
      <c r="W117" s="1"/>
      <c r="X117" s="1"/>
      <c r="Y117" s="1"/>
      <c r="Z117" s="1"/>
    </row>
    <row r="118" spans="1:26" ht="15.75" customHeight="1" x14ac:dyDescent="0.3">
      <c r="A118" s="1"/>
      <c r="B118" s="1"/>
      <c r="C118" s="1"/>
      <c r="D118" s="1"/>
      <c r="E118" s="1"/>
      <c r="F118" s="1"/>
      <c r="G118" s="1"/>
      <c r="H118" s="1"/>
      <c r="I118" s="19">
        <v>36290</v>
      </c>
      <c r="J118" s="1"/>
      <c r="K118" s="1"/>
      <c r="L118" s="1"/>
      <c r="M118" s="1"/>
      <c r="N118" s="1"/>
      <c r="O118" s="1"/>
      <c r="P118" s="1"/>
      <c r="Q118" s="1"/>
      <c r="R118" s="1"/>
      <c r="S118" s="1"/>
      <c r="T118" s="1"/>
      <c r="U118" s="1"/>
      <c r="V118" s="1"/>
      <c r="W118" s="1"/>
      <c r="X118" s="1"/>
      <c r="Y118" s="1"/>
      <c r="Z118" s="1"/>
    </row>
    <row r="119" spans="1:26" ht="15.75" customHeight="1" x14ac:dyDescent="0.3">
      <c r="A119" s="1"/>
      <c r="B119" s="1"/>
      <c r="C119" s="1"/>
      <c r="D119" s="1"/>
      <c r="E119" s="1"/>
      <c r="F119" s="1"/>
      <c r="G119" s="1"/>
      <c r="H119" s="1"/>
      <c r="I119" s="19">
        <v>221290</v>
      </c>
      <c r="J119" s="1"/>
      <c r="K119" s="1"/>
      <c r="L119" s="1"/>
      <c r="M119" s="1"/>
      <c r="N119" s="1"/>
      <c r="O119" s="1"/>
      <c r="P119" s="1"/>
      <c r="Q119" s="1"/>
      <c r="R119" s="1"/>
      <c r="S119" s="1"/>
      <c r="T119" s="1"/>
      <c r="U119" s="1"/>
      <c r="V119" s="1"/>
      <c r="W119" s="1"/>
      <c r="X119" s="1"/>
      <c r="Y119" s="1"/>
      <c r="Z119" s="1"/>
    </row>
    <row r="120" spans="1:26" ht="15.75" customHeight="1" x14ac:dyDescent="0.3">
      <c r="A120" s="1"/>
      <c r="B120" s="1"/>
      <c r="C120" s="1"/>
      <c r="D120" s="1"/>
      <c r="E120" s="1"/>
      <c r="F120" s="1"/>
      <c r="G120" s="1"/>
      <c r="H120" s="1"/>
      <c r="I120" s="19">
        <v>46290</v>
      </c>
      <c r="J120" s="1"/>
      <c r="K120" s="1"/>
      <c r="L120" s="1"/>
      <c r="M120" s="1"/>
      <c r="N120" s="1"/>
      <c r="O120" s="1"/>
      <c r="P120" s="1"/>
      <c r="Q120" s="1"/>
      <c r="R120" s="1"/>
      <c r="S120" s="1"/>
      <c r="T120" s="1"/>
      <c r="U120" s="1"/>
      <c r="V120" s="1"/>
      <c r="W120" s="1"/>
      <c r="X120" s="1"/>
      <c r="Y120" s="1"/>
      <c r="Z120" s="1"/>
    </row>
    <row r="121" spans="1:26" ht="15.75" customHeight="1" x14ac:dyDescent="0.3">
      <c r="A121" s="1"/>
      <c r="B121" s="1"/>
      <c r="C121" s="1"/>
      <c r="D121" s="1"/>
      <c r="E121" s="1"/>
      <c r="F121" s="1"/>
      <c r="G121" s="1"/>
      <c r="H121" s="1"/>
      <c r="I121" s="19">
        <v>36290</v>
      </c>
      <c r="J121" s="1"/>
      <c r="K121" s="1"/>
      <c r="L121" s="1"/>
      <c r="M121" s="1"/>
      <c r="N121" s="1"/>
      <c r="O121" s="1"/>
      <c r="P121" s="1"/>
      <c r="Q121" s="1"/>
      <c r="R121" s="1"/>
      <c r="S121" s="1"/>
      <c r="T121" s="1"/>
      <c r="U121" s="1"/>
      <c r="V121" s="1"/>
      <c r="W121" s="1"/>
      <c r="X121" s="1"/>
      <c r="Y121" s="1"/>
      <c r="Z121" s="1"/>
    </row>
    <row r="122" spans="1:26" ht="15.75" customHeight="1" x14ac:dyDescent="0.3">
      <c r="A122" s="1"/>
      <c r="B122" s="1"/>
      <c r="C122" s="1"/>
      <c r="D122" s="1"/>
      <c r="E122" s="1"/>
      <c r="F122" s="1"/>
      <c r="G122" s="1"/>
      <c r="H122" s="1"/>
      <c r="I122" s="20">
        <v>122590</v>
      </c>
      <c r="J122" s="1"/>
      <c r="K122" s="1"/>
      <c r="L122" s="1"/>
      <c r="M122" s="1"/>
      <c r="N122" s="1"/>
      <c r="O122" s="1"/>
      <c r="P122" s="1"/>
      <c r="Q122" s="1"/>
      <c r="R122" s="1"/>
      <c r="S122" s="1"/>
      <c r="T122" s="1"/>
      <c r="U122" s="1"/>
      <c r="V122" s="1"/>
      <c r="W122" s="1"/>
      <c r="X122" s="1"/>
      <c r="Y122" s="1"/>
      <c r="Z122" s="1"/>
    </row>
    <row r="123" spans="1:26" ht="15.75" customHeight="1" x14ac:dyDescent="0.3">
      <c r="A123" s="1"/>
      <c r="B123" s="1" t="s">
        <v>35</v>
      </c>
      <c r="C123" s="1"/>
      <c r="D123" s="1"/>
      <c r="E123" s="1"/>
      <c r="F123" s="1"/>
      <c r="G123" s="1"/>
      <c r="H123" s="1"/>
      <c r="I123" s="19">
        <v>1080905</v>
      </c>
      <c r="J123" s="1"/>
      <c r="K123" s="1"/>
      <c r="L123" s="1"/>
      <c r="M123" s="1"/>
      <c r="N123" s="1"/>
      <c r="O123" s="1"/>
      <c r="P123" s="1"/>
      <c r="Q123" s="1"/>
      <c r="R123" s="1"/>
      <c r="S123" s="1"/>
      <c r="T123" s="1"/>
      <c r="U123" s="1"/>
      <c r="V123" s="1"/>
      <c r="W123" s="1"/>
      <c r="X123" s="1"/>
      <c r="Y123" s="1"/>
      <c r="Z123" s="1"/>
    </row>
    <row r="124" spans="1:26" ht="15.75" customHeight="1" x14ac:dyDescent="0.3">
      <c r="A124" s="1"/>
      <c r="B124" s="1"/>
      <c r="C124" s="1"/>
      <c r="D124" s="1"/>
      <c r="E124" s="1"/>
      <c r="F124" s="1"/>
      <c r="G124" s="1"/>
      <c r="H124" s="1"/>
      <c r="I124" s="19">
        <v>344905</v>
      </c>
      <c r="J124" s="1"/>
      <c r="K124" s="1"/>
      <c r="L124" s="1"/>
      <c r="M124" s="1"/>
      <c r="N124" s="1"/>
      <c r="O124" s="1"/>
      <c r="P124" s="1"/>
      <c r="Q124" s="1"/>
      <c r="R124" s="1"/>
      <c r="S124" s="1"/>
      <c r="T124" s="1"/>
      <c r="U124" s="1"/>
      <c r="V124" s="1"/>
      <c r="W124" s="1"/>
      <c r="X124" s="1"/>
      <c r="Y124" s="1"/>
      <c r="Z124" s="1"/>
    </row>
    <row r="125" spans="1:26" ht="15.75" customHeight="1" x14ac:dyDescent="0.3">
      <c r="A125" s="1"/>
      <c r="B125" s="1"/>
      <c r="C125" s="1"/>
      <c r="D125" s="1"/>
      <c r="E125" s="1"/>
      <c r="F125" s="1"/>
      <c r="G125" s="1"/>
      <c r="H125" s="1"/>
      <c r="I125" s="19">
        <v>334905</v>
      </c>
      <c r="J125" s="1"/>
      <c r="K125" s="1"/>
      <c r="L125" s="1"/>
      <c r="M125" s="1"/>
      <c r="N125" s="1"/>
      <c r="O125" s="1"/>
      <c r="P125" s="1"/>
      <c r="Q125" s="1"/>
      <c r="R125" s="1"/>
      <c r="S125" s="1"/>
      <c r="T125" s="1"/>
      <c r="U125" s="1"/>
      <c r="V125" s="1"/>
      <c r="W125" s="1"/>
      <c r="X125" s="1"/>
      <c r="Y125" s="1"/>
      <c r="Z125" s="1"/>
    </row>
    <row r="126" spans="1:26" ht="15.75" customHeight="1" x14ac:dyDescent="0.3">
      <c r="A126" s="1"/>
      <c r="B126" s="1"/>
      <c r="C126" s="1"/>
      <c r="D126" s="1"/>
      <c r="E126" s="1"/>
      <c r="F126" s="1"/>
      <c r="G126" s="1"/>
      <c r="H126" s="1"/>
      <c r="I126" s="19">
        <v>51510</v>
      </c>
      <c r="J126" s="1"/>
      <c r="K126" s="1"/>
      <c r="L126" s="1"/>
      <c r="M126" s="1"/>
      <c r="N126" s="1"/>
      <c r="O126" s="1"/>
      <c r="P126" s="1"/>
      <c r="Q126" s="1"/>
      <c r="R126" s="1"/>
      <c r="S126" s="1"/>
      <c r="T126" s="1"/>
      <c r="U126" s="1"/>
      <c r="V126" s="1"/>
      <c r="W126" s="1"/>
      <c r="X126" s="1"/>
      <c r="Y126" s="1"/>
      <c r="Z126" s="1"/>
    </row>
    <row r="127" spans="1:26" ht="15.75" customHeight="1" x14ac:dyDescent="0.3">
      <c r="A127" s="1"/>
      <c r="B127" s="1"/>
      <c r="C127" s="1"/>
      <c r="D127" s="1"/>
      <c r="E127" s="1"/>
      <c r="F127" s="1"/>
      <c r="G127" s="1"/>
      <c r="H127" s="1"/>
      <c r="I127" s="20">
        <v>70649</v>
      </c>
      <c r="J127" s="1"/>
      <c r="K127" s="1"/>
      <c r="L127" s="1"/>
      <c r="M127" s="1"/>
      <c r="N127" s="1"/>
      <c r="O127" s="1"/>
      <c r="P127" s="1"/>
      <c r="Q127" s="1"/>
      <c r="R127" s="1"/>
      <c r="S127" s="1"/>
      <c r="T127" s="1"/>
      <c r="U127" s="1"/>
      <c r="V127" s="1"/>
      <c r="W127" s="1"/>
      <c r="X127" s="1"/>
      <c r="Y127" s="1"/>
      <c r="Z127" s="1"/>
    </row>
    <row r="128" spans="1:26" ht="15.75" customHeight="1" x14ac:dyDescent="0.3">
      <c r="A128" s="1"/>
      <c r="B128" s="1"/>
      <c r="C128" s="1"/>
      <c r="D128" s="1"/>
      <c r="E128" s="1"/>
      <c r="F128" s="1"/>
      <c r="G128" s="1"/>
      <c r="H128" s="1"/>
      <c r="I128" s="20">
        <v>44449</v>
      </c>
      <c r="J128" s="1"/>
      <c r="K128" s="1"/>
      <c r="L128" s="1"/>
      <c r="M128" s="1"/>
      <c r="N128" s="1"/>
      <c r="O128" s="1"/>
      <c r="P128" s="1"/>
      <c r="Q128" s="1"/>
      <c r="R128" s="1"/>
      <c r="S128" s="1"/>
      <c r="T128" s="1"/>
      <c r="U128" s="1"/>
      <c r="V128" s="1"/>
      <c r="W128" s="1"/>
      <c r="X128" s="1"/>
      <c r="Y128" s="1"/>
      <c r="Z128" s="1"/>
    </row>
    <row r="129" spans="1:26" ht="15.75" customHeight="1" x14ac:dyDescent="0.3">
      <c r="A129" s="1"/>
      <c r="B129" s="1"/>
      <c r="C129" s="1"/>
      <c r="D129" s="1"/>
      <c r="E129" s="1"/>
      <c r="F129" s="1"/>
      <c r="G129" s="1"/>
      <c r="H129" s="1"/>
      <c r="I129" s="19">
        <v>58375</v>
      </c>
      <c r="J129" s="1"/>
      <c r="K129" s="1"/>
      <c r="L129" s="1"/>
      <c r="M129" s="1"/>
      <c r="N129" s="1"/>
      <c r="O129" s="1"/>
      <c r="P129" s="1"/>
      <c r="Q129" s="1"/>
      <c r="R129" s="1"/>
      <c r="S129" s="1"/>
      <c r="T129" s="1"/>
      <c r="U129" s="1"/>
      <c r="V129" s="1"/>
      <c r="W129" s="1"/>
      <c r="X129" s="1"/>
      <c r="Y129" s="1"/>
      <c r="Z129" s="1"/>
    </row>
    <row r="130" spans="1:26" ht="15.75" customHeight="1" x14ac:dyDescent="0.3">
      <c r="A130" s="1"/>
      <c r="B130" s="1"/>
      <c r="C130" s="1"/>
      <c r="D130" s="1"/>
      <c r="E130" s="1"/>
      <c r="F130" s="1"/>
      <c r="G130" s="1"/>
      <c r="H130" s="1"/>
      <c r="I130" s="19">
        <v>160649</v>
      </c>
      <c r="J130" s="1"/>
      <c r="K130" s="1"/>
      <c r="L130" s="1"/>
      <c r="M130" s="1"/>
      <c r="N130" s="1"/>
      <c r="O130" s="1"/>
      <c r="P130" s="1"/>
      <c r="Q130" s="1"/>
      <c r="R130" s="1"/>
      <c r="S130" s="1"/>
      <c r="T130" s="1"/>
      <c r="U130" s="1"/>
      <c r="V130" s="1"/>
      <c r="W130" s="1"/>
      <c r="X130" s="1"/>
      <c r="Y130" s="1"/>
      <c r="Z130" s="1"/>
    </row>
    <row r="131" spans="1:26" ht="15.75" customHeight="1" x14ac:dyDescent="0.3">
      <c r="A131" s="1"/>
      <c r="B131" s="1"/>
      <c r="C131" s="1"/>
      <c r="D131" s="1"/>
      <c r="E131" s="1"/>
      <c r="F131" s="1"/>
      <c r="G131" s="1"/>
      <c r="H131" s="1"/>
      <c r="I131" s="19">
        <v>65649</v>
      </c>
      <c r="J131" s="1"/>
      <c r="K131" s="1"/>
      <c r="L131" s="1"/>
      <c r="M131" s="1"/>
      <c r="N131" s="1"/>
      <c r="O131" s="1"/>
      <c r="P131" s="1"/>
      <c r="Q131" s="1"/>
      <c r="R131" s="1"/>
      <c r="S131" s="1"/>
      <c r="T131" s="1"/>
      <c r="U131" s="1"/>
      <c r="V131" s="1"/>
      <c r="W131" s="1"/>
      <c r="X131" s="1"/>
      <c r="Y131" s="1"/>
      <c r="Z131" s="1"/>
    </row>
    <row r="132" spans="1:26" ht="15.75" customHeight="1" x14ac:dyDescent="0.3">
      <c r="A132" s="1"/>
      <c r="B132" s="1"/>
      <c r="C132" s="1"/>
      <c r="D132" s="1"/>
      <c r="E132" s="1"/>
      <c r="F132" s="1"/>
      <c r="G132" s="1"/>
      <c r="H132" s="1"/>
      <c r="I132" s="19">
        <v>137908</v>
      </c>
      <c r="J132" s="1"/>
      <c r="K132" s="1"/>
      <c r="L132" s="1"/>
      <c r="M132" s="1"/>
      <c r="N132" s="1"/>
      <c r="O132" s="1"/>
      <c r="P132" s="1"/>
      <c r="Q132" s="1"/>
      <c r="R132" s="1"/>
      <c r="S132" s="1"/>
      <c r="T132" s="1"/>
      <c r="U132" s="1"/>
      <c r="V132" s="1"/>
      <c r="W132" s="1"/>
      <c r="X132" s="1"/>
      <c r="Y132" s="1"/>
      <c r="Z132" s="1"/>
    </row>
    <row r="133" spans="1:26" ht="15.75" customHeight="1" x14ac:dyDescent="0.3">
      <c r="A133" s="1"/>
      <c r="B133" s="1" t="s">
        <v>36</v>
      </c>
      <c r="C133" s="1" t="s">
        <v>33</v>
      </c>
      <c r="D133" s="1"/>
      <c r="E133" s="1"/>
      <c r="F133" s="1"/>
      <c r="G133" s="1"/>
      <c r="H133" s="1"/>
      <c r="I133" s="20">
        <v>422546</v>
      </c>
      <c r="J133" s="1"/>
      <c r="K133" s="1"/>
      <c r="L133" s="1"/>
      <c r="M133" s="1"/>
      <c r="N133" s="1"/>
      <c r="O133" s="1"/>
      <c r="P133" s="1"/>
      <c r="Q133" s="1"/>
      <c r="R133" s="1"/>
      <c r="S133" s="1"/>
      <c r="T133" s="1"/>
      <c r="U133" s="1"/>
      <c r="V133" s="1"/>
      <c r="W133" s="1"/>
      <c r="X133" s="1"/>
      <c r="Y133" s="1"/>
      <c r="Z133" s="1"/>
    </row>
    <row r="134" spans="1:26"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
      <c r="A155" s="1"/>
      <c r="B155" s="1"/>
      <c r="C155" s="1"/>
      <c r="D155" s="1">
        <v>19</v>
      </c>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
      <c r="A156" s="1"/>
      <c r="B156" s="1"/>
      <c r="C156" s="1"/>
      <c r="D156" s="1">
        <f>+ROUND(D155*1.1,0)</f>
        <v>21</v>
      </c>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
      <c r="A157" s="1"/>
      <c r="B157" s="1"/>
      <c r="C157" s="1"/>
      <c r="D157" s="1">
        <v>30</v>
      </c>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
      <c r="A158" s="1"/>
      <c r="B158" s="1" t="s">
        <v>5</v>
      </c>
      <c r="C158" s="1"/>
      <c r="D158" s="1">
        <v>4</v>
      </c>
      <c r="E158" s="1">
        <f>+ROUND(I158*$I$6/2,0)</f>
        <v>0</v>
      </c>
      <c r="F158" s="1"/>
      <c r="G158" s="1"/>
      <c r="H158" s="1"/>
      <c r="I158" s="1">
        <v>2000000</v>
      </c>
      <c r="J158" s="1"/>
      <c r="K158" s="1"/>
      <c r="L158" s="1"/>
      <c r="M158" s="1"/>
      <c r="N158" s="1"/>
      <c r="O158" s="1"/>
      <c r="P158" s="1"/>
      <c r="Q158" s="1"/>
      <c r="R158" s="1"/>
      <c r="S158" s="1"/>
      <c r="T158" s="1"/>
      <c r="U158" s="1"/>
      <c r="V158" s="1"/>
      <c r="W158" s="1"/>
      <c r="X158" s="1"/>
      <c r="Y158" s="1"/>
      <c r="Z158" s="1"/>
    </row>
    <row r="159" spans="1:26" ht="15.75" customHeight="1" x14ac:dyDescent="0.3">
      <c r="A159" s="1"/>
      <c r="B159" s="1"/>
      <c r="C159" s="1"/>
      <c r="D159" s="1">
        <v>4</v>
      </c>
      <c r="E159" s="1"/>
      <c r="F159" s="1"/>
      <c r="G159" s="1"/>
      <c r="H159" s="1"/>
      <c r="I159" s="19">
        <v>697535</v>
      </c>
      <c r="J159" s="1"/>
      <c r="K159" s="1"/>
      <c r="L159" s="1"/>
      <c r="M159" s="1"/>
      <c r="N159" s="1"/>
      <c r="O159" s="1"/>
      <c r="P159" s="1"/>
      <c r="Q159" s="1"/>
      <c r="R159" s="1"/>
      <c r="S159" s="1"/>
      <c r="T159" s="1"/>
      <c r="U159" s="1"/>
      <c r="V159" s="1"/>
      <c r="W159" s="1"/>
      <c r="X159" s="1"/>
      <c r="Y159" s="1"/>
      <c r="Z159" s="1"/>
    </row>
    <row r="160" spans="1:26" ht="15.75" hidden="1"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hidden="1"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hidden="1"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hidden="1"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hidden="1"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hidden="1"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hidden="1"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hidden="1"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hidden="1"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hidden="1"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hidden="1"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hidden="1"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hidden="1"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hidden="1"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hidden="1"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hidden="1"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
      <c r="A176" s="1"/>
      <c r="B176" s="1" t="s">
        <v>37</v>
      </c>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
      <c r="A177" s="1"/>
      <c r="B177" s="1"/>
      <c r="C177" s="1"/>
      <c r="D177" s="1">
        <v>2</v>
      </c>
      <c r="E177" s="1"/>
      <c r="F177" s="1"/>
      <c r="G177" s="1"/>
      <c r="H177" s="1"/>
      <c r="I177" s="19">
        <v>697535</v>
      </c>
      <c r="J177" s="1"/>
      <c r="K177" s="1"/>
      <c r="L177" s="1"/>
      <c r="M177" s="1"/>
      <c r="N177" s="1"/>
      <c r="O177" s="1"/>
      <c r="P177" s="1"/>
      <c r="Q177" s="1"/>
      <c r="R177" s="1"/>
      <c r="S177" s="1"/>
      <c r="T177" s="1"/>
      <c r="U177" s="1"/>
      <c r="V177" s="1"/>
      <c r="W177" s="1"/>
      <c r="X177" s="1"/>
      <c r="Y177" s="1"/>
      <c r="Z177" s="1"/>
    </row>
    <row r="178" spans="1:26" ht="15.75" customHeight="1" x14ac:dyDescent="0.3">
      <c r="A178" s="1"/>
      <c r="B178" s="1" t="s">
        <v>38</v>
      </c>
      <c r="C178" s="1" t="s">
        <v>33</v>
      </c>
      <c r="D178" s="1">
        <v>1</v>
      </c>
      <c r="E178" s="1">
        <v>750000</v>
      </c>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
      <c r="A179" s="1"/>
      <c r="B179" s="1" t="s">
        <v>39</v>
      </c>
      <c r="C179" s="1" t="s">
        <v>33</v>
      </c>
      <c r="D179" s="1">
        <v>1</v>
      </c>
      <c r="E179" s="1">
        <v>350000</v>
      </c>
      <c r="F179" s="1"/>
      <c r="G179" s="1"/>
      <c r="H179" s="1"/>
      <c r="I179" s="1"/>
      <c r="J179" s="1"/>
      <c r="K179" s="1"/>
      <c r="L179" s="1"/>
      <c r="M179" s="1"/>
      <c r="N179" s="1"/>
      <c r="O179" s="1"/>
      <c r="P179" s="1"/>
      <c r="Q179" s="1"/>
      <c r="R179" s="1"/>
      <c r="S179" s="1"/>
      <c r="T179" s="1"/>
      <c r="U179" s="1"/>
      <c r="V179" s="1"/>
      <c r="W179" s="1"/>
      <c r="X179" s="1"/>
      <c r="Y179" s="1"/>
      <c r="Z179" s="1"/>
    </row>
    <row r="180" spans="1:26" ht="15.75" hidden="1"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hidden="1"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hidden="1"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hidden="1"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hidden="1"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hidden="1"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hidden="1"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hidden="1"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hidden="1"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hidden="1"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hidden="1"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hidden="1"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hidden="1"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hidden="1"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hidden="1"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hidden="1"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hidden="1"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hidden="1"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hidden="1"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hidden="1"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hidden="1"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hidden="1"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hidden="1"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hidden="1"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hidden="1"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hidden="1"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hidden="1"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hidden="1"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hidden="1"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hidden="1"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hidden="1"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hidden="1"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hidden="1"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hidden="1"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hidden="1"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hidden="1"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hidden="1"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hidden="1"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hidden="1"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hidden="1"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hidden="1"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hidden="1"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hidden="1"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hidden="1"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hidden="1"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hidden="1"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hidden="1"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hidden="1"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hidden="1"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hidden="1"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hidden="1"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hidden="1"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hidden="1"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hidden="1"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hidden="1"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hidden="1"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hidden="1"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hidden="1"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hidden="1"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hidden="1"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hidden="1"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hidden="1"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hidden="1"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hidden="1"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hidden="1"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hidden="1"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hidden="1"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hidden="1"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hidden="1"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hidden="1"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hidden="1"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hidden="1"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hidden="1"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hidden="1"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hidden="1"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hidden="1"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hidden="1"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hidden="1"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hidden="1"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hidden="1"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hidden="1"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hidden="1"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hidden="1"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hidden="1"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hidden="1"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hidden="1"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hidden="1"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hidden="1"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hidden="1"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hidden="1"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hidden="1"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hidden="1"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hidden="1"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hidden="1"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hidden="1"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hidden="1"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hidden="1"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hidden="1"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hidden="1"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hidden="1"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hidden="1"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hidden="1"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hidden="1"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hidden="1"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hidden="1"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hidden="1"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hidden="1"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hidden="1"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hidden="1"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hidden="1"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hidden="1"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hidden="1"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hidden="1"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hidden="1"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hidden="1"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hidden="1"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hidden="1"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hidden="1"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hidden="1"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hidden="1"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hidden="1"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hidden="1"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hidden="1"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hidden="1"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hidden="1"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hidden="1"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hidden="1"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hidden="1"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hidden="1"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hidden="1"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hidden="1"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hidden="1"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hidden="1"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hidden="1"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hidden="1"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hidden="1"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hidden="1"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hidden="1"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hidden="1"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hidden="1"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hidden="1"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hidden="1"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hidden="1"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hidden="1"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hidden="1"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hidden="1"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hidden="1"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hidden="1"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hidden="1"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hidden="1"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hidden="1"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hidden="1"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hidden="1"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hidden="1"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hidden="1"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hidden="1"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hidden="1"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hidden="1"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hidden="1"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hidden="1"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hidden="1"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hidden="1"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hidden="1"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hidden="1"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hidden="1"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hidden="1"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hidden="1"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hidden="1"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hidden="1"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hidden="1"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hidden="1"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hidden="1"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hidden="1"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hidden="1"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hidden="1"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hidden="1"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hidden="1"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hidden="1"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hidden="1"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1000"/>
  <sheetViews>
    <sheetView workbookViewId="0"/>
  </sheetViews>
  <sheetFormatPr baseColWidth="10" defaultColWidth="14.44140625" defaultRowHeight="15" customHeight="1" x14ac:dyDescent="0.3"/>
  <cols>
    <col min="1" max="14" width="10.6640625" customWidth="1"/>
    <col min="15" max="15" width="7" customWidth="1"/>
    <col min="16" max="16" width="78.44140625" customWidth="1"/>
    <col min="17" max="17" width="8.33203125" customWidth="1"/>
    <col min="18" max="18" width="10.33203125" customWidth="1"/>
    <col min="19" max="20" width="19.44140625" customWidth="1"/>
    <col min="21" max="26" width="10.6640625" customWidth="1"/>
  </cols>
  <sheetData>
    <row r="1" spans="15:20" ht="14.4" x14ac:dyDescent="0.3">
      <c r="O1" s="21"/>
      <c r="P1" s="22"/>
      <c r="Q1" s="21"/>
      <c r="R1" s="21"/>
      <c r="S1" s="23"/>
      <c r="T1" s="22"/>
    </row>
    <row r="2" spans="15:20" ht="14.4" x14ac:dyDescent="0.3">
      <c r="O2" s="368" t="s">
        <v>40</v>
      </c>
      <c r="P2" s="369"/>
      <c r="Q2" s="369"/>
      <c r="R2" s="370"/>
      <c r="S2" s="24"/>
      <c r="T2" s="24"/>
    </row>
    <row r="3" spans="15:20" ht="14.4" x14ac:dyDescent="0.3">
      <c r="O3" s="368" t="s">
        <v>41</v>
      </c>
      <c r="P3" s="369"/>
      <c r="Q3" s="369"/>
      <c r="R3" s="370"/>
      <c r="S3" s="25"/>
      <c r="T3" s="25"/>
    </row>
    <row r="4" spans="15:20" ht="14.4" x14ac:dyDescent="0.3">
      <c r="O4" s="368" t="s">
        <v>42</v>
      </c>
      <c r="P4" s="369"/>
      <c r="Q4" s="369"/>
      <c r="R4" s="370"/>
      <c r="S4" s="25"/>
      <c r="T4" s="25"/>
    </row>
    <row r="5" spans="15:20" ht="14.4" x14ac:dyDescent="0.3">
      <c r="O5" s="21"/>
      <c r="P5" s="22"/>
      <c r="Q5" s="21"/>
      <c r="R5" s="21"/>
      <c r="S5" s="23"/>
      <c r="T5" s="22"/>
    </row>
    <row r="6" spans="15:20" ht="14.4" x14ac:dyDescent="0.3">
      <c r="O6" s="26" t="s">
        <v>43</v>
      </c>
      <c r="P6" s="26" t="s">
        <v>44</v>
      </c>
      <c r="Q6" s="26" t="s">
        <v>45</v>
      </c>
      <c r="R6" s="26" t="s">
        <v>46</v>
      </c>
      <c r="S6" s="26" t="s">
        <v>47</v>
      </c>
      <c r="T6" s="26" t="s">
        <v>48</v>
      </c>
    </row>
    <row r="7" spans="15:20" ht="14.4" x14ac:dyDescent="0.3">
      <c r="O7" s="27">
        <v>1</v>
      </c>
      <c r="P7" s="371" t="s">
        <v>49</v>
      </c>
      <c r="Q7" s="372"/>
      <c r="R7" s="372"/>
      <c r="S7" s="372"/>
      <c r="T7" s="373"/>
    </row>
    <row r="8" spans="15:20" ht="14.4" x14ac:dyDescent="0.3">
      <c r="O8" s="28">
        <f t="shared" ref="O8:O21" si="0">O7+0.01</f>
        <v>1.01</v>
      </c>
      <c r="P8" s="29" t="s">
        <v>50</v>
      </c>
      <c r="Q8" s="30" t="s">
        <v>51</v>
      </c>
      <c r="R8" s="30">
        <v>1</v>
      </c>
      <c r="S8" s="31">
        <v>6924</v>
      </c>
      <c r="T8" s="32">
        <v>6924</v>
      </c>
    </row>
    <row r="9" spans="15:20" ht="14.4" x14ac:dyDescent="0.3">
      <c r="O9" s="28">
        <f t="shared" si="0"/>
        <v>1.02</v>
      </c>
      <c r="P9" s="29" t="s">
        <v>52</v>
      </c>
      <c r="Q9" s="30" t="s">
        <v>51</v>
      </c>
      <c r="R9" s="30">
        <v>1</v>
      </c>
      <c r="S9" s="31">
        <v>8061</v>
      </c>
      <c r="T9" s="32">
        <v>8061</v>
      </c>
    </row>
    <row r="10" spans="15:20" ht="14.4" x14ac:dyDescent="0.3">
      <c r="O10" s="28">
        <f t="shared" si="0"/>
        <v>1.03</v>
      </c>
      <c r="P10" s="29" t="s">
        <v>53</v>
      </c>
      <c r="Q10" s="30" t="s">
        <v>51</v>
      </c>
      <c r="R10" s="30">
        <v>1</v>
      </c>
      <c r="S10" s="31">
        <v>11987</v>
      </c>
      <c r="T10" s="32">
        <v>11987</v>
      </c>
    </row>
    <row r="11" spans="15:20" ht="14.4" x14ac:dyDescent="0.3">
      <c r="O11" s="28">
        <f t="shared" si="0"/>
        <v>1.04</v>
      </c>
      <c r="P11" s="29" t="s">
        <v>54</v>
      </c>
      <c r="Q11" s="30" t="s">
        <v>51</v>
      </c>
      <c r="R11" s="30">
        <v>1</v>
      </c>
      <c r="S11" s="31">
        <v>15911</v>
      </c>
      <c r="T11" s="32">
        <v>15911</v>
      </c>
    </row>
    <row r="12" spans="15:20" ht="14.4" x14ac:dyDescent="0.3">
      <c r="O12" s="28">
        <f t="shared" si="0"/>
        <v>1.05</v>
      </c>
      <c r="P12" s="29" t="s">
        <v>55</v>
      </c>
      <c r="Q12" s="30" t="s">
        <v>51</v>
      </c>
      <c r="R12" s="30">
        <v>1</v>
      </c>
      <c r="S12" s="31">
        <v>18129</v>
      </c>
      <c r="T12" s="32">
        <v>18129</v>
      </c>
    </row>
    <row r="13" spans="15:20" ht="14.4" x14ac:dyDescent="0.3">
      <c r="O13" s="28">
        <f t="shared" si="0"/>
        <v>1.06</v>
      </c>
      <c r="P13" s="29" t="s">
        <v>56</v>
      </c>
      <c r="Q13" s="30" t="s">
        <v>51</v>
      </c>
      <c r="R13" s="30">
        <v>1</v>
      </c>
      <c r="S13" s="31">
        <v>24913</v>
      </c>
      <c r="T13" s="32">
        <v>24913</v>
      </c>
    </row>
    <row r="14" spans="15:20" ht="14.4" x14ac:dyDescent="0.3">
      <c r="O14" s="28">
        <f t="shared" si="0"/>
        <v>1.07</v>
      </c>
      <c r="P14" s="29" t="s">
        <v>57</v>
      </c>
      <c r="Q14" s="30" t="s">
        <v>51</v>
      </c>
      <c r="R14" s="30">
        <v>1</v>
      </c>
      <c r="S14" s="31">
        <v>31143</v>
      </c>
      <c r="T14" s="32">
        <v>31143</v>
      </c>
    </row>
    <row r="15" spans="15:20" ht="14.4" x14ac:dyDescent="0.3">
      <c r="O15" s="28">
        <f t="shared" si="0"/>
        <v>1.08</v>
      </c>
      <c r="P15" s="29" t="s">
        <v>58</v>
      </c>
      <c r="Q15" s="30" t="s">
        <v>51</v>
      </c>
      <c r="R15" s="30">
        <v>1</v>
      </c>
      <c r="S15" s="31">
        <v>45518</v>
      </c>
      <c r="T15" s="32">
        <v>45518</v>
      </c>
    </row>
    <row r="16" spans="15:20" ht="14.4" x14ac:dyDescent="0.3">
      <c r="O16" s="28">
        <f t="shared" si="0"/>
        <v>1.0900000000000001</v>
      </c>
      <c r="P16" s="29" t="s">
        <v>59</v>
      </c>
      <c r="Q16" s="30" t="s">
        <v>60</v>
      </c>
      <c r="R16" s="30">
        <v>1</v>
      </c>
      <c r="S16" s="31">
        <v>73700</v>
      </c>
      <c r="T16" s="32">
        <v>73700</v>
      </c>
    </row>
    <row r="17" spans="15:20" ht="14.4" x14ac:dyDescent="0.3">
      <c r="O17" s="28">
        <f t="shared" si="0"/>
        <v>1.1000000000000001</v>
      </c>
      <c r="P17" s="29" t="s">
        <v>61</v>
      </c>
      <c r="Q17" s="30" t="s">
        <v>60</v>
      </c>
      <c r="R17" s="30">
        <v>1</v>
      </c>
      <c r="S17" s="31">
        <v>48130</v>
      </c>
      <c r="T17" s="32">
        <v>48130</v>
      </c>
    </row>
    <row r="18" spans="15:20" ht="14.4" x14ac:dyDescent="0.3">
      <c r="O18" s="28">
        <f t="shared" si="0"/>
        <v>1.1100000000000001</v>
      </c>
      <c r="P18" s="29" t="s">
        <v>62</v>
      </c>
      <c r="Q18" s="30" t="s">
        <v>60</v>
      </c>
      <c r="R18" s="30">
        <v>1</v>
      </c>
      <c r="S18" s="31">
        <v>67608</v>
      </c>
      <c r="T18" s="32">
        <v>67608</v>
      </c>
    </row>
    <row r="19" spans="15:20" ht="14.4" x14ac:dyDescent="0.3">
      <c r="O19" s="28">
        <f t="shared" si="0"/>
        <v>1.1200000000000001</v>
      </c>
      <c r="P19" s="29" t="s">
        <v>63</v>
      </c>
      <c r="Q19" s="30" t="s">
        <v>51</v>
      </c>
      <c r="R19" s="30">
        <v>1</v>
      </c>
      <c r="S19" s="31">
        <v>24619</v>
      </c>
      <c r="T19" s="32">
        <v>24619</v>
      </c>
    </row>
    <row r="20" spans="15:20" ht="14.4" x14ac:dyDescent="0.3">
      <c r="O20" s="28">
        <f t="shared" si="0"/>
        <v>1.1300000000000001</v>
      </c>
      <c r="P20" s="29" t="s">
        <v>64</v>
      </c>
      <c r="Q20" s="30" t="s">
        <v>51</v>
      </c>
      <c r="R20" s="30">
        <v>1</v>
      </c>
      <c r="S20" s="31">
        <v>28483</v>
      </c>
      <c r="T20" s="32">
        <v>28483</v>
      </c>
    </row>
    <row r="21" spans="15:20" ht="15.75" customHeight="1" x14ac:dyDescent="0.3">
      <c r="O21" s="28">
        <f t="shared" si="0"/>
        <v>1.1400000000000001</v>
      </c>
      <c r="P21" s="29" t="s">
        <v>65</v>
      </c>
      <c r="Q21" s="30" t="s">
        <v>51</v>
      </c>
      <c r="R21" s="30">
        <v>1</v>
      </c>
      <c r="S21" s="31">
        <v>50053</v>
      </c>
      <c r="T21" s="32">
        <v>50053</v>
      </c>
    </row>
    <row r="22" spans="15:20" ht="15.75" customHeight="1" x14ac:dyDescent="0.3">
      <c r="O22" s="27">
        <v>2</v>
      </c>
      <c r="P22" s="371" t="s">
        <v>66</v>
      </c>
      <c r="Q22" s="372"/>
      <c r="R22" s="372"/>
      <c r="S22" s="372"/>
      <c r="T22" s="373"/>
    </row>
    <row r="23" spans="15:20" ht="15.75" customHeight="1" x14ac:dyDescent="0.3">
      <c r="O23" s="28">
        <f t="shared" ref="O23:O36" si="1">O22+0.01</f>
        <v>2.0099999999999998</v>
      </c>
      <c r="P23" s="29" t="s">
        <v>67</v>
      </c>
      <c r="Q23" s="30" t="s">
        <v>51</v>
      </c>
      <c r="R23" s="33">
        <v>1</v>
      </c>
      <c r="S23" s="31">
        <v>6993</v>
      </c>
      <c r="T23" s="32">
        <v>6993</v>
      </c>
    </row>
    <row r="24" spans="15:20" ht="15.75" customHeight="1" x14ac:dyDescent="0.3">
      <c r="O24" s="28">
        <f t="shared" si="1"/>
        <v>2.0199999999999996</v>
      </c>
      <c r="P24" s="29" t="s">
        <v>68</v>
      </c>
      <c r="Q24" s="30" t="s">
        <v>51</v>
      </c>
      <c r="R24" s="33">
        <v>1</v>
      </c>
      <c r="S24" s="31">
        <v>8163</v>
      </c>
      <c r="T24" s="32">
        <v>8163</v>
      </c>
    </row>
    <row r="25" spans="15:20" ht="15.75" customHeight="1" x14ac:dyDescent="0.3">
      <c r="O25" s="28">
        <f t="shared" si="1"/>
        <v>2.0299999999999994</v>
      </c>
      <c r="P25" s="29" t="s">
        <v>69</v>
      </c>
      <c r="Q25" s="30" t="s">
        <v>51</v>
      </c>
      <c r="R25" s="33">
        <v>1</v>
      </c>
      <c r="S25" s="31">
        <v>12331</v>
      </c>
      <c r="T25" s="32">
        <v>12331</v>
      </c>
    </row>
    <row r="26" spans="15:20" ht="15.75" customHeight="1" x14ac:dyDescent="0.3">
      <c r="O26" s="28">
        <f t="shared" si="1"/>
        <v>2.0399999999999991</v>
      </c>
      <c r="P26" s="29" t="s">
        <v>70</v>
      </c>
      <c r="Q26" s="30" t="s">
        <v>51</v>
      </c>
      <c r="R26" s="33">
        <v>1</v>
      </c>
      <c r="S26" s="31">
        <v>16463</v>
      </c>
      <c r="T26" s="32">
        <v>16463</v>
      </c>
    </row>
    <row r="27" spans="15:20" ht="15.75" customHeight="1" x14ac:dyDescent="0.3">
      <c r="O27" s="28">
        <f t="shared" si="1"/>
        <v>2.0499999999999989</v>
      </c>
      <c r="P27" s="29" t="s">
        <v>71</v>
      </c>
      <c r="Q27" s="30" t="s">
        <v>51</v>
      </c>
      <c r="R27" s="33">
        <v>1</v>
      </c>
      <c r="S27" s="31">
        <v>18888</v>
      </c>
      <c r="T27" s="32">
        <v>18888</v>
      </c>
    </row>
    <row r="28" spans="15:20" ht="15.75" customHeight="1" x14ac:dyDescent="0.3">
      <c r="O28" s="28">
        <f t="shared" si="1"/>
        <v>2.0599999999999987</v>
      </c>
      <c r="P28" s="29" t="s">
        <v>72</v>
      </c>
      <c r="Q28" s="30" t="s">
        <v>51</v>
      </c>
      <c r="R28" s="33">
        <v>1</v>
      </c>
      <c r="S28" s="31">
        <v>26084</v>
      </c>
      <c r="T28" s="32">
        <v>26084</v>
      </c>
    </row>
    <row r="29" spans="15:20" ht="15.75" customHeight="1" x14ac:dyDescent="0.3">
      <c r="O29" s="28">
        <f t="shared" si="1"/>
        <v>2.0699999999999985</v>
      </c>
      <c r="P29" s="29" t="s">
        <v>73</v>
      </c>
      <c r="Q29" s="30" t="s">
        <v>51</v>
      </c>
      <c r="R29" s="33">
        <v>1</v>
      </c>
      <c r="S29" s="31">
        <v>32797</v>
      </c>
      <c r="T29" s="32">
        <v>32797</v>
      </c>
    </row>
    <row r="30" spans="15:20" ht="15.75" customHeight="1" x14ac:dyDescent="0.3">
      <c r="O30" s="28">
        <f t="shared" si="1"/>
        <v>2.0799999999999983</v>
      </c>
      <c r="P30" s="29" t="s">
        <v>74</v>
      </c>
      <c r="Q30" s="30" t="s">
        <v>51</v>
      </c>
      <c r="R30" s="33">
        <v>1</v>
      </c>
      <c r="S30" s="31">
        <v>48137</v>
      </c>
      <c r="T30" s="32">
        <v>48137</v>
      </c>
    </row>
    <row r="31" spans="15:20" ht="15.75" customHeight="1" x14ac:dyDescent="0.3">
      <c r="O31" s="28">
        <f t="shared" si="1"/>
        <v>2.0899999999999981</v>
      </c>
      <c r="P31" s="29" t="s">
        <v>75</v>
      </c>
      <c r="Q31" s="30" t="s">
        <v>60</v>
      </c>
      <c r="R31" s="33">
        <v>1</v>
      </c>
      <c r="S31" s="31">
        <v>77834</v>
      </c>
      <c r="T31" s="32">
        <v>77834</v>
      </c>
    </row>
    <row r="32" spans="15:20" ht="15.75" customHeight="1" x14ac:dyDescent="0.3">
      <c r="O32" s="28">
        <f t="shared" si="1"/>
        <v>2.0999999999999979</v>
      </c>
      <c r="P32" s="29" t="s">
        <v>76</v>
      </c>
      <c r="Q32" s="30" t="s">
        <v>60</v>
      </c>
      <c r="R32" s="33">
        <v>1</v>
      </c>
      <c r="S32" s="31">
        <v>50197</v>
      </c>
      <c r="T32" s="32">
        <v>50197</v>
      </c>
    </row>
    <row r="33" spans="2:20" ht="15.75" customHeight="1" x14ac:dyDescent="0.3">
      <c r="O33" s="28">
        <f t="shared" si="1"/>
        <v>2.1099999999999977</v>
      </c>
      <c r="P33" s="29" t="s">
        <v>77</v>
      </c>
      <c r="Q33" s="30" t="s">
        <v>60</v>
      </c>
      <c r="R33" s="33">
        <v>1</v>
      </c>
      <c r="S33" s="31">
        <v>71742</v>
      </c>
      <c r="T33" s="32">
        <v>71742</v>
      </c>
    </row>
    <row r="34" spans="2:20" ht="15.75" customHeight="1" x14ac:dyDescent="0.3">
      <c r="O34" s="28">
        <f t="shared" si="1"/>
        <v>2.1199999999999974</v>
      </c>
      <c r="P34" s="29" t="s">
        <v>78</v>
      </c>
      <c r="Q34" s="30" t="s">
        <v>51</v>
      </c>
      <c r="R34" s="33">
        <v>1</v>
      </c>
      <c r="S34" s="31">
        <v>25911</v>
      </c>
      <c r="T34" s="32">
        <v>25911</v>
      </c>
    </row>
    <row r="35" spans="2:20" ht="15.75" customHeight="1" x14ac:dyDescent="0.3">
      <c r="O35" s="28">
        <f t="shared" si="1"/>
        <v>2.1299999999999972</v>
      </c>
      <c r="P35" s="29" t="s">
        <v>79</v>
      </c>
      <c r="Q35" s="30" t="s">
        <v>51</v>
      </c>
      <c r="R35" s="33">
        <v>1</v>
      </c>
      <c r="S35" s="31">
        <v>30096</v>
      </c>
      <c r="T35" s="32">
        <v>30096</v>
      </c>
    </row>
    <row r="36" spans="2:20" ht="15.75" customHeight="1" x14ac:dyDescent="0.3">
      <c r="O36" s="28">
        <f t="shared" si="1"/>
        <v>2.139999999999997</v>
      </c>
      <c r="P36" s="29" t="s">
        <v>80</v>
      </c>
      <c r="Q36" s="30" t="s">
        <v>51</v>
      </c>
      <c r="R36" s="33">
        <v>1</v>
      </c>
      <c r="S36" s="31">
        <v>53484</v>
      </c>
      <c r="T36" s="32">
        <v>53484</v>
      </c>
    </row>
    <row r="37" spans="2:20" ht="15.75" customHeight="1" x14ac:dyDescent="0.3">
      <c r="O37" s="21"/>
      <c r="P37" s="22"/>
      <c r="Q37" s="21"/>
      <c r="R37" s="21"/>
      <c r="S37" s="23"/>
      <c r="T37" s="22"/>
    </row>
    <row r="38" spans="2:20" ht="15.75" customHeight="1" x14ac:dyDescent="0.3">
      <c r="O38" s="21"/>
      <c r="P38" s="22" t="s">
        <v>81</v>
      </c>
      <c r="Q38" s="21"/>
      <c r="R38" s="21"/>
      <c r="S38" s="23"/>
      <c r="T38" s="22"/>
    </row>
    <row r="39" spans="2:20" ht="15.75" customHeight="1" x14ac:dyDescent="0.3">
      <c r="B39" s="34" t="s">
        <v>82</v>
      </c>
      <c r="O39" s="21"/>
      <c r="P39" s="22"/>
      <c r="Q39" s="21"/>
      <c r="R39" s="21"/>
      <c r="S39" s="23"/>
      <c r="T39" s="22"/>
    </row>
    <row r="40" spans="2:20" ht="15.75" customHeight="1" x14ac:dyDescent="0.3">
      <c r="O40" s="21"/>
      <c r="P40" s="22"/>
      <c r="Q40" s="21"/>
      <c r="R40" s="21"/>
      <c r="S40" s="23"/>
      <c r="T40" s="22"/>
    </row>
    <row r="41" spans="2:20" ht="15.75" customHeight="1" x14ac:dyDescent="0.3">
      <c r="B41" s="1" t="s">
        <v>83</v>
      </c>
      <c r="D41" s="35">
        <v>44606</v>
      </c>
      <c r="O41" s="21"/>
      <c r="P41" s="22"/>
      <c r="Q41" s="21"/>
      <c r="R41" s="21"/>
      <c r="S41" s="23"/>
      <c r="T41" s="22"/>
    </row>
    <row r="42" spans="2:20" ht="15.75" customHeight="1" x14ac:dyDescent="0.3">
      <c r="O42" s="21"/>
      <c r="P42" s="22"/>
      <c r="Q42" s="21"/>
      <c r="R42" s="21"/>
      <c r="S42" s="23"/>
      <c r="T42" s="22"/>
    </row>
    <row r="43" spans="2:20" ht="15.75" customHeight="1" x14ac:dyDescent="0.3">
      <c r="O43" s="21"/>
      <c r="P43" s="22"/>
      <c r="Q43" s="21"/>
      <c r="R43" s="21"/>
      <c r="S43" s="23"/>
      <c r="T43" s="22"/>
    </row>
    <row r="44" spans="2:20" ht="15.75" customHeight="1" x14ac:dyDescent="0.3">
      <c r="O44" s="21"/>
      <c r="P44" s="22"/>
      <c r="Q44" s="21"/>
      <c r="R44" s="21"/>
      <c r="S44" s="23"/>
      <c r="T44" s="22"/>
    </row>
    <row r="45" spans="2:20" ht="15.75" customHeight="1" x14ac:dyDescent="0.3">
      <c r="O45" s="21"/>
      <c r="P45" s="22"/>
      <c r="Q45" s="21"/>
      <c r="R45" s="21"/>
      <c r="S45" s="23"/>
      <c r="T45" s="22"/>
    </row>
    <row r="46" spans="2:20" ht="15.75" customHeight="1" x14ac:dyDescent="0.3">
      <c r="O46" s="21"/>
      <c r="P46" s="22"/>
      <c r="Q46" s="21"/>
      <c r="R46" s="21"/>
      <c r="S46" s="23"/>
      <c r="T46" s="22"/>
    </row>
    <row r="47" spans="2:20" ht="15.75" customHeight="1" x14ac:dyDescent="0.3">
      <c r="O47" s="21"/>
      <c r="P47" s="22"/>
      <c r="Q47" s="21"/>
      <c r="R47" s="21"/>
      <c r="S47" s="23"/>
      <c r="T47" s="22"/>
    </row>
    <row r="48" spans="2:20" ht="15.75" customHeight="1" x14ac:dyDescent="0.3">
      <c r="O48" s="21"/>
      <c r="P48" s="22"/>
      <c r="Q48" s="21"/>
      <c r="R48" s="21"/>
      <c r="S48" s="23"/>
      <c r="T48" s="22"/>
    </row>
    <row r="49" spans="15:20" ht="15.75" customHeight="1" x14ac:dyDescent="0.3">
      <c r="O49" s="21"/>
      <c r="P49" s="22"/>
      <c r="Q49" s="21"/>
      <c r="R49" s="21"/>
      <c r="S49" s="23"/>
      <c r="T49" s="22"/>
    </row>
    <row r="50" spans="15:20" ht="15.75" customHeight="1" x14ac:dyDescent="0.3">
      <c r="O50" s="21"/>
      <c r="P50" s="22"/>
      <c r="Q50" s="21"/>
      <c r="R50" s="21"/>
      <c r="S50" s="23"/>
      <c r="T50" s="22"/>
    </row>
    <row r="51" spans="15:20" ht="15.75" customHeight="1" x14ac:dyDescent="0.3">
      <c r="O51" s="21"/>
      <c r="P51" s="22"/>
      <c r="Q51" s="21"/>
      <c r="R51" s="21"/>
      <c r="S51" s="23"/>
      <c r="T51" s="22"/>
    </row>
    <row r="52" spans="15:20" ht="15.75" customHeight="1" x14ac:dyDescent="0.3">
      <c r="O52" s="21"/>
      <c r="P52" s="22"/>
      <c r="Q52" s="21"/>
      <c r="R52" s="21"/>
      <c r="S52" s="23"/>
      <c r="T52" s="22"/>
    </row>
    <row r="53" spans="15:20" ht="15.75" customHeight="1" x14ac:dyDescent="0.3">
      <c r="O53" s="21"/>
      <c r="P53" s="22"/>
      <c r="Q53" s="21"/>
      <c r="R53" s="21"/>
      <c r="S53" s="23"/>
      <c r="T53" s="22"/>
    </row>
    <row r="54" spans="15:20" ht="15.75" customHeight="1" x14ac:dyDescent="0.3">
      <c r="O54" s="21"/>
      <c r="P54" s="22"/>
      <c r="Q54" s="21"/>
      <c r="R54" s="21"/>
      <c r="S54" s="23"/>
      <c r="T54" s="22"/>
    </row>
    <row r="55" spans="15:20" ht="15.75" customHeight="1" x14ac:dyDescent="0.3">
      <c r="O55" s="21"/>
      <c r="P55" s="22"/>
      <c r="Q55" s="21"/>
      <c r="R55" s="21"/>
      <c r="S55" s="23"/>
      <c r="T55" s="22"/>
    </row>
    <row r="56" spans="15:20" ht="15.75" customHeight="1" x14ac:dyDescent="0.3">
      <c r="O56" s="21"/>
      <c r="P56" s="22"/>
      <c r="Q56" s="21"/>
      <c r="R56" s="21"/>
      <c r="S56" s="23"/>
      <c r="T56" s="22"/>
    </row>
    <row r="57" spans="15:20" ht="15.75" customHeight="1" x14ac:dyDescent="0.3">
      <c r="O57" s="21"/>
      <c r="P57" s="22"/>
      <c r="Q57" s="21"/>
      <c r="R57" s="21"/>
      <c r="S57" s="23"/>
      <c r="T57" s="22"/>
    </row>
    <row r="58" spans="15:20" ht="15.75" customHeight="1" x14ac:dyDescent="0.3">
      <c r="O58" s="21"/>
      <c r="P58" s="22"/>
      <c r="Q58" s="21"/>
      <c r="R58" s="21"/>
      <c r="S58" s="23"/>
      <c r="T58" s="22"/>
    </row>
    <row r="59" spans="15:20" ht="15.75" customHeight="1" x14ac:dyDescent="0.3">
      <c r="O59" s="21"/>
      <c r="P59" s="22"/>
      <c r="Q59" s="21"/>
      <c r="R59" s="21"/>
      <c r="S59" s="23"/>
      <c r="T59" s="22"/>
    </row>
    <row r="60" spans="15:20" ht="15.75" customHeight="1" x14ac:dyDescent="0.3">
      <c r="O60" s="21"/>
      <c r="P60" s="22"/>
      <c r="Q60" s="21"/>
      <c r="R60" s="21"/>
      <c r="S60" s="23"/>
      <c r="T60" s="22"/>
    </row>
    <row r="61" spans="15:20" ht="15.75" customHeight="1" x14ac:dyDescent="0.3">
      <c r="O61" s="21"/>
      <c r="P61" s="22"/>
      <c r="Q61" s="21"/>
      <c r="R61" s="21"/>
      <c r="S61" s="23"/>
      <c r="T61" s="22"/>
    </row>
    <row r="62" spans="15:20" ht="15.75" customHeight="1" x14ac:dyDescent="0.3">
      <c r="O62" s="21"/>
      <c r="P62" s="22"/>
      <c r="Q62" s="21"/>
      <c r="R62" s="21"/>
      <c r="S62" s="23"/>
      <c r="T62" s="22"/>
    </row>
    <row r="63" spans="15:20" ht="15.75" customHeight="1" x14ac:dyDescent="0.3">
      <c r="O63" s="21"/>
      <c r="P63" s="22"/>
      <c r="Q63" s="21"/>
      <c r="R63" s="21"/>
      <c r="S63" s="23"/>
      <c r="T63" s="22"/>
    </row>
    <row r="64" spans="15:20" ht="15.75" customHeight="1" x14ac:dyDescent="0.3">
      <c r="O64" s="21"/>
      <c r="P64" s="22"/>
      <c r="Q64" s="21"/>
      <c r="R64" s="21"/>
      <c r="S64" s="23"/>
      <c r="T64" s="22"/>
    </row>
    <row r="65" spans="15:20" ht="15.75" customHeight="1" x14ac:dyDescent="0.3">
      <c r="O65" s="21"/>
      <c r="P65" s="22"/>
      <c r="Q65" s="21"/>
      <c r="R65" s="21"/>
      <c r="S65" s="23"/>
      <c r="T65" s="22"/>
    </row>
    <row r="66" spans="15:20" ht="15.75" customHeight="1" x14ac:dyDescent="0.3">
      <c r="O66" s="21"/>
      <c r="P66" s="22"/>
      <c r="Q66" s="21"/>
      <c r="R66" s="21"/>
      <c r="S66" s="23"/>
      <c r="T66" s="22"/>
    </row>
    <row r="67" spans="15:20" ht="15.75" customHeight="1" x14ac:dyDescent="0.3">
      <c r="O67" s="21"/>
      <c r="P67" s="22"/>
      <c r="Q67" s="21"/>
      <c r="R67" s="21"/>
      <c r="S67" s="23"/>
      <c r="T67" s="22"/>
    </row>
    <row r="68" spans="15:20" ht="15.75" customHeight="1" x14ac:dyDescent="0.3">
      <c r="O68" s="21"/>
      <c r="P68" s="22"/>
      <c r="Q68" s="21"/>
      <c r="R68" s="21"/>
      <c r="S68" s="23"/>
      <c r="T68" s="22"/>
    </row>
    <row r="69" spans="15:20" ht="15.75" customHeight="1" x14ac:dyDescent="0.3">
      <c r="O69" s="21"/>
      <c r="P69" s="22"/>
      <c r="Q69" s="21"/>
      <c r="R69" s="21"/>
      <c r="S69" s="23"/>
      <c r="T69" s="22"/>
    </row>
    <row r="70" spans="15:20" ht="15.75" customHeight="1" x14ac:dyDescent="0.3">
      <c r="O70" s="21"/>
      <c r="P70" s="22"/>
      <c r="Q70" s="21"/>
      <c r="R70" s="21"/>
      <c r="S70" s="23"/>
      <c r="T70" s="22"/>
    </row>
    <row r="71" spans="15:20" ht="15.75" customHeight="1" x14ac:dyDescent="0.3">
      <c r="O71" s="21"/>
      <c r="P71" s="22"/>
      <c r="Q71" s="21"/>
      <c r="R71" s="21"/>
      <c r="S71" s="23"/>
      <c r="T71" s="22"/>
    </row>
    <row r="72" spans="15:20" ht="15.75" customHeight="1" x14ac:dyDescent="0.3">
      <c r="O72" s="21"/>
      <c r="P72" s="22"/>
      <c r="Q72" s="21"/>
      <c r="R72" s="21"/>
      <c r="S72" s="23"/>
      <c r="T72" s="22"/>
    </row>
    <row r="73" spans="15:20" ht="15.75" customHeight="1" x14ac:dyDescent="0.3">
      <c r="O73" s="21"/>
      <c r="P73" s="22"/>
      <c r="Q73" s="21"/>
      <c r="R73" s="21"/>
      <c r="S73" s="23"/>
      <c r="T73" s="22"/>
    </row>
    <row r="74" spans="15:20" ht="15.75" customHeight="1" x14ac:dyDescent="0.3">
      <c r="O74" s="21"/>
      <c r="P74" s="22"/>
      <c r="Q74" s="21"/>
      <c r="R74" s="21"/>
      <c r="S74" s="23"/>
      <c r="T74" s="22"/>
    </row>
    <row r="75" spans="15:20" ht="15.75" customHeight="1" x14ac:dyDescent="0.3">
      <c r="O75" s="21"/>
      <c r="P75" s="22"/>
      <c r="Q75" s="21"/>
      <c r="R75" s="21"/>
      <c r="S75" s="23"/>
      <c r="T75" s="22"/>
    </row>
    <row r="76" spans="15:20" ht="15.75" customHeight="1" x14ac:dyDescent="0.3">
      <c r="O76" s="21"/>
      <c r="P76" s="22"/>
      <c r="Q76" s="21"/>
      <c r="R76" s="21"/>
      <c r="S76" s="23"/>
      <c r="T76" s="22"/>
    </row>
    <row r="77" spans="15:20" ht="15.75" customHeight="1" x14ac:dyDescent="0.3">
      <c r="O77" s="21"/>
      <c r="P77" s="22"/>
      <c r="Q77" s="21"/>
      <c r="R77" s="21"/>
      <c r="S77" s="23"/>
      <c r="T77" s="22"/>
    </row>
    <row r="78" spans="15:20" ht="15.75" customHeight="1" x14ac:dyDescent="0.3">
      <c r="O78" s="21"/>
      <c r="P78" s="22"/>
      <c r="Q78" s="21"/>
      <c r="R78" s="21"/>
      <c r="S78" s="23"/>
      <c r="T78" s="22"/>
    </row>
    <row r="79" spans="15:20" ht="15.75" customHeight="1" x14ac:dyDescent="0.3">
      <c r="O79" s="21"/>
      <c r="P79" s="22"/>
      <c r="Q79" s="21"/>
      <c r="R79" s="21"/>
      <c r="S79" s="23"/>
      <c r="T79" s="22"/>
    </row>
    <row r="80" spans="15:20" ht="15.75" customHeight="1" x14ac:dyDescent="0.3">
      <c r="O80" s="21"/>
      <c r="P80" s="22"/>
      <c r="Q80" s="21"/>
      <c r="R80" s="21"/>
      <c r="S80" s="23"/>
      <c r="T80" s="22"/>
    </row>
    <row r="81" spans="15:20" ht="15.75" customHeight="1" x14ac:dyDescent="0.3">
      <c r="O81" s="21"/>
      <c r="P81" s="22"/>
      <c r="Q81" s="21"/>
      <c r="R81" s="21"/>
      <c r="S81" s="23"/>
      <c r="T81" s="22"/>
    </row>
    <row r="82" spans="15:20" ht="15.75" customHeight="1" x14ac:dyDescent="0.3">
      <c r="O82" s="21"/>
      <c r="P82" s="22"/>
      <c r="Q82" s="21"/>
      <c r="R82" s="21"/>
      <c r="S82" s="23"/>
      <c r="T82" s="22"/>
    </row>
    <row r="83" spans="15:20" ht="15.75" customHeight="1" x14ac:dyDescent="0.3">
      <c r="O83" s="21"/>
      <c r="P83" s="22"/>
      <c r="Q83" s="21"/>
      <c r="R83" s="21"/>
      <c r="S83" s="23"/>
      <c r="T83" s="22"/>
    </row>
    <row r="84" spans="15:20" ht="15.75" customHeight="1" x14ac:dyDescent="0.3">
      <c r="O84" s="21"/>
      <c r="P84" s="22"/>
      <c r="Q84" s="21"/>
      <c r="R84" s="21"/>
      <c r="S84" s="23"/>
      <c r="T84" s="22"/>
    </row>
    <row r="85" spans="15:20" ht="15.75" customHeight="1" x14ac:dyDescent="0.3">
      <c r="O85" s="21"/>
      <c r="P85" s="22"/>
      <c r="Q85" s="21"/>
      <c r="R85" s="21"/>
      <c r="S85" s="23"/>
      <c r="T85" s="22"/>
    </row>
    <row r="86" spans="15:20" ht="15.75" customHeight="1" x14ac:dyDescent="0.3">
      <c r="O86" s="21"/>
      <c r="P86" s="22"/>
      <c r="Q86" s="21"/>
      <c r="R86" s="21"/>
      <c r="S86" s="23"/>
      <c r="T86" s="22"/>
    </row>
    <row r="87" spans="15:20" ht="15.75" customHeight="1" x14ac:dyDescent="0.3">
      <c r="O87" s="21"/>
      <c r="P87" s="22"/>
      <c r="Q87" s="21"/>
      <c r="R87" s="21"/>
      <c r="S87" s="23"/>
      <c r="T87" s="22"/>
    </row>
    <row r="88" spans="15:20" ht="15.75" customHeight="1" x14ac:dyDescent="0.3">
      <c r="O88" s="21"/>
      <c r="P88" s="22"/>
      <c r="Q88" s="21"/>
      <c r="R88" s="21"/>
      <c r="S88" s="23"/>
      <c r="T88" s="22"/>
    </row>
    <row r="89" spans="15:20" ht="15.75" customHeight="1" x14ac:dyDescent="0.3">
      <c r="O89" s="21"/>
      <c r="P89" s="22"/>
      <c r="Q89" s="21"/>
      <c r="R89" s="21"/>
      <c r="S89" s="23"/>
      <c r="T89" s="22"/>
    </row>
    <row r="90" spans="15:20" ht="15.75" customHeight="1" x14ac:dyDescent="0.3">
      <c r="O90" s="21"/>
      <c r="P90" s="22"/>
      <c r="Q90" s="21"/>
      <c r="R90" s="21"/>
      <c r="S90" s="23"/>
      <c r="T90" s="22"/>
    </row>
    <row r="91" spans="15:20" ht="15.75" customHeight="1" x14ac:dyDescent="0.3">
      <c r="O91" s="21"/>
      <c r="P91" s="22"/>
      <c r="Q91" s="21"/>
      <c r="R91" s="21"/>
      <c r="S91" s="23"/>
      <c r="T91" s="22"/>
    </row>
    <row r="92" spans="15:20" ht="15.75" customHeight="1" x14ac:dyDescent="0.3">
      <c r="O92" s="21"/>
      <c r="P92" s="22"/>
      <c r="Q92" s="21"/>
      <c r="R92" s="21"/>
      <c r="S92" s="23"/>
      <c r="T92" s="22"/>
    </row>
    <row r="93" spans="15:20" ht="15.75" customHeight="1" x14ac:dyDescent="0.3">
      <c r="O93" s="21"/>
      <c r="P93" s="22"/>
      <c r="Q93" s="21"/>
      <c r="R93" s="21"/>
      <c r="S93" s="23"/>
      <c r="T93" s="22"/>
    </row>
    <row r="94" spans="15:20" ht="15.75" customHeight="1" x14ac:dyDescent="0.3">
      <c r="O94" s="21"/>
      <c r="P94" s="22"/>
      <c r="Q94" s="21"/>
      <c r="R94" s="21"/>
      <c r="S94" s="23"/>
      <c r="T94" s="22"/>
    </row>
    <row r="95" spans="15:20" ht="15.75" customHeight="1" x14ac:dyDescent="0.3">
      <c r="O95" s="21"/>
      <c r="P95" s="22"/>
      <c r="Q95" s="21"/>
      <c r="R95" s="21"/>
      <c r="S95" s="23"/>
      <c r="T95" s="22"/>
    </row>
    <row r="96" spans="15:20" ht="15.75" customHeight="1" x14ac:dyDescent="0.3">
      <c r="O96" s="21"/>
      <c r="P96" s="22"/>
      <c r="Q96" s="21"/>
      <c r="R96" s="21"/>
      <c r="S96" s="23"/>
      <c r="T96" s="22"/>
    </row>
    <row r="97" spans="15:20" ht="15.75" customHeight="1" x14ac:dyDescent="0.3">
      <c r="O97" s="21"/>
      <c r="P97" s="22"/>
      <c r="Q97" s="21"/>
      <c r="R97" s="21"/>
      <c r="S97" s="23"/>
      <c r="T97" s="22"/>
    </row>
    <row r="98" spans="15:20" ht="15.75" customHeight="1" x14ac:dyDescent="0.3">
      <c r="O98" s="21"/>
      <c r="P98" s="22"/>
      <c r="Q98" s="21"/>
      <c r="R98" s="21"/>
      <c r="S98" s="23"/>
      <c r="T98" s="22"/>
    </row>
    <row r="99" spans="15:20" ht="15.75" customHeight="1" x14ac:dyDescent="0.3">
      <c r="O99" s="21"/>
      <c r="P99" s="22"/>
      <c r="Q99" s="21"/>
      <c r="R99" s="21"/>
      <c r="S99" s="23"/>
      <c r="T99" s="22"/>
    </row>
    <row r="100" spans="15:20" ht="15.75" customHeight="1" x14ac:dyDescent="0.3">
      <c r="O100" s="21"/>
      <c r="P100" s="22"/>
      <c r="Q100" s="21"/>
      <c r="R100" s="21"/>
      <c r="S100" s="23"/>
      <c r="T100" s="22"/>
    </row>
    <row r="101" spans="15:20" ht="15.75" customHeight="1" x14ac:dyDescent="0.3">
      <c r="O101" s="21"/>
      <c r="P101" s="22"/>
      <c r="Q101" s="21"/>
      <c r="R101" s="21"/>
      <c r="S101" s="23"/>
      <c r="T101" s="22"/>
    </row>
    <row r="102" spans="15:20" ht="12.75" customHeight="1" x14ac:dyDescent="0.3">
      <c r="O102" s="21"/>
      <c r="P102" s="22"/>
      <c r="Q102" s="21"/>
      <c r="R102" s="21"/>
      <c r="S102" s="23"/>
      <c r="T102" s="22"/>
    </row>
    <row r="103" spans="15:20" ht="15.75" customHeight="1" x14ac:dyDescent="0.3">
      <c r="O103" s="21"/>
      <c r="P103" s="22"/>
      <c r="Q103" s="21"/>
      <c r="R103" s="21"/>
      <c r="S103" s="23"/>
      <c r="T103" s="22"/>
    </row>
    <row r="104" spans="15:20" ht="15.75" customHeight="1" x14ac:dyDescent="0.3">
      <c r="O104" s="21"/>
      <c r="P104" s="22"/>
      <c r="Q104" s="21"/>
      <c r="R104" s="21"/>
      <c r="S104" s="23"/>
      <c r="T104" s="22"/>
    </row>
    <row r="105" spans="15:20" ht="15.75" customHeight="1" x14ac:dyDescent="0.3">
      <c r="O105" s="21"/>
      <c r="P105" s="22"/>
      <c r="Q105" s="21"/>
      <c r="R105" s="21"/>
      <c r="S105" s="23"/>
      <c r="T105" s="22"/>
    </row>
    <row r="106" spans="15:20" ht="15.75" customHeight="1" x14ac:dyDescent="0.3">
      <c r="O106" s="21"/>
      <c r="P106" s="22"/>
      <c r="Q106" s="21"/>
      <c r="R106" s="21"/>
      <c r="S106" s="23"/>
      <c r="T106" s="22"/>
    </row>
    <row r="107" spans="15:20" ht="15.75" customHeight="1" x14ac:dyDescent="0.3">
      <c r="O107" s="21"/>
      <c r="P107" s="22"/>
      <c r="Q107" s="21"/>
      <c r="R107" s="21"/>
      <c r="S107" s="23"/>
      <c r="T107" s="22"/>
    </row>
    <row r="108" spans="15:20" ht="15.75" customHeight="1" x14ac:dyDescent="0.3">
      <c r="O108" s="21"/>
      <c r="P108" s="22"/>
      <c r="Q108" s="21"/>
      <c r="R108" s="21"/>
      <c r="S108" s="23"/>
      <c r="T108" s="22"/>
    </row>
    <row r="109" spans="15:20" ht="15.75" customHeight="1" x14ac:dyDescent="0.3">
      <c r="O109" s="21"/>
      <c r="P109" s="22"/>
      <c r="Q109" s="21"/>
      <c r="R109" s="21"/>
      <c r="S109" s="23"/>
      <c r="T109" s="22"/>
    </row>
    <row r="110" spans="15:20" ht="15.75" customHeight="1" x14ac:dyDescent="0.3">
      <c r="O110" s="21"/>
      <c r="P110" s="22"/>
      <c r="Q110" s="21"/>
      <c r="R110" s="21"/>
      <c r="S110" s="23"/>
      <c r="T110" s="22"/>
    </row>
    <row r="111" spans="15:20" ht="15.75" customHeight="1" x14ac:dyDescent="0.3">
      <c r="O111" s="21"/>
      <c r="P111" s="22"/>
      <c r="Q111" s="21"/>
      <c r="R111" s="21"/>
      <c r="S111" s="23"/>
      <c r="T111" s="22"/>
    </row>
    <row r="112" spans="15:20" ht="15.75" customHeight="1" x14ac:dyDescent="0.3">
      <c r="O112" s="21"/>
      <c r="P112" s="22"/>
      <c r="Q112" s="21"/>
      <c r="R112" s="21"/>
      <c r="S112" s="23"/>
      <c r="T112" s="22"/>
    </row>
    <row r="113" spans="15:20" ht="15.75" customHeight="1" x14ac:dyDescent="0.3">
      <c r="O113" s="21"/>
      <c r="P113" s="22"/>
      <c r="Q113" s="21"/>
      <c r="R113" s="21"/>
      <c r="S113" s="23"/>
      <c r="T113" s="22"/>
    </row>
    <row r="114" spans="15:20" ht="15.75" customHeight="1" x14ac:dyDescent="0.3">
      <c r="O114" s="21"/>
      <c r="P114" s="22"/>
      <c r="Q114" s="21"/>
      <c r="R114" s="21"/>
      <c r="S114" s="23"/>
      <c r="T114" s="22"/>
    </row>
    <row r="115" spans="15:20" ht="15.75" customHeight="1" x14ac:dyDescent="0.3">
      <c r="O115" s="21"/>
      <c r="P115" s="22"/>
      <c r="Q115" s="21"/>
      <c r="R115" s="21"/>
      <c r="S115" s="23"/>
      <c r="T115" s="22"/>
    </row>
    <row r="116" spans="15:20" ht="15.75" customHeight="1" x14ac:dyDescent="0.3">
      <c r="O116" s="21"/>
      <c r="P116" s="22"/>
      <c r="Q116" s="21"/>
      <c r="R116" s="21"/>
      <c r="S116" s="23"/>
      <c r="T116" s="22"/>
    </row>
    <row r="117" spans="15:20" ht="15.75" customHeight="1" x14ac:dyDescent="0.3">
      <c r="O117" s="21"/>
      <c r="P117" s="22"/>
      <c r="Q117" s="21"/>
      <c r="R117" s="21"/>
      <c r="S117" s="23"/>
      <c r="T117" s="22"/>
    </row>
    <row r="118" spans="15:20" ht="15.75" customHeight="1" x14ac:dyDescent="0.3">
      <c r="O118" s="21"/>
      <c r="P118" s="22"/>
      <c r="Q118" s="21"/>
      <c r="R118" s="21"/>
      <c r="S118" s="23"/>
      <c r="T118" s="22"/>
    </row>
    <row r="119" spans="15:20" ht="15.75" customHeight="1" x14ac:dyDescent="0.3">
      <c r="O119" s="21"/>
      <c r="P119" s="22"/>
      <c r="Q119" s="21"/>
      <c r="R119" s="21"/>
      <c r="S119" s="23"/>
      <c r="T119" s="22"/>
    </row>
    <row r="120" spans="15:20" ht="15.75" customHeight="1" x14ac:dyDescent="0.3">
      <c r="O120" s="21"/>
      <c r="P120" s="22"/>
      <c r="Q120" s="21"/>
      <c r="R120" s="21"/>
      <c r="S120" s="23"/>
      <c r="T120" s="22"/>
    </row>
    <row r="121" spans="15:20" ht="15.75" customHeight="1" x14ac:dyDescent="0.3">
      <c r="O121" s="21"/>
      <c r="P121" s="22"/>
      <c r="Q121" s="21"/>
      <c r="R121" s="21"/>
      <c r="S121" s="23"/>
      <c r="T121" s="22"/>
    </row>
    <row r="122" spans="15:20" ht="15.75" customHeight="1" x14ac:dyDescent="0.3">
      <c r="O122" s="21"/>
      <c r="P122" s="22"/>
      <c r="Q122" s="21"/>
      <c r="R122" s="21"/>
      <c r="S122" s="23"/>
      <c r="T122" s="22"/>
    </row>
    <row r="123" spans="15:20" ht="15.75" customHeight="1" x14ac:dyDescent="0.3">
      <c r="O123" s="21"/>
      <c r="P123" s="22"/>
      <c r="Q123" s="21"/>
      <c r="R123" s="21"/>
      <c r="S123" s="23"/>
      <c r="T123" s="22"/>
    </row>
    <row r="124" spans="15:20" ht="15.75" customHeight="1" x14ac:dyDescent="0.3">
      <c r="O124" s="21"/>
      <c r="P124" s="22"/>
      <c r="Q124" s="21"/>
      <c r="R124" s="21"/>
      <c r="S124" s="23"/>
      <c r="T124" s="22"/>
    </row>
    <row r="125" spans="15:20" ht="15.75" customHeight="1" x14ac:dyDescent="0.3">
      <c r="O125" s="21"/>
      <c r="P125" s="22"/>
      <c r="Q125" s="21"/>
      <c r="R125" s="21"/>
      <c r="S125" s="23"/>
      <c r="T125" s="22"/>
    </row>
    <row r="126" spans="15:20" ht="15.75" customHeight="1" x14ac:dyDescent="0.3">
      <c r="O126" s="21"/>
      <c r="P126" s="22"/>
      <c r="Q126" s="21"/>
      <c r="R126" s="21"/>
      <c r="S126" s="23"/>
      <c r="T126" s="22"/>
    </row>
    <row r="127" spans="15:20" ht="15.75" customHeight="1" x14ac:dyDescent="0.3">
      <c r="O127" s="21"/>
      <c r="P127" s="22"/>
      <c r="Q127" s="21"/>
      <c r="R127" s="21"/>
      <c r="S127" s="23"/>
      <c r="T127" s="22"/>
    </row>
    <row r="128" spans="15:20" ht="15.75" customHeight="1" x14ac:dyDescent="0.3">
      <c r="O128" s="21"/>
      <c r="P128" s="22"/>
      <c r="Q128" s="21"/>
      <c r="R128" s="21"/>
      <c r="S128" s="23"/>
      <c r="T128" s="22"/>
    </row>
    <row r="129" spans="15:20" ht="15.75" customHeight="1" x14ac:dyDescent="0.3">
      <c r="O129" s="21"/>
      <c r="P129" s="22"/>
      <c r="Q129" s="21"/>
      <c r="R129" s="21"/>
      <c r="S129" s="23"/>
      <c r="T129" s="22"/>
    </row>
    <row r="130" spans="15:20" ht="15.75" customHeight="1" x14ac:dyDescent="0.3">
      <c r="O130" s="21"/>
      <c r="P130" s="22"/>
      <c r="Q130" s="21"/>
      <c r="R130" s="21"/>
      <c r="S130" s="23"/>
      <c r="T130" s="22"/>
    </row>
    <row r="131" spans="15:20" ht="15.75" customHeight="1" x14ac:dyDescent="0.3">
      <c r="O131" s="21"/>
      <c r="P131" s="22"/>
      <c r="Q131" s="21"/>
      <c r="R131" s="21"/>
      <c r="S131" s="23"/>
      <c r="T131" s="22"/>
    </row>
    <row r="132" spans="15:20" ht="15.75" customHeight="1" x14ac:dyDescent="0.3">
      <c r="O132" s="21"/>
      <c r="P132" s="22"/>
      <c r="Q132" s="21"/>
      <c r="R132" s="21"/>
      <c r="S132" s="23"/>
      <c r="T132" s="22"/>
    </row>
    <row r="133" spans="15:20" ht="15.75" customHeight="1" x14ac:dyDescent="0.3">
      <c r="O133" s="21"/>
      <c r="P133" s="22"/>
      <c r="Q133" s="21"/>
      <c r="R133" s="21"/>
      <c r="S133" s="23"/>
      <c r="T133" s="22"/>
    </row>
    <row r="134" spans="15:20" ht="15.75" customHeight="1" x14ac:dyDescent="0.3">
      <c r="O134" s="21"/>
      <c r="P134" s="22"/>
      <c r="Q134" s="21"/>
      <c r="R134" s="21"/>
      <c r="S134" s="23"/>
      <c r="T134" s="22"/>
    </row>
    <row r="135" spans="15:20" ht="15.75" customHeight="1" x14ac:dyDescent="0.3">
      <c r="O135" s="21"/>
      <c r="P135" s="22"/>
      <c r="Q135" s="21"/>
      <c r="R135" s="21"/>
      <c r="S135" s="23"/>
      <c r="T135" s="22"/>
    </row>
    <row r="136" spans="15:20" ht="15.75" customHeight="1" x14ac:dyDescent="0.3">
      <c r="O136" s="21"/>
      <c r="P136" s="22"/>
      <c r="Q136" s="21"/>
      <c r="R136" s="21"/>
      <c r="S136" s="23"/>
      <c r="T136" s="22"/>
    </row>
    <row r="137" spans="15:20" ht="15.75" customHeight="1" x14ac:dyDescent="0.3">
      <c r="O137" s="21"/>
      <c r="P137" s="22"/>
      <c r="Q137" s="21"/>
      <c r="R137" s="21"/>
      <c r="S137" s="23"/>
      <c r="T137" s="22"/>
    </row>
    <row r="138" spans="15:20" ht="15.75" customHeight="1" x14ac:dyDescent="0.3">
      <c r="O138" s="21"/>
      <c r="P138" s="22"/>
      <c r="Q138" s="21"/>
      <c r="R138" s="21"/>
      <c r="S138" s="23"/>
      <c r="T138" s="22"/>
    </row>
    <row r="139" spans="15:20" ht="15.75" customHeight="1" x14ac:dyDescent="0.3">
      <c r="O139" s="21"/>
      <c r="P139" s="22"/>
      <c r="Q139" s="21"/>
      <c r="R139" s="21"/>
      <c r="S139" s="23"/>
      <c r="T139" s="22"/>
    </row>
    <row r="140" spans="15:20" ht="15.75" customHeight="1" x14ac:dyDescent="0.3">
      <c r="O140" s="21"/>
      <c r="P140" s="22"/>
      <c r="Q140" s="21"/>
      <c r="R140" s="21"/>
      <c r="S140" s="23"/>
      <c r="T140" s="22"/>
    </row>
    <row r="141" spans="15:20" ht="15.75" customHeight="1" x14ac:dyDescent="0.3">
      <c r="O141" s="21"/>
      <c r="P141" s="22"/>
      <c r="Q141" s="21"/>
      <c r="R141" s="21"/>
      <c r="S141" s="23"/>
      <c r="T141" s="22"/>
    </row>
    <row r="142" spans="15:20" ht="15.75" customHeight="1" x14ac:dyDescent="0.3">
      <c r="O142" s="21"/>
      <c r="P142" s="22"/>
      <c r="Q142" s="21"/>
      <c r="R142" s="21"/>
      <c r="S142" s="23"/>
      <c r="T142" s="22"/>
    </row>
    <row r="143" spans="15:20" ht="15.75" customHeight="1" x14ac:dyDescent="0.3">
      <c r="O143" s="21"/>
      <c r="P143" s="22"/>
      <c r="Q143" s="21"/>
      <c r="R143" s="21"/>
      <c r="S143" s="23"/>
      <c r="T143" s="22"/>
    </row>
    <row r="144" spans="15:20" ht="15.75" customHeight="1" x14ac:dyDescent="0.3">
      <c r="O144" s="21"/>
      <c r="P144" s="22"/>
      <c r="Q144" s="21"/>
      <c r="R144" s="21"/>
      <c r="S144" s="23"/>
      <c r="T144" s="22"/>
    </row>
    <row r="145" spans="15:20" ht="15.75" customHeight="1" x14ac:dyDescent="0.3">
      <c r="O145" s="21"/>
      <c r="P145" s="22"/>
      <c r="Q145" s="21"/>
      <c r="R145" s="21"/>
      <c r="S145" s="23"/>
      <c r="T145" s="22"/>
    </row>
    <row r="146" spans="15:20" ht="15.75" customHeight="1" x14ac:dyDescent="0.3">
      <c r="O146" s="21"/>
      <c r="P146" s="22"/>
      <c r="Q146" s="21"/>
      <c r="R146" s="21"/>
      <c r="S146" s="23"/>
      <c r="T146" s="22"/>
    </row>
    <row r="147" spans="15:20" ht="15.75" customHeight="1" x14ac:dyDescent="0.3">
      <c r="O147" s="21"/>
      <c r="P147" s="22"/>
      <c r="Q147" s="21"/>
      <c r="R147" s="21"/>
      <c r="S147" s="23"/>
      <c r="T147" s="22"/>
    </row>
    <row r="148" spans="15:20" ht="15.75" customHeight="1" x14ac:dyDescent="0.3">
      <c r="O148" s="21"/>
      <c r="P148" s="22"/>
      <c r="Q148" s="21"/>
      <c r="R148" s="21"/>
      <c r="S148" s="23"/>
      <c r="T148" s="22"/>
    </row>
    <row r="149" spans="15:20" ht="15.75" customHeight="1" x14ac:dyDescent="0.3">
      <c r="O149" s="21"/>
      <c r="P149" s="22"/>
      <c r="Q149" s="21"/>
      <c r="R149" s="21"/>
      <c r="S149" s="23"/>
      <c r="T149" s="22"/>
    </row>
    <row r="150" spans="15:20" ht="15.75" customHeight="1" x14ac:dyDescent="0.3">
      <c r="O150" s="21"/>
      <c r="P150" s="22"/>
      <c r="Q150" s="21"/>
      <c r="R150" s="21"/>
      <c r="S150" s="23"/>
      <c r="T150" s="22"/>
    </row>
    <row r="151" spans="15:20" ht="15.75" customHeight="1" x14ac:dyDescent="0.3">
      <c r="O151" s="21"/>
      <c r="P151" s="22"/>
      <c r="Q151" s="21"/>
      <c r="R151" s="21"/>
      <c r="S151" s="23"/>
      <c r="T151" s="22"/>
    </row>
    <row r="152" spans="15:20" ht="15.75" customHeight="1" x14ac:dyDescent="0.3">
      <c r="O152" s="21"/>
      <c r="P152" s="22"/>
      <c r="Q152" s="21"/>
      <c r="R152" s="21"/>
      <c r="S152" s="23"/>
      <c r="T152" s="22"/>
    </row>
    <row r="153" spans="15:20" ht="15.75" customHeight="1" x14ac:dyDescent="0.3">
      <c r="O153" s="21"/>
      <c r="P153" s="22"/>
      <c r="Q153" s="21"/>
      <c r="R153" s="21"/>
      <c r="S153" s="23"/>
      <c r="T153" s="22"/>
    </row>
    <row r="154" spans="15:20" ht="15.75" customHeight="1" x14ac:dyDescent="0.3">
      <c r="O154" s="21"/>
      <c r="P154" s="22"/>
      <c r="Q154" s="21"/>
      <c r="R154" s="21"/>
      <c r="S154" s="23"/>
      <c r="T154" s="22"/>
    </row>
    <row r="155" spans="15:20" ht="15.75" customHeight="1" x14ac:dyDescent="0.3">
      <c r="O155" s="21"/>
      <c r="P155" s="22"/>
      <c r="Q155" s="21"/>
      <c r="R155" s="21"/>
      <c r="S155" s="23"/>
      <c r="T155" s="22"/>
    </row>
    <row r="156" spans="15:20" ht="15.75" customHeight="1" x14ac:dyDescent="0.3">
      <c r="O156" s="21"/>
      <c r="P156" s="22"/>
      <c r="Q156" s="21"/>
      <c r="R156" s="21"/>
      <c r="S156" s="23"/>
      <c r="T156" s="22"/>
    </row>
    <row r="157" spans="15:20" ht="15.75" customHeight="1" x14ac:dyDescent="0.3">
      <c r="O157" s="21"/>
      <c r="P157" s="22"/>
      <c r="Q157" s="21"/>
      <c r="R157" s="21"/>
      <c r="S157" s="23"/>
      <c r="T157" s="22"/>
    </row>
    <row r="158" spans="15:20" ht="15.75" customHeight="1" x14ac:dyDescent="0.3">
      <c r="O158" s="21"/>
      <c r="P158" s="22"/>
      <c r="Q158" s="21"/>
      <c r="R158" s="21"/>
      <c r="S158" s="23"/>
      <c r="T158" s="22"/>
    </row>
    <row r="159" spans="15:20" ht="15.75" customHeight="1" x14ac:dyDescent="0.3">
      <c r="O159" s="21"/>
      <c r="P159" s="22"/>
      <c r="Q159" s="21"/>
      <c r="R159" s="21"/>
      <c r="S159" s="23"/>
      <c r="T159" s="22"/>
    </row>
    <row r="160" spans="15:20" ht="15.75" customHeight="1" x14ac:dyDescent="0.3">
      <c r="O160" s="21"/>
      <c r="P160" s="22"/>
      <c r="Q160" s="21"/>
      <c r="R160" s="21"/>
      <c r="S160" s="23"/>
      <c r="T160" s="22"/>
    </row>
    <row r="161" spans="15:20" ht="15.75" customHeight="1" x14ac:dyDescent="0.3">
      <c r="O161" s="21"/>
      <c r="P161" s="22"/>
      <c r="Q161" s="21"/>
      <c r="R161" s="21"/>
      <c r="S161" s="23"/>
      <c r="T161" s="22"/>
    </row>
    <row r="162" spans="15:20" ht="15.75" customHeight="1" x14ac:dyDescent="0.3">
      <c r="O162" s="21"/>
      <c r="P162" s="22"/>
      <c r="Q162" s="21"/>
      <c r="R162" s="21"/>
      <c r="S162" s="23"/>
      <c r="T162" s="22"/>
    </row>
    <row r="163" spans="15:20" ht="15.75" customHeight="1" x14ac:dyDescent="0.3">
      <c r="O163" s="21"/>
      <c r="P163" s="22"/>
      <c r="Q163" s="21"/>
      <c r="R163" s="21"/>
      <c r="S163" s="23"/>
      <c r="T163" s="22"/>
    </row>
    <row r="164" spans="15:20" ht="15.75" customHeight="1" x14ac:dyDescent="0.3">
      <c r="O164" s="21"/>
      <c r="P164" s="22"/>
      <c r="Q164" s="21"/>
      <c r="R164" s="21"/>
      <c r="S164" s="23"/>
      <c r="T164" s="22"/>
    </row>
    <row r="165" spans="15:20" ht="15.75" customHeight="1" x14ac:dyDescent="0.3">
      <c r="O165" s="21"/>
      <c r="P165" s="22"/>
      <c r="Q165" s="21"/>
      <c r="R165" s="21"/>
      <c r="S165" s="23"/>
      <c r="T165" s="22"/>
    </row>
    <row r="166" spans="15:20" ht="15.75" customHeight="1" x14ac:dyDescent="0.3">
      <c r="O166" s="21"/>
      <c r="P166" s="22"/>
      <c r="Q166" s="21"/>
      <c r="R166" s="21"/>
      <c r="S166" s="23"/>
      <c r="T166" s="22"/>
    </row>
    <row r="167" spans="15:20" ht="15.75" customHeight="1" x14ac:dyDescent="0.3">
      <c r="O167" s="21"/>
      <c r="P167" s="22"/>
      <c r="Q167" s="21"/>
      <c r="R167" s="21"/>
      <c r="S167" s="23"/>
      <c r="T167" s="22"/>
    </row>
    <row r="168" spans="15:20" ht="15.75" customHeight="1" x14ac:dyDescent="0.3">
      <c r="O168" s="21"/>
      <c r="P168" s="22"/>
      <c r="Q168" s="21"/>
      <c r="R168" s="21"/>
      <c r="S168" s="23"/>
      <c r="T168" s="22"/>
    </row>
    <row r="169" spans="15:20" ht="15.75" customHeight="1" x14ac:dyDescent="0.3">
      <c r="O169" s="21"/>
      <c r="P169" s="22"/>
      <c r="Q169" s="21"/>
      <c r="R169" s="21"/>
      <c r="S169" s="23"/>
      <c r="T169" s="22"/>
    </row>
    <row r="170" spans="15:20" ht="15.75" customHeight="1" x14ac:dyDescent="0.3">
      <c r="O170" s="21"/>
      <c r="P170" s="22"/>
      <c r="Q170" s="21"/>
      <c r="R170" s="21"/>
      <c r="S170" s="23"/>
      <c r="T170" s="22"/>
    </row>
    <row r="171" spans="15:20" ht="15.75" customHeight="1" x14ac:dyDescent="0.3">
      <c r="O171" s="21"/>
      <c r="P171" s="22"/>
      <c r="Q171" s="21"/>
      <c r="R171" s="21"/>
      <c r="S171" s="23"/>
      <c r="T171" s="22"/>
    </row>
    <row r="172" spans="15:20" ht="15.75" customHeight="1" x14ac:dyDescent="0.3">
      <c r="O172" s="21"/>
      <c r="P172" s="22"/>
      <c r="Q172" s="21"/>
      <c r="R172" s="21"/>
      <c r="S172" s="23"/>
      <c r="T172" s="22"/>
    </row>
    <row r="173" spans="15:20" ht="15.75" customHeight="1" x14ac:dyDescent="0.3">
      <c r="O173" s="21"/>
      <c r="P173" s="22"/>
      <c r="Q173" s="21"/>
      <c r="R173" s="21"/>
      <c r="S173" s="23"/>
      <c r="T173" s="22"/>
    </row>
    <row r="174" spans="15:20" ht="15.75" customHeight="1" x14ac:dyDescent="0.3">
      <c r="O174" s="21"/>
      <c r="P174" s="22"/>
      <c r="Q174" s="21"/>
      <c r="R174" s="21"/>
      <c r="S174" s="23"/>
      <c r="T174" s="22"/>
    </row>
    <row r="175" spans="15:20" ht="15.75" customHeight="1" x14ac:dyDescent="0.3">
      <c r="O175" s="21"/>
      <c r="P175" s="22"/>
      <c r="Q175" s="21"/>
      <c r="R175" s="21"/>
      <c r="S175" s="23"/>
      <c r="T175" s="22"/>
    </row>
    <row r="176" spans="15:20" ht="15.75" customHeight="1" x14ac:dyDescent="0.3">
      <c r="O176" s="21"/>
      <c r="P176" s="22"/>
      <c r="Q176" s="21"/>
      <c r="R176" s="21"/>
      <c r="S176" s="23"/>
      <c r="T176" s="22"/>
    </row>
    <row r="177" spans="15:20" ht="15.75" customHeight="1" x14ac:dyDescent="0.3">
      <c r="O177" s="21"/>
      <c r="P177" s="22"/>
      <c r="Q177" s="21"/>
      <c r="R177" s="21"/>
      <c r="S177" s="23"/>
      <c r="T177" s="22"/>
    </row>
    <row r="178" spans="15:20" ht="15.75" customHeight="1" x14ac:dyDescent="0.3">
      <c r="O178" s="21"/>
      <c r="P178" s="22"/>
      <c r="Q178" s="21"/>
      <c r="R178" s="21"/>
      <c r="S178" s="23"/>
      <c r="T178" s="22"/>
    </row>
    <row r="179" spans="15:20" ht="15.75" customHeight="1" x14ac:dyDescent="0.3">
      <c r="O179" s="21"/>
      <c r="P179" s="22"/>
      <c r="Q179" s="21"/>
      <c r="R179" s="21"/>
      <c r="S179" s="23"/>
      <c r="T179" s="22"/>
    </row>
    <row r="180" spans="15:20" ht="15.75" customHeight="1" x14ac:dyDescent="0.3">
      <c r="O180" s="21"/>
      <c r="P180" s="22"/>
      <c r="Q180" s="21"/>
      <c r="R180" s="21"/>
      <c r="S180" s="23"/>
      <c r="T180" s="22"/>
    </row>
    <row r="181" spans="15:20" ht="15.75" customHeight="1" x14ac:dyDescent="0.3">
      <c r="O181" s="21"/>
      <c r="P181" s="22"/>
      <c r="Q181" s="21"/>
      <c r="R181" s="21"/>
      <c r="S181" s="23"/>
      <c r="T181" s="22"/>
    </row>
    <row r="182" spans="15:20" ht="15.75" customHeight="1" x14ac:dyDescent="0.3">
      <c r="O182" s="21"/>
      <c r="P182" s="22"/>
      <c r="Q182" s="21"/>
      <c r="R182" s="21"/>
      <c r="S182" s="23"/>
      <c r="T182" s="22"/>
    </row>
    <row r="183" spans="15:20" ht="15.75" customHeight="1" x14ac:dyDescent="0.3">
      <c r="O183" s="21"/>
      <c r="P183" s="22"/>
      <c r="Q183" s="21"/>
      <c r="R183" s="21"/>
      <c r="S183" s="23"/>
      <c r="T183" s="22"/>
    </row>
    <row r="184" spans="15:20" ht="15.75" customHeight="1" x14ac:dyDescent="0.3">
      <c r="O184" s="21"/>
      <c r="P184" s="22"/>
      <c r="Q184" s="21"/>
      <c r="R184" s="21"/>
      <c r="S184" s="23"/>
      <c r="T184" s="22"/>
    </row>
    <row r="185" spans="15:20" ht="15.75" customHeight="1" x14ac:dyDescent="0.3">
      <c r="O185" s="21"/>
      <c r="P185" s="22"/>
      <c r="Q185" s="21"/>
      <c r="R185" s="21"/>
      <c r="S185" s="23"/>
      <c r="T185" s="22"/>
    </row>
    <row r="186" spans="15:20" ht="15.75" customHeight="1" x14ac:dyDescent="0.3">
      <c r="O186" s="21"/>
      <c r="P186" s="22"/>
      <c r="Q186" s="21"/>
      <c r="R186" s="21"/>
      <c r="S186" s="23"/>
      <c r="T186" s="22"/>
    </row>
    <row r="187" spans="15:20" ht="15.75" customHeight="1" x14ac:dyDescent="0.3">
      <c r="O187" s="21"/>
      <c r="P187" s="22"/>
      <c r="Q187" s="21"/>
      <c r="R187" s="21"/>
      <c r="S187" s="23"/>
      <c r="T187" s="22"/>
    </row>
    <row r="188" spans="15:20" ht="15.75" customHeight="1" x14ac:dyDescent="0.3">
      <c r="O188" s="21"/>
      <c r="P188" s="22"/>
      <c r="Q188" s="21"/>
      <c r="R188" s="21"/>
      <c r="S188" s="23"/>
      <c r="T188" s="22"/>
    </row>
    <row r="189" spans="15:20" ht="15.75" customHeight="1" x14ac:dyDescent="0.3">
      <c r="O189" s="21"/>
      <c r="P189" s="22"/>
      <c r="Q189" s="21"/>
      <c r="R189" s="21"/>
      <c r="S189" s="23"/>
      <c r="T189" s="22"/>
    </row>
    <row r="190" spans="15:20" ht="15.75" customHeight="1" x14ac:dyDescent="0.3">
      <c r="O190" s="21"/>
      <c r="P190" s="22"/>
      <c r="Q190" s="21"/>
      <c r="R190" s="21"/>
      <c r="S190" s="23"/>
      <c r="T190" s="22"/>
    </row>
    <row r="191" spans="15:20" ht="15.75" customHeight="1" x14ac:dyDescent="0.3">
      <c r="O191" s="21"/>
      <c r="P191" s="22"/>
      <c r="Q191" s="21"/>
      <c r="R191" s="21"/>
      <c r="S191" s="23"/>
      <c r="T191" s="22"/>
    </row>
    <row r="192" spans="15:20" ht="15.75" customHeight="1" x14ac:dyDescent="0.3">
      <c r="O192" s="21"/>
      <c r="P192" s="22"/>
      <c r="Q192" s="21"/>
      <c r="R192" s="21"/>
      <c r="S192" s="23"/>
      <c r="T192" s="22"/>
    </row>
    <row r="193" spans="15:20" ht="15.75" customHeight="1" x14ac:dyDescent="0.3">
      <c r="O193" s="21"/>
      <c r="P193" s="22"/>
      <c r="Q193" s="21"/>
      <c r="R193" s="21"/>
      <c r="S193" s="23"/>
      <c r="T193" s="22"/>
    </row>
    <row r="194" spans="15:20" ht="15.75" customHeight="1" x14ac:dyDescent="0.3">
      <c r="O194" s="21"/>
      <c r="P194" s="22"/>
      <c r="Q194" s="21"/>
      <c r="R194" s="21"/>
      <c r="S194" s="23"/>
      <c r="T194" s="22"/>
    </row>
    <row r="195" spans="15:20" ht="15.75" customHeight="1" x14ac:dyDescent="0.3">
      <c r="O195" s="21"/>
      <c r="P195" s="22"/>
      <c r="Q195" s="21"/>
      <c r="R195" s="21"/>
      <c r="S195" s="23"/>
      <c r="T195" s="22"/>
    </row>
    <row r="196" spans="15:20" ht="15.75" customHeight="1" x14ac:dyDescent="0.3">
      <c r="O196" s="21"/>
      <c r="P196" s="22"/>
      <c r="Q196" s="21"/>
      <c r="R196" s="21"/>
      <c r="S196" s="23"/>
      <c r="T196" s="22"/>
    </row>
    <row r="197" spans="15:20" ht="15.75" customHeight="1" x14ac:dyDescent="0.3">
      <c r="O197" s="21"/>
      <c r="P197" s="22"/>
      <c r="Q197" s="21"/>
      <c r="R197" s="21"/>
      <c r="S197" s="23"/>
      <c r="T197" s="22"/>
    </row>
    <row r="198" spans="15:20" ht="15.75" customHeight="1" x14ac:dyDescent="0.3">
      <c r="O198" s="21"/>
      <c r="P198" s="22"/>
      <c r="Q198" s="21"/>
      <c r="R198" s="21"/>
      <c r="S198" s="23"/>
      <c r="T198" s="22"/>
    </row>
    <row r="199" spans="15:20" ht="15.75" customHeight="1" x14ac:dyDescent="0.3">
      <c r="O199" s="21"/>
      <c r="P199" s="22"/>
      <c r="Q199" s="21"/>
      <c r="R199" s="21"/>
      <c r="S199" s="23"/>
      <c r="T199" s="22"/>
    </row>
    <row r="200" spans="15:20" ht="15.75" customHeight="1" x14ac:dyDescent="0.3">
      <c r="O200" s="21"/>
      <c r="P200" s="22"/>
      <c r="Q200" s="21"/>
      <c r="R200" s="21"/>
      <c r="S200" s="23"/>
      <c r="T200" s="22"/>
    </row>
    <row r="201" spans="15:20" ht="15.75" customHeight="1" x14ac:dyDescent="0.3">
      <c r="O201" s="21"/>
      <c r="P201" s="22"/>
      <c r="Q201" s="21"/>
      <c r="R201" s="21"/>
      <c r="S201" s="23"/>
      <c r="T201" s="22"/>
    </row>
    <row r="202" spans="15:20" ht="15.75" customHeight="1" x14ac:dyDescent="0.3">
      <c r="O202" s="21"/>
      <c r="P202" s="22"/>
      <c r="Q202" s="21"/>
      <c r="R202" s="21"/>
      <c r="S202" s="23"/>
      <c r="T202" s="22"/>
    </row>
    <row r="203" spans="15:20" ht="15.75" customHeight="1" x14ac:dyDescent="0.3">
      <c r="O203" s="21"/>
      <c r="P203" s="22"/>
      <c r="Q203" s="21"/>
      <c r="R203" s="21"/>
      <c r="S203" s="23"/>
      <c r="T203" s="22"/>
    </row>
    <row r="204" spans="15:20" ht="15.75" customHeight="1" x14ac:dyDescent="0.3">
      <c r="O204" s="21"/>
      <c r="P204" s="22"/>
      <c r="Q204" s="21"/>
      <c r="R204" s="21"/>
      <c r="S204" s="23"/>
      <c r="T204" s="22"/>
    </row>
    <row r="205" spans="15:20" ht="15.75" customHeight="1" x14ac:dyDescent="0.3">
      <c r="O205" s="21"/>
      <c r="P205" s="22"/>
      <c r="Q205" s="21"/>
      <c r="R205" s="21"/>
      <c r="S205" s="23"/>
      <c r="T205" s="22"/>
    </row>
    <row r="206" spans="15:20" ht="15.75" customHeight="1" x14ac:dyDescent="0.3">
      <c r="O206" s="21"/>
      <c r="P206" s="22"/>
      <c r="Q206" s="21"/>
      <c r="R206" s="21"/>
      <c r="S206" s="23"/>
      <c r="T206" s="22"/>
    </row>
    <row r="207" spans="15:20" ht="15.75" customHeight="1" x14ac:dyDescent="0.3">
      <c r="O207" s="21"/>
      <c r="P207" s="22"/>
      <c r="Q207" s="21"/>
      <c r="R207" s="21"/>
      <c r="S207" s="23"/>
      <c r="T207" s="22"/>
    </row>
    <row r="208" spans="15:20" ht="15.75" customHeight="1" x14ac:dyDescent="0.3">
      <c r="O208" s="21"/>
      <c r="P208" s="22"/>
      <c r="Q208" s="21"/>
      <c r="R208" s="21"/>
      <c r="S208" s="23"/>
      <c r="T208" s="22"/>
    </row>
    <row r="209" spans="15:20" ht="15.75" customHeight="1" x14ac:dyDescent="0.3">
      <c r="O209" s="21"/>
      <c r="P209" s="22"/>
      <c r="Q209" s="21"/>
      <c r="R209" s="21"/>
      <c r="S209" s="23"/>
      <c r="T209" s="22"/>
    </row>
    <row r="210" spans="15:20" ht="15.75" customHeight="1" x14ac:dyDescent="0.3">
      <c r="O210" s="21"/>
      <c r="P210" s="22"/>
      <c r="Q210" s="21"/>
      <c r="R210" s="21"/>
      <c r="S210" s="23"/>
      <c r="T210" s="22"/>
    </row>
    <row r="211" spans="15:20" ht="15.75" customHeight="1" x14ac:dyDescent="0.3">
      <c r="O211" s="21"/>
      <c r="P211" s="22"/>
      <c r="Q211" s="21"/>
      <c r="R211" s="21"/>
      <c r="S211" s="23"/>
      <c r="T211" s="22"/>
    </row>
    <row r="212" spans="15:20" ht="15.75" customHeight="1" x14ac:dyDescent="0.3">
      <c r="O212" s="21"/>
      <c r="P212" s="22"/>
      <c r="Q212" s="21"/>
      <c r="R212" s="21"/>
      <c r="S212" s="23"/>
      <c r="T212" s="22"/>
    </row>
    <row r="213" spans="15:20" ht="15.75" customHeight="1" x14ac:dyDescent="0.3">
      <c r="O213" s="21"/>
      <c r="P213" s="22"/>
      <c r="Q213" s="21"/>
      <c r="R213" s="21"/>
      <c r="S213" s="23"/>
      <c r="T213" s="22"/>
    </row>
    <row r="214" spans="15:20" ht="15.75" customHeight="1" x14ac:dyDescent="0.3">
      <c r="O214" s="21"/>
      <c r="P214" s="22"/>
      <c r="Q214" s="21"/>
      <c r="R214" s="21"/>
      <c r="S214" s="23"/>
      <c r="T214" s="22"/>
    </row>
    <row r="215" spans="15:20" ht="15.75" customHeight="1" x14ac:dyDescent="0.3">
      <c r="O215" s="21"/>
      <c r="P215" s="22"/>
      <c r="Q215" s="21"/>
      <c r="R215" s="21"/>
      <c r="S215" s="23"/>
      <c r="T215" s="22"/>
    </row>
    <row r="216" spans="15:20" ht="15.75" customHeight="1" x14ac:dyDescent="0.3">
      <c r="O216" s="21"/>
      <c r="P216" s="22"/>
      <c r="Q216" s="21"/>
      <c r="R216" s="21"/>
      <c r="S216" s="23"/>
      <c r="T216" s="22"/>
    </row>
    <row r="217" spans="15:20" ht="15.75" customHeight="1" x14ac:dyDescent="0.3">
      <c r="O217" s="21"/>
      <c r="P217" s="22"/>
      <c r="Q217" s="21"/>
      <c r="R217" s="21"/>
      <c r="S217" s="23"/>
      <c r="T217" s="22"/>
    </row>
    <row r="218" spans="15:20" ht="15.75" customHeight="1" x14ac:dyDescent="0.3">
      <c r="O218" s="21"/>
      <c r="P218" s="22"/>
      <c r="Q218" s="21"/>
      <c r="R218" s="21"/>
      <c r="S218" s="23"/>
      <c r="T218" s="22"/>
    </row>
    <row r="219" spans="15:20" ht="15.75" customHeight="1" x14ac:dyDescent="0.3">
      <c r="O219" s="21"/>
      <c r="P219" s="22"/>
      <c r="Q219" s="21"/>
      <c r="R219" s="21"/>
      <c r="S219" s="23"/>
      <c r="T219" s="22"/>
    </row>
    <row r="220" spans="15:20" ht="15.75" customHeight="1" x14ac:dyDescent="0.3">
      <c r="O220" s="21"/>
      <c r="P220" s="22"/>
      <c r="Q220" s="21"/>
      <c r="R220" s="21"/>
      <c r="S220" s="23"/>
      <c r="T220" s="22"/>
    </row>
    <row r="221" spans="15:20" ht="15.75" customHeight="1" x14ac:dyDescent="0.3">
      <c r="O221" s="21"/>
      <c r="P221" s="22"/>
      <c r="Q221" s="21"/>
      <c r="R221" s="21"/>
      <c r="S221" s="23"/>
      <c r="T221" s="22"/>
    </row>
    <row r="222" spans="15:20" ht="15.75" customHeight="1" x14ac:dyDescent="0.3">
      <c r="O222" s="21"/>
      <c r="P222" s="22"/>
      <c r="Q222" s="21"/>
      <c r="R222" s="21"/>
      <c r="S222" s="23"/>
      <c r="T222" s="22"/>
    </row>
    <row r="223" spans="15:20" ht="15.75" customHeight="1" x14ac:dyDescent="0.3">
      <c r="O223" s="21"/>
      <c r="P223" s="22"/>
      <c r="Q223" s="21"/>
      <c r="R223" s="21"/>
      <c r="S223" s="23"/>
      <c r="T223" s="22"/>
    </row>
    <row r="224" spans="15:20" ht="15.75" customHeight="1" x14ac:dyDescent="0.3">
      <c r="O224" s="21"/>
      <c r="P224" s="22"/>
      <c r="Q224" s="21"/>
      <c r="R224" s="21"/>
      <c r="S224" s="23"/>
      <c r="T224" s="22"/>
    </row>
    <row r="225" spans="15:20" ht="15.75" customHeight="1" x14ac:dyDescent="0.3">
      <c r="O225" s="21"/>
      <c r="P225" s="22"/>
      <c r="Q225" s="21"/>
      <c r="R225" s="21"/>
      <c r="S225" s="23"/>
      <c r="T225" s="22"/>
    </row>
    <row r="226" spans="15:20" ht="15.75" customHeight="1" x14ac:dyDescent="0.3">
      <c r="O226" s="21"/>
      <c r="P226" s="22"/>
      <c r="Q226" s="21"/>
      <c r="R226" s="21"/>
      <c r="S226" s="23"/>
      <c r="T226" s="22"/>
    </row>
    <row r="227" spans="15:20" ht="15.75" customHeight="1" x14ac:dyDescent="0.3">
      <c r="O227" s="21"/>
      <c r="P227" s="22"/>
      <c r="Q227" s="21"/>
      <c r="R227" s="21"/>
      <c r="S227" s="23"/>
      <c r="T227" s="22"/>
    </row>
    <row r="228" spans="15:20" ht="15.75" customHeight="1" x14ac:dyDescent="0.3">
      <c r="O228" s="21"/>
      <c r="P228" s="22"/>
      <c r="Q228" s="21"/>
      <c r="R228" s="21"/>
      <c r="S228" s="23"/>
      <c r="T228" s="22"/>
    </row>
    <row r="229" spans="15:20" ht="15.75" customHeight="1" x14ac:dyDescent="0.3">
      <c r="O229" s="21"/>
      <c r="P229" s="22"/>
      <c r="Q229" s="21"/>
      <c r="R229" s="21"/>
      <c r="S229" s="23"/>
      <c r="T229" s="22"/>
    </row>
    <row r="230" spans="15:20" ht="15.75" customHeight="1" x14ac:dyDescent="0.3">
      <c r="O230" s="21"/>
      <c r="P230" s="22"/>
      <c r="Q230" s="21"/>
      <c r="R230" s="21"/>
      <c r="S230" s="23"/>
      <c r="T230" s="22"/>
    </row>
    <row r="231" spans="15:20" ht="15.75" customHeight="1" x14ac:dyDescent="0.3">
      <c r="O231" s="21"/>
      <c r="P231" s="22"/>
      <c r="Q231" s="21"/>
      <c r="R231" s="21"/>
      <c r="S231" s="23"/>
      <c r="T231" s="22"/>
    </row>
    <row r="232" spans="15:20" ht="15.75" customHeight="1" x14ac:dyDescent="0.3">
      <c r="O232" s="21"/>
      <c r="P232" s="22"/>
      <c r="Q232" s="21"/>
      <c r="R232" s="21"/>
      <c r="S232" s="23"/>
      <c r="T232" s="22"/>
    </row>
    <row r="233" spans="15:20" ht="15.75" customHeight="1" x14ac:dyDescent="0.3">
      <c r="O233" s="21"/>
      <c r="P233" s="22"/>
      <c r="Q233" s="21"/>
      <c r="R233" s="21"/>
      <c r="S233" s="23"/>
      <c r="T233" s="22"/>
    </row>
    <row r="234" spans="15:20" ht="15.75" customHeight="1" x14ac:dyDescent="0.3">
      <c r="O234" s="21"/>
      <c r="P234" s="22"/>
      <c r="Q234" s="21"/>
      <c r="R234" s="21"/>
      <c r="S234" s="23"/>
      <c r="T234" s="22"/>
    </row>
    <row r="235" spans="15:20" ht="15.75" customHeight="1" x14ac:dyDescent="0.3">
      <c r="O235" s="21"/>
      <c r="P235" s="22"/>
      <c r="Q235" s="21"/>
      <c r="R235" s="21"/>
      <c r="S235" s="23"/>
      <c r="T235" s="22"/>
    </row>
    <row r="236" spans="15:20" ht="15.75" customHeight="1" x14ac:dyDescent="0.3">
      <c r="O236" s="21"/>
      <c r="P236" s="22"/>
      <c r="Q236" s="21"/>
      <c r="R236" s="21"/>
      <c r="S236" s="23"/>
      <c r="T236" s="22"/>
    </row>
    <row r="237" spans="15:20" ht="15.75" customHeight="1" x14ac:dyDescent="0.3">
      <c r="O237" s="21"/>
      <c r="P237" s="22"/>
      <c r="Q237" s="21"/>
      <c r="R237" s="21"/>
      <c r="S237" s="23"/>
      <c r="T237" s="22"/>
    </row>
    <row r="238" spans="15:20" ht="15.75" customHeight="1" x14ac:dyDescent="0.3">
      <c r="O238" s="21"/>
      <c r="P238" s="22"/>
      <c r="Q238" s="21"/>
      <c r="R238" s="21"/>
      <c r="S238" s="23"/>
      <c r="T238" s="22"/>
    </row>
    <row r="239" spans="15:20" ht="15.75" customHeight="1" x14ac:dyDescent="0.3">
      <c r="O239" s="21"/>
      <c r="P239" s="22"/>
      <c r="Q239" s="21"/>
      <c r="R239" s="21"/>
      <c r="S239" s="23"/>
      <c r="T239" s="22"/>
    </row>
    <row r="240" spans="15:20" ht="15.75" customHeight="1" x14ac:dyDescent="0.3">
      <c r="O240" s="21"/>
      <c r="P240" s="22"/>
      <c r="Q240" s="21"/>
      <c r="R240" s="21"/>
      <c r="S240" s="23"/>
      <c r="T240" s="22"/>
    </row>
    <row r="241" spans="15:20" ht="15.75" customHeight="1" x14ac:dyDescent="0.3">
      <c r="O241" s="21"/>
      <c r="P241" s="22"/>
      <c r="Q241" s="21"/>
      <c r="R241" s="21"/>
      <c r="S241" s="23"/>
      <c r="T241" s="22"/>
    </row>
    <row r="242" spans="15:20" ht="15.75" customHeight="1" x14ac:dyDescent="0.3">
      <c r="O242" s="21"/>
      <c r="P242" s="22"/>
      <c r="Q242" s="21"/>
      <c r="R242" s="21"/>
      <c r="S242" s="23"/>
      <c r="T242" s="22"/>
    </row>
    <row r="243" spans="15:20" ht="15.75" customHeight="1" x14ac:dyDescent="0.3">
      <c r="O243" s="21"/>
      <c r="P243" s="22"/>
      <c r="Q243" s="21"/>
      <c r="R243" s="21"/>
      <c r="S243" s="23"/>
      <c r="T243" s="22"/>
    </row>
    <row r="244" spans="15:20" ht="15.75" customHeight="1" x14ac:dyDescent="0.3">
      <c r="O244" s="21"/>
      <c r="P244" s="22"/>
      <c r="Q244" s="21"/>
      <c r="R244" s="21"/>
      <c r="S244" s="23"/>
      <c r="T244" s="22"/>
    </row>
    <row r="245" spans="15:20" ht="15.75" customHeight="1" x14ac:dyDescent="0.3">
      <c r="O245" s="21"/>
      <c r="P245" s="22"/>
      <c r="Q245" s="21"/>
      <c r="R245" s="21"/>
      <c r="S245" s="23"/>
      <c r="T245" s="22"/>
    </row>
    <row r="246" spans="15:20" ht="15.75" customHeight="1" x14ac:dyDescent="0.3">
      <c r="O246" s="21"/>
      <c r="P246" s="22"/>
      <c r="Q246" s="21"/>
      <c r="R246" s="21"/>
      <c r="S246" s="23"/>
      <c r="T246" s="22"/>
    </row>
    <row r="247" spans="15:20" ht="15.75" customHeight="1" x14ac:dyDescent="0.3">
      <c r="O247" s="21"/>
      <c r="P247" s="22"/>
      <c r="Q247" s="21"/>
      <c r="R247" s="21"/>
      <c r="S247" s="23"/>
      <c r="T247" s="22"/>
    </row>
    <row r="248" spans="15:20" ht="15.75" customHeight="1" x14ac:dyDescent="0.3">
      <c r="O248" s="21"/>
      <c r="P248" s="22"/>
      <c r="Q248" s="21"/>
      <c r="R248" s="21"/>
      <c r="S248" s="23"/>
      <c r="T248" s="22"/>
    </row>
    <row r="249" spans="15:20" ht="15.75" customHeight="1" x14ac:dyDescent="0.3">
      <c r="O249" s="21"/>
      <c r="P249" s="22"/>
      <c r="Q249" s="21"/>
      <c r="R249" s="21"/>
      <c r="S249" s="23"/>
      <c r="T249" s="22"/>
    </row>
    <row r="250" spans="15:20" ht="15.75" customHeight="1" x14ac:dyDescent="0.3">
      <c r="O250" s="21"/>
      <c r="P250" s="22"/>
      <c r="Q250" s="21"/>
      <c r="R250" s="21"/>
      <c r="S250" s="23"/>
      <c r="T250" s="22"/>
    </row>
    <row r="251" spans="15:20" ht="15.75" customHeight="1" x14ac:dyDescent="0.3">
      <c r="O251" s="21"/>
      <c r="P251" s="22"/>
      <c r="Q251" s="21"/>
      <c r="R251" s="21"/>
      <c r="S251" s="23"/>
      <c r="T251" s="22"/>
    </row>
    <row r="252" spans="15:20" ht="15.75" customHeight="1" x14ac:dyDescent="0.3">
      <c r="O252" s="21"/>
      <c r="P252" s="22"/>
      <c r="Q252" s="21"/>
      <c r="R252" s="21"/>
      <c r="S252" s="23"/>
      <c r="T252" s="22"/>
    </row>
    <row r="253" spans="15:20" ht="15.75" customHeight="1" x14ac:dyDescent="0.3">
      <c r="O253" s="21"/>
      <c r="P253" s="22"/>
      <c r="Q253" s="21"/>
      <c r="R253" s="21"/>
      <c r="S253" s="23"/>
      <c r="T253" s="22"/>
    </row>
    <row r="254" spans="15:20" ht="15.75" customHeight="1" x14ac:dyDescent="0.3">
      <c r="O254" s="21"/>
      <c r="P254" s="22"/>
      <c r="Q254" s="21"/>
      <c r="R254" s="21"/>
      <c r="S254" s="23"/>
      <c r="T254" s="22"/>
    </row>
    <row r="255" spans="15:20" ht="15.75" customHeight="1" x14ac:dyDescent="0.3">
      <c r="O255" s="21"/>
      <c r="P255" s="22"/>
      <c r="Q255" s="21"/>
      <c r="R255" s="21"/>
      <c r="S255" s="23"/>
      <c r="T255" s="22"/>
    </row>
    <row r="256" spans="15:20" ht="15.75" customHeight="1" x14ac:dyDescent="0.3">
      <c r="O256" s="21"/>
      <c r="P256" s="22"/>
      <c r="Q256" s="21"/>
      <c r="R256" s="21"/>
      <c r="S256" s="23"/>
      <c r="T256" s="22"/>
    </row>
    <row r="257" spans="15:20" ht="15.75" customHeight="1" x14ac:dyDescent="0.3">
      <c r="O257" s="21"/>
      <c r="P257" s="22"/>
      <c r="Q257" s="21"/>
      <c r="R257" s="21"/>
      <c r="S257" s="23"/>
      <c r="T257" s="22"/>
    </row>
    <row r="258" spans="15:20" ht="15.75" customHeight="1" x14ac:dyDescent="0.3">
      <c r="O258" s="21"/>
      <c r="P258" s="22"/>
      <c r="Q258" s="21"/>
      <c r="R258" s="21"/>
      <c r="S258" s="23"/>
      <c r="T258" s="22"/>
    </row>
    <row r="259" spans="15:20" ht="15.75" customHeight="1" x14ac:dyDescent="0.3">
      <c r="O259" s="21"/>
      <c r="P259" s="22"/>
      <c r="Q259" s="21"/>
      <c r="R259" s="21"/>
      <c r="S259" s="23"/>
      <c r="T259" s="22"/>
    </row>
    <row r="260" spans="15:20" ht="15.75" customHeight="1" x14ac:dyDescent="0.3">
      <c r="O260" s="21"/>
      <c r="P260" s="22"/>
      <c r="Q260" s="21"/>
      <c r="R260" s="21"/>
      <c r="S260" s="23"/>
      <c r="T260" s="22"/>
    </row>
    <row r="261" spans="15:20" ht="15.75" customHeight="1" x14ac:dyDescent="0.3">
      <c r="O261" s="21"/>
      <c r="P261" s="22"/>
      <c r="Q261" s="21"/>
      <c r="R261" s="21"/>
      <c r="S261" s="23"/>
      <c r="T261" s="22"/>
    </row>
    <row r="262" spans="15:20" ht="15.75" customHeight="1" x14ac:dyDescent="0.3">
      <c r="O262" s="21"/>
      <c r="P262" s="22"/>
      <c r="Q262" s="21"/>
      <c r="R262" s="21"/>
      <c r="S262" s="23"/>
      <c r="T262" s="22"/>
    </row>
    <row r="263" spans="15:20" ht="15.75" customHeight="1" x14ac:dyDescent="0.3">
      <c r="O263" s="21"/>
      <c r="P263" s="22"/>
      <c r="Q263" s="21"/>
      <c r="R263" s="21"/>
      <c r="S263" s="23"/>
      <c r="T263" s="22"/>
    </row>
    <row r="264" spans="15:20" ht="15.75" customHeight="1" x14ac:dyDescent="0.3">
      <c r="O264" s="21"/>
      <c r="P264" s="22"/>
      <c r="Q264" s="21"/>
      <c r="R264" s="21"/>
      <c r="S264" s="23"/>
      <c r="T264" s="22"/>
    </row>
    <row r="265" spans="15:20" ht="15.75" customHeight="1" x14ac:dyDescent="0.3">
      <c r="O265" s="21"/>
      <c r="P265" s="22"/>
      <c r="Q265" s="21"/>
      <c r="R265" s="21"/>
      <c r="S265" s="23"/>
      <c r="T265" s="22"/>
    </row>
    <row r="266" spans="15:20" ht="15.75" customHeight="1" x14ac:dyDescent="0.3">
      <c r="O266" s="21"/>
      <c r="P266" s="22"/>
      <c r="Q266" s="21"/>
      <c r="R266" s="21"/>
      <c r="S266" s="23"/>
      <c r="T266" s="22"/>
    </row>
    <row r="267" spans="15:20" ht="15.75" customHeight="1" x14ac:dyDescent="0.3">
      <c r="O267" s="21"/>
      <c r="P267" s="22"/>
      <c r="Q267" s="21"/>
      <c r="R267" s="21"/>
      <c r="S267" s="23"/>
      <c r="T267" s="22"/>
    </row>
    <row r="268" spans="15:20" ht="15.75" customHeight="1" x14ac:dyDescent="0.3">
      <c r="O268" s="21"/>
      <c r="P268" s="22"/>
      <c r="Q268" s="21"/>
      <c r="R268" s="21"/>
      <c r="S268" s="23"/>
      <c r="T268" s="22"/>
    </row>
    <row r="269" spans="15:20" ht="15.75" customHeight="1" x14ac:dyDescent="0.3">
      <c r="O269" s="21"/>
      <c r="P269" s="22"/>
      <c r="Q269" s="21"/>
      <c r="R269" s="21"/>
      <c r="S269" s="23"/>
      <c r="T269" s="22"/>
    </row>
    <row r="270" spans="15:20" ht="15.75" customHeight="1" x14ac:dyDescent="0.3">
      <c r="O270" s="21"/>
      <c r="P270" s="22"/>
      <c r="Q270" s="21"/>
      <c r="R270" s="21"/>
      <c r="S270" s="23"/>
      <c r="T270" s="22"/>
    </row>
    <row r="271" spans="15:20" ht="15.75" customHeight="1" x14ac:dyDescent="0.3">
      <c r="O271" s="21"/>
      <c r="P271" s="22"/>
      <c r="Q271" s="21"/>
      <c r="R271" s="21"/>
      <c r="S271" s="23"/>
      <c r="T271" s="22"/>
    </row>
    <row r="272" spans="15:20" ht="15.75" customHeight="1" x14ac:dyDescent="0.3">
      <c r="O272" s="21"/>
      <c r="P272" s="22"/>
      <c r="Q272" s="21"/>
      <c r="R272" s="21"/>
      <c r="S272" s="23"/>
      <c r="T272" s="22"/>
    </row>
    <row r="273" spans="15:20" ht="15.75" customHeight="1" x14ac:dyDescent="0.3">
      <c r="O273" s="21"/>
      <c r="P273" s="22"/>
      <c r="Q273" s="21"/>
      <c r="R273" s="21"/>
      <c r="S273" s="23"/>
      <c r="T273" s="22"/>
    </row>
    <row r="274" spans="15:20" ht="15.75" customHeight="1" x14ac:dyDescent="0.3">
      <c r="O274" s="21"/>
      <c r="P274" s="22"/>
      <c r="Q274" s="21"/>
      <c r="R274" s="21"/>
      <c r="S274" s="23"/>
      <c r="T274" s="22"/>
    </row>
    <row r="275" spans="15:20" ht="15.75" customHeight="1" x14ac:dyDescent="0.3">
      <c r="O275" s="21"/>
      <c r="P275" s="22"/>
      <c r="Q275" s="21"/>
      <c r="R275" s="21"/>
      <c r="S275" s="23"/>
      <c r="T275" s="22"/>
    </row>
    <row r="276" spans="15:20" ht="15.75" customHeight="1" x14ac:dyDescent="0.3">
      <c r="O276" s="21"/>
      <c r="P276" s="22"/>
      <c r="Q276" s="21"/>
      <c r="R276" s="21"/>
      <c r="S276" s="23"/>
      <c r="T276" s="22"/>
    </row>
    <row r="277" spans="15:20" ht="15.75" customHeight="1" x14ac:dyDescent="0.3">
      <c r="O277" s="21"/>
      <c r="P277" s="22"/>
      <c r="Q277" s="21"/>
      <c r="R277" s="21"/>
      <c r="S277" s="23"/>
      <c r="T277" s="22"/>
    </row>
    <row r="278" spans="15:20" ht="15.75" customHeight="1" x14ac:dyDescent="0.3">
      <c r="O278" s="21"/>
      <c r="P278" s="22"/>
      <c r="Q278" s="21"/>
      <c r="R278" s="21"/>
      <c r="S278" s="23"/>
      <c r="T278" s="22"/>
    </row>
    <row r="279" spans="15:20" ht="15.75" customHeight="1" x14ac:dyDescent="0.3">
      <c r="O279" s="21"/>
      <c r="P279" s="22"/>
      <c r="Q279" s="21"/>
      <c r="R279" s="21"/>
      <c r="S279" s="23"/>
      <c r="T279" s="22"/>
    </row>
    <row r="280" spans="15:20" ht="15.75" customHeight="1" x14ac:dyDescent="0.3">
      <c r="O280" s="21"/>
      <c r="P280" s="22"/>
      <c r="Q280" s="21"/>
      <c r="R280" s="21"/>
      <c r="S280" s="23"/>
      <c r="T280" s="22"/>
    </row>
    <row r="281" spans="15:20" ht="15.75" customHeight="1" x14ac:dyDescent="0.3">
      <c r="O281" s="21"/>
      <c r="P281" s="22"/>
      <c r="Q281" s="21"/>
      <c r="R281" s="21"/>
      <c r="S281" s="23"/>
      <c r="T281" s="22"/>
    </row>
    <row r="282" spans="15:20" ht="15.75" customHeight="1" x14ac:dyDescent="0.3">
      <c r="O282" s="21"/>
      <c r="P282" s="22"/>
      <c r="Q282" s="21"/>
      <c r="R282" s="21"/>
      <c r="S282" s="23"/>
      <c r="T282" s="22"/>
    </row>
    <row r="283" spans="15:20" ht="15.75" customHeight="1" x14ac:dyDescent="0.3">
      <c r="O283" s="21"/>
      <c r="P283" s="22"/>
      <c r="Q283" s="21"/>
      <c r="R283" s="21"/>
      <c r="S283" s="23"/>
      <c r="T283" s="22"/>
    </row>
    <row r="284" spans="15:20" ht="15.75" customHeight="1" x14ac:dyDescent="0.3">
      <c r="O284" s="21"/>
      <c r="P284" s="22"/>
      <c r="Q284" s="21"/>
      <c r="R284" s="21"/>
      <c r="S284" s="23"/>
      <c r="T284" s="22"/>
    </row>
    <row r="285" spans="15:20" ht="15.75" customHeight="1" x14ac:dyDescent="0.3">
      <c r="O285" s="21"/>
      <c r="P285" s="22"/>
      <c r="Q285" s="21"/>
      <c r="R285" s="21"/>
      <c r="S285" s="23"/>
      <c r="T285" s="22"/>
    </row>
    <row r="286" spans="15:20" ht="15.75" customHeight="1" x14ac:dyDescent="0.3">
      <c r="O286" s="21"/>
      <c r="P286" s="22"/>
      <c r="Q286" s="21"/>
      <c r="R286" s="21"/>
      <c r="S286" s="23"/>
      <c r="T286" s="22"/>
    </row>
    <row r="287" spans="15:20" ht="15.75" customHeight="1" x14ac:dyDescent="0.3">
      <c r="O287" s="21"/>
      <c r="P287" s="22"/>
      <c r="Q287" s="21"/>
      <c r="R287" s="21"/>
      <c r="S287" s="23"/>
      <c r="T287" s="22"/>
    </row>
    <row r="288" spans="15:20" ht="15.75" customHeight="1" x14ac:dyDescent="0.3">
      <c r="O288" s="21"/>
      <c r="P288" s="22"/>
      <c r="Q288" s="21"/>
      <c r="R288" s="21"/>
      <c r="S288" s="23"/>
      <c r="T288" s="22"/>
    </row>
    <row r="289" spans="15:20" ht="15.75" customHeight="1" x14ac:dyDescent="0.3">
      <c r="O289" s="21"/>
      <c r="P289" s="22"/>
      <c r="Q289" s="21"/>
      <c r="R289" s="21"/>
      <c r="S289" s="23"/>
      <c r="T289" s="22"/>
    </row>
    <row r="290" spans="15:20" ht="15.75" customHeight="1" x14ac:dyDescent="0.3">
      <c r="O290" s="21"/>
      <c r="P290" s="22"/>
      <c r="Q290" s="21"/>
      <c r="R290" s="21"/>
      <c r="S290" s="23"/>
      <c r="T290" s="22"/>
    </row>
    <row r="291" spans="15:20" ht="15.75" customHeight="1" x14ac:dyDescent="0.3">
      <c r="O291" s="21"/>
      <c r="P291" s="22"/>
      <c r="Q291" s="21"/>
      <c r="R291" s="21"/>
      <c r="S291" s="23"/>
      <c r="T291" s="22"/>
    </row>
    <row r="292" spans="15:20" ht="15.75" customHeight="1" x14ac:dyDescent="0.3">
      <c r="O292" s="21"/>
      <c r="P292" s="22"/>
      <c r="Q292" s="21"/>
      <c r="R292" s="21"/>
      <c r="S292" s="23"/>
      <c r="T292" s="22"/>
    </row>
    <row r="293" spans="15:20" ht="15.75" customHeight="1" x14ac:dyDescent="0.3">
      <c r="O293" s="21"/>
      <c r="P293" s="22"/>
      <c r="Q293" s="21"/>
      <c r="R293" s="21"/>
      <c r="S293" s="23"/>
      <c r="T293" s="22"/>
    </row>
    <row r="294" spans="15:20" ht="15.75" customHeight="1" x14ac:dyDescent="0.3">
      <c r="O294" s="21"/>
      <c r="P294" s="22"/>
      <c r="Q294" s="21"/>
      <c r="R294" s="21"/>
      <c r="S294" s="23"/>
      <c r="T294" s="22"/>
    </row>
    <row r="295" spans="15:20" ht="15.75" customHeight="1" x14ac:dyDescent="0.3">
      <c r="O295" s="21"/>
      <c r="P295" s="22"/>
      <c r="Q295" s="21"/>
      <c r="R295" s="21"/>
      <c r="S295" s="23"/>
      <c r="T295" s="22"/>
    </row>
    <row r="296" spans="15:20" ht="15.75" customHeight="1" x14ac:dyDescent="0.3">
      <c r="O296" s="21"/>
      <c r="P296" s="22"/>
      <c r="Q296" s="21"/>
      <c r="R296" s="21"/>
      <c r="S296" s="23"/>
      <c r="T296" s="22"/>
    </row>
    <row r="297" spans="15:20" ht="15.75" customHeight="1" x14ac:dyDescent="0.3">
      <c r="O297" s="21"/>
      <c r="P297" s="22"/>
      <c r="Q297" s="21"/>
      <c r="R297" s="21"/>
      <c r="S297" s="23"/>
      <c r="T297" s="22"/>
    </row>
    <row r="298" spans="15:20" ht="15.75" customHeight="1" x14ac:dyDescent="0.3">
      <c r="O298" s="21"/>
      <c r="P298" s="22"/>
      <c r="Q298" s="21"/>
      <c r="R298" s="21"/>
      <c r="S298" s="23"/>
      <c r="T298" s="22"/>
    </row>
    <row r="299" spans="15:20" ht="15.75" customHeight="1" x14ac:dyDescent="0.3">
      <c r="O299" s="21"/>
      <c r="P299" s="22"/>
      <c r="Q299" s="21"/>
      <c r="R299" s="21"/>
      <c r="S299" s="23"/>
      <c r="T299" s="22"/>
    </row>
    <row r="300" spans="15:20" ht="15.75" customHeight="1" x14ac:dyDescent="0.3">
      <c r="O300" s="21"/>
      <c r="P300" s="22"/>
      <c r="Q300" s="21"/>
      <c r="R300" s="21"/>
      <c r="S300" s="23"/>
      <c r="T300" s="22"/>
    </row>
    <row r="301" spans="15:20" ht="15.75" customHeight="1" x14ac:dyDescent="0.3">
      <c r="O301" s="21"/>
      <c r="P301" s="22"/>
      <c r="Q301" s="21"/>
      <c r="R301" s="21"/>
      <c r="S301" s="23"/>
      <c r="T301" s="22"/>
    </row>
    <row r="302" spans="15:20" ht="15.75" customHeight="1" x14ac:dyDescent="0.3">
      <c r="O302" s="21"/>
      <c r="P302" s="22"/>
      <c r="Q302" s="21"/>
      <c r="R302" s="21"/>
      <c r="S302" s="23"/>
      <c r="T302" s="22"/>
    </row>
    <row r="303" spans="15:20" ht="15.75" customHeight="1" x14ac:dyDescent="0.3">
      <c r="O303" s="21"/>
      <c r="P303" s="22"/>
      <c r="Q303" s="21"/>
      <c r="R303" s="21"/>
      <c r="S303" s="23"/>
      <c r="T303" s="22"/>
    </row>
    <row r="304" spans="15:20" ht="15.75" customHeight="1" x14ac:dyDescent="0.3">
      <c r="O304" s="21"/>
      <c r="P304" s="22"/>
      <c r="Q304" s="21"/>
      <c r="R304" s="21"/>
      <c r="S304" s="23"/>
      <c r="T304" s="22"/>
    </row>
    <row r="305" spans="15:20" ht="15.75" customHeight="1" x14ac:dyDescent="0.3">
      <c r="O305" s="21"/>
      <c r="P305" s="22"/>
      <c r="Q305" s="21"/>
      <c r="R305" s="21"/>
      <c r="S305" s="23"/>
      <c r="T305" s="22"/>
    </row>
    <row r="306" spans="15:20" ht="15.75" customHeight="1" x14ac:dyDescent="0.3">
      <c r="O306" s="21"/>
      <c r="P306" s="22"/>
      <c r="Q306" s="21"/>
      <c r="R306" s="21"/>
      <c r="S306" s="23"/>
      <c r="T306" s="22"/>
    </row>
    <row r="307" spans="15:20" ht="15.75" customHeight="1" x14ac:dyDescent="0.3">
      <c r="O307" s="21"/>
      <c r="P307" s="22"/>
      <c r="Q307" s="21"/>
      <c r="R307" s="21"/>
      <c r="S307" s="23"/>
      <c r="T307" s="22"/>
    </row>
    <row r="308" spans="15:20" ht="15.75" customHeight="1" x14ac:dyDescent="0.3">
      <c r="O308" s="21"/>
      <c r="P308" s="22"/>
      <c r="Q308" s="21"/>
      <c r="R308" s="21"/>
      <c r="S308" s="23"/>
      <c r="T308" s="22"/>
    </row>
    <row r="309" spans="15:20" ht="15.75" customHeight="1" x14ac:dyDescent="0.3">
      <c r="O309" s="21"/>
      <c r="P309" s="22"/>
      <c r="Q309" s="21"/>
      <c r="R309" s="21"/>
      <c r="S309" s="23"/>
      <c r="T309" s="22"/>
    </row>
    <row r="310" spans="15:20" ht="15.75" customHeight="1" x14ac:dyDescent="0.3">
      <c r="O310" s="21"/>
      <c r="P310" s="22"/>
      <c r="Q310" s="21"/>
      <c r="R310" s="21"/>
      <c r="S310" s="23"/>
      <c r="T310" s="22"/>
    </row>
    <row r="311" spans="15:20" ht="15.75" customHeight="1" x14ac:dyDescent="0.3">
      <c r="O311" s="21"/>
      <c r="P311" s="22"/>
      <c r="Q311" s="21"/>
      <c r="R311" s="21"/>
      <c r="S311" s="23"/>
      <c r="T311" s="22"/>
    </row>
    <row r="312" spans="15:20" ht="15.75" customHeight="1" x14ac:dyDescent="0.3">
      <c r="O312" s="21"/>
      <c r="P312" s="22"/>
      <c r="Q312" s="21"/>
      <c r="R312" s="21"/>
      <c r="S312" s="23"/>
      <c r="T312" s="22"/>
    </row>
    <row r="313" spans="15:20" ht="15.75" customHeight="1" x14ac:dyDescent="0.3">
      <c r="O313" s="21"/>
      <c r="P313" s="22"/>
      <c r="Q313" s="21"/>
      <c r="R313" s="21"/>
      <c r="S313" s="23"/>
      <c r="T313" s="22"/>
    </row>
    <row r="314" spans="15:20" ht="15.75" customHeight="1" x14ac:dyDescent="0.3">
      <c r="O314" s="21"/>
      <c r="P314" s="22"/>
      <c r="Q314" s="21"/>
      <c r="R314" s="21"/>
      <c r="S314" s="23"/>
      <c r="T314" s="22"/>
    </row>
    <row r="315" spans="15:20" ht="15.75" customHeight="1" x14ac:dyDescent="0.3">
      <c r="O315" s="21"/>
      <c r="P315" s="22"/>
      <c r="Q315" s="21"/>
      <c r="R315" s="21"/>
      <c r="S315" s="23"/>
      <c r="T315" s="22"/>
    </row>
    <row r="316" spans="15:20" ht="15.75" customHeight="1" x14ac:dyDescent="0.3">
      <c r="O316" s="21"/>
      <c r="P316" s="22"/>
      <c r="Q316" s="21"/>
      <c r="R316" s="21"/>
      <c r="S316" s="23"/>
      <c r="T316" s="22"/>
    </row>
    <row r="317" spans="15:20" ht="15.75" customHeight="1" x14ac:dyDescent="0.3">
      <c r="O317" s="21"/>
      <c r="P317" s="22"/>
      <c r="Q317" s="21"/>
      <c r="R317" s="21"/>
      <c r="S317" s="23"/>
      <c r="T317" s="22"/>
    </row>
    <row r="318" spans="15:20" ht="15.75" customHeight="1" x14ac:dyDescent="0.3">
      <c r="O318" s="21"/>
      <c r="P318" s="22"/>
      <c r="Q318" s="21"/>
      <c r="R318" s="21"/>
      <c r="S318" s="23"/>
      <c r="T318" s="22"/>
    </row>
    <row r="319" spans="15:20" ht="15.75" customHeight="1" x14ac:dyDescent="0.3">
      <c r="O319" s="21"/>
      <c r="P319" s="22"/>
      <c r="Q319" s="21"/>
      <c r="R319" s="21"/>
      <c r="S319" s="23"/>
      <c r="T319" s="22"/>
    </row>
    <row r="320" spans="15:20" ht="15.75" customHeight="1" x14ac:dyDescent="0.3">
      <c r="O320" s="21"/>
      <c r="P320" s="22"/>
      <c r="Q320" s="21"/>
      <c r="R320" s="21"/>
      <c r="S320" s="23"/>
      <c r="T320" s="22"/>
    </row>
    <row r="321" spans="15:20" ht="15.75" customHeight="1" x14ac:dyDescent="0.3">
      <c r="O321" s="21"/>
      <c r="P321" s="22"/>
      <c r="Q321" s="21"/>
      <c r="R321" s="21"/>
      <c r="S321" s="23"/>
      <c r="T321" s="22"/>
    </row>
    <row r="322" spans="15:20" ht="15.75" customHeight="1" x14ac:dyDescent="0.3">
      <c r="O322" s="21"/>
      <c r="P322" s="22"/>
      <c r="Q322" s="21"/>
      <c r="R322" s="21"/>
      <c r="S322" s="23"/>
      <c r="T322" s="22"/>
    </row>
    <row r="323" spans="15:20" ht="15.75" customHeight="1" x14ac:dyDescent="0.3">
      <c r="O323" s="21"/>
      <c r="P323" s="22"/>
      <c r="Q323" s="21"/>
      <c r="R323" s="21"/>
      <c r="S323" s="23"/>
      <c r="T323" s="22"/>
    </row>
    <row r="324" spans="15:20" ht="15.75" customHeight="1" x14ac:dyDescent="0.3">
      <c r="O324" s="21"/>
      <c r="P324" s="22"/>
      <c r="Q324" s="21"/>
      <c r="R324" s="21"/>
      <c r="S324" s="23"/>
      <c r="T324" s="22"/>
    </row>
    <row r="325" spans="15:20" ht="15.75" customHeight="1" x14ac:dyDescent="0.3">
      <c r="O325" s="21"/>
      <c r="P325" s="22"/>
      <c r="Q325" s="21"/>
      <c r="R325" s="21"/>
      <c r="S325" s="23"/>
      <c r="T325" s="22"/>
    </row>
    <row r="326" spans="15:20" ht="15.75" customHeight="1" x14ac:dyDescent="0.3">
      <c r="O326" s="21"/>
      <c r="P326" s="22"/>
      <c r="Q326" s="21"/>
      <c r="R326" s="21"/>
      <c r="S326" s="23"/>
      <c r="T326" s="22"/>
    </row>
    <row r="327" spans="15:20" ht="15.75" customHeight="1" x14ac:dyDescent="0.3">
      <c r="O327" s="21"/>
      <c r="P327" s="22"/>
      <c r="Q327" s="21"/>
      <c r="R327" s="21"/>
      <c r="S327" s="23"/>
      <c r="T327" s="22"/>
    </row>
    <row r="328" spans="15:20" ht="15.75" customHeight="1" x14ac:dyDescent="0.3">
      <c r="O328" s="21"/>
      <c r="P328" s="22"/>
      <c r="Q328" s="21"/>
      <c r="R328" s="21"/>
      <c r="S328" s="23"/>
      <c r="T328" s="22"/>
    </row>
    <row r="329" spans="15:20" ht="15.75" customHeight="1" x14ac:dyDescent="0.3">
      <c r="O329" s="21"/>
      <c r="P329" s="22"/>
      <c r="Q329" s="21"/>
      <c r="R329" s="21"/>
      <c r="S329" s="23"/>
      <c r="T329" s="22"/>
    </row>
    <row r="330" spans="15:20" ht="15.75" customHeight="1" x14ac:dyDescent="0.3">
      <c r="O330" s="21"/>
      <c r="P330" s="22"/>
      <c r="Q330" s="21"/>
      <c r="R330" s="21"/>
      <c r="S330" s="23"/>
      <c r="T330" s="22"/>
    </row>
    <row r="331" spans="15:20" ht="15.75" customHeight="1" x14ac:dyDescent="0.3">
      <c r="O331" s="21"/>
      <c r="P331" s="22"/>
      <c r="Q331" s="21"/>
      <c r="R331" s="21"/>
      <c r="S331" s="23"/>
      <c r="T331" s="22"/>
    </row>
    <row r="332" spans="15:20" ht="15.75" customHeight="1" x14ac:dyDescent="0.3">
      <c r="O332" s="21"/>
      <c r="P332" s="22"/>
      <c r="Q332" s="21"/>
      <c r="R332" s="21"/>
      <c r="S332" s="23"/>
      <c r="T332" s="22"/>
    </row>
    <row r="333" spans="15:20" ht="15.75" customHeight="1" x14ac:dyDescent="0.3">
      <c r="O333" s="21"/>
      <c r="P333" s="22"/>
      <c r="Q333" s="21"/>
      <c r="R333" s="21"/>
      <c r="S333" s="23"/>
      <c r="T333" s="22"/>
    </row>
    <row r="334" spans="15:20" ht="15.75" customHeight="1" x14ac:dyDescent="0.3">
      <c r="O334" s="21"/>
      <c r="P334" s="22"/>
      <c r="Q334" s="21"/>
      <c r="R334" s="21"/>
      <c r="S334" s="23"/>
      <c r="T334" s="22"/>
    </row>
    <row r="335" spans="15:20" ht="15.75" customHeight="1" x14ac:dyDescent="0.3">
      <c r="O335" s="21"/>
      <c r="P335" s="22"/>
      <c r="Q335" s="21"/>
      <c r="R335" s="21"/>
      <c r="S335" s="23"/>
      <c r="T335" s="22"/>
    </row>
    <row r="336" spans="15:20" ht="15.75" customHeight="1" x14ac:dyDescent="0.3">
      <c r="O336" s="21"/>
      <c r="P336" s="22"/>
      <c r="Q336" s="21"/>
      <c r="R336" s="21"/>
      <c r="S336" s="23"/>
      <c r="T336" s="22"/>
    </row>
    <row r="337" spans="15:20" ht="15.75" customHeight="1" x14ac:dyDescent="0.3">
      <c r="O337" s="21"/>
      <c r="P337" s="22"/>
      <c r="Q337" s="21"/>
      <c r="R337" s="21"/>
      <c r="S337" s="23"/>
      <c r="T337" s="22"/>
    </row>
    <row r="338" spans="15:20" ht="15.75" customHeight="1" x14ac:dyDescent="0.3">
      <c r="O338" s="21"/>
      <c r="P338" s="22"/>
      <c r="Q338" s="21"/>
      <c r="R338" s="21"/>
      <c r="S338" s="23"/>
      <c r="T338" s="22"/>
    </row>
    <row r="339" spans="15:20" ht="15.75" customHeight="1" x14ac:dyDescent="0.3">
      <c r="O339" s="21"/>
      <c r="P339" s="22"/>
      <c r="Q339" s="21"/>
      <c r="R339" s="21"/>
      <c r="S339" s="23"/>
      <c r="T339" s="22"/>
    </row>
    <row r="340" spans="15:20" ht="15.75" customHeight="1" x14ac:dyDescent="0.3">
      <c r="O340" s="21"/>
      <c r="P340" s="22"/>
      <c r="Q340" s="21"/>
      <c r="R340" s="21"/>
      <c r="S340" s="23"/>
      <c r="T340" s="22"/>
    </row>
    <row r="341" spans="15:20" ht="15.75" customHeight="1" x14ac:dyDescent="0.3">
      <c r="O341" s="21"/>
      <c r="P341" s="22"/>
      <c r="Q341" s="21"/>
      <c r="R341" s="21"/>
      <c r="S341" s="23"/>
      <c r="T341" s="22"/>
    </row>
    <row r="342" spans="15:20" ht="15.75" customHeight="1" x14ac:dyDescent="0.3">
      <c r="O342" s="21"/>
      <c r="P342" s="22"/>
      <c r="Q342" s="21"/>
      <c r="R342" s="21"/>
      <c r="S342" s="23"/>
      <c r="T342" s="22"/>
    </row>
    <row r="343" spans="15:20" ht="15.75" customHeight="1" x14ac:dyDescent="0.3">
      <c r="O343" s="21"/>
      <c r="P343" s="22"/>
      <c r="Q343" s="21"/>
      <c r="R343" s="21"/>
      <c r="S343" s="23"/>
      <c r="T343" s="22"/>
    </row>
    <row r="344" spans="15:20" ht="15.75" customHeight="1" x14ac:dyDescent="0.3">
      <c r="O344" s="21"/>
      <c r="P344" s="22"/>
      <c r="Q344" s="21"/>
      <c r="R344" s="21"/>
      <c r="S344" s="23"/>
      <c r="T344" s="22"/>
    </row>
    <row r="345" spans="15:20" ht="15.75" customHeight="1" x14ac:dyDescent="0.3">
      <c r="O345" s="21"/>
      <c r="P345" s="22"/>
      <c r="Q345" s="21"/>
      <c r="R345" s="21"/>
      <c r="S345" s="23"/>
      <c r="T345" s="22"/>
    </row>
    <row r="346" spans="15:20" ht="15.75" customHeight="1" x14ac:dyDescent="0.3">
      <c r="O346" s="21"/>
      <c r="P346" s="22"/>
      <c r="Q346" s="21"/>
      <c r="R346" s="21"/>
      <c r="S346" s="23"/>
      <c r="T346" s="22"/>
    </row>
    <row r="347" spans="15:20" ht="15.75" customHeight="1" x14ac:dyDescent="0.3">
      <c r="O347" s="21"/>
      <c r="P347" s="22"/>
      <c r="Q347" s="21"/>
      <c r="R347" s="21"/>
      <c r="S347" s="23"/>
      <c r="T347" s="22"/>
    </row>
    <row r="348" spans="15:20" ht="15.75" customHeight="1" x14ac:dyDescent="0.3">
      <c r="O348" s="21"/>
      <c r="P348" s="22"/>
      <c r="Q348" s="21"/>
      <c r="R348" s="21"/>
      <c r="S348" s="23"/>
      <c r="T348" s="22"/>
    </row>
    <row r="349" spans="15:20" ht="15.75" customHeight="1" x14ac:dyDescent="0.3">
      <c r="O349" s="21"/>
      <c r="P349" s="22"/>
      <c r="Q349" s="21"/>
      <c r="R349" s="21"/>
      <c r="S349" s="23"/>
      <c r="T349" s="22"/>
    </row>
    <row r="350" spans="15:20" ht="15.75" customHeight="1" x14ac:dyDescent="0.3">
      <c r="O350" s="21"/>
      <c r="P350" s="22"/>
      <c r="Q350" s="21"/>
      <c r="R350" s="21"/>
      <c r="S350" s="23"/>
      <c r="T350" s="22"/>
    </row>
    <row r="351" spans="15:20" ht="15.75" customHeight="1" x14ac:dyDescent="0.3">
      <c r="O351" s="21"/>
      <c r="P351" s="22"/>
      <c r="Q351" s="21"/>
      <c r="R351" s="21"/>
      <c r="S351" s="23"/>
      <c r="T351" s="22"/>
    </row>
    <row r="352" spans="15:20" ht="15.75" customHeight="1" x14ac:dyDescent="0.3">
      <c r="O352" s="21"/>
      <c r="P352" s="22"/>
      <c r="Q352" s="21"/>
      <c r="R352" s="21"/>
      <c r="S352" s="23"/>
      <c r="T352" s="22"/>
    </row>
    <row r="353" spans="15:20" ht="15.75" customHeight="1" x14ac:dyDescent="0.3">
      <c r="O353" s="21"/>
      <c r="P353" s="22"/>
      <c r="Q353" s="21"/>
      <c r="R353" s="21"/>
      <c r="S353" s="23"/>
      <c r="T353" s="22"/>
    </row>
    <row r="354" spans="15:20" ht="15.75" customHeight="1" x14ac:dyDescent="0.3">
      <c r="O354" s="21"/>
      <c r="P354" s="22"/>
      <c r="Q354" s="21"/>
      <c r="R354" s="21"/>
      <c r="S354" s="23"/>
      <c r="T354" s="22"/>
    </row>
    <row r="355" spans="15:20" ht="15.75" customHeight="1" x14ac:dyDescent="0.3">
      <c r="O355" s="21"/>
      <c r="P355" s="22"/>
      <c r="Q355" s="21"/>
      <c r="R355" s="21"/>
      <c r="S355" s="23"/>
      <c r="T355" s="22"/>
    </row>
    <row r="356" spans="15:20" ht="15.75" customHeight="1" x14ac:dyDescent="0.3">
      <c r="O356" s="21"/>
      <c r="P356" s="22"/>
      <c r="Q356" s="21"/>
      <c r="R356" s="21"/>
      <c r="S356" s="23"/>
      <c r="T356" s="22"/>
    </row>
    <row r="357" spans="15:20" ht="15.75" customHeight="1" x14ac:dyDescent="0.3">
      <c r="O357" s="21"/>
      <c r="P357" s="22"/>
      <c r="Q357" s="21"/>
      <c r="R357" s="21"/>
      <c r="S357" s="23"/>
      <c r="T357" s="22"/>
    </row>
    <row r="358" spans="15:20" ht="15.75" customHeight="1" x14ac:dyDescent="0.3">
      <c r="O358" s="21"/>
      <c r="P358" s="22"/>
      <c r="Q358" s="21"/>
      <c r="R358" s="21"/>
      <c r="S358" s="23"/>
      <c r="T358" s="22"/>
    </row>
    <row r="359" spans="15:20" ht="15.75" customHeight="1" x14ac:dyDescent="0.3">
      <c r="O359" s="21"/>
      <c r="P359" s="22"/>
      <c r="Q359" s="21"/>
      <c r="R359" s="21"/>
      <c r="S359" s="23"/>
      <c r="T359" s="22"/>
    </row>
    <row r="360" spans="15:20" ht="15.75" customHeight="1" x14ac:dyDescent="0.3">
      <c r="O360" s="21"/>
      <c r="P360" s="22"/>
      <c r="Q360" s="21"/>
      <c r="R360" s="21"/>
      <c r="S360" s="23"/>
      <c r="T360" s="22"/>
    </row>
    <row r="361" spans="15:20" ht="15.75" customHeight="1" x14ac:dyDescent="0.3">
      <c r="O361" s="21"/>
      <c r="P361" s="22"/>
      <c r="Q361" s="21"/>
      <c r="R361" s="21"/>
      <c r="S361" s="23"/>
      <c r="T361" s="22"/>
    </row>
    <row r="362" spans="15:20" ht="15.75" customHeight="1" x14ac:dyDescent="0.3">
      <c r="O362" s="21"/>
      <c r="P362" s="22"/>
      <c r="Q362" s="21"/>
      <c r="R362" s="21"/>
      <c r="S362" s="23"/>
      <c r="T362" s="22"/>
    </row>
    <row r="363" spans="15:20" ht="15.75" customHeight="1" x14ac:dyDescent="0.3">
      <c r="O363" s="21"/>
      <c r="P363" s="22"/>
      <c r="Q363" s="21"/>
      <c r="R363" s="21"/>
      <c r="S363" s="23"/>
      <c r="T363" s="22"/>
    </row>
    <row r="364" spans="15:20" ht="15.75" customHeight="1" x14ac:dyDescent="0.3">
      <c r="O364" s="21"/>
      <c r="P364" s="22"/>
      <c r="Q364" s="21"/>
      <c r="R364" s="21"/>
      <c r="S364" s="23"/>
      <c r="T364" s="22"/>
    </row>
    <row r="365" spans="15:20" ht="15.75" customHeight="1" x14ac:dyDescent="0.3">
      <c r="O365" s="21"/>
      <c r="P365" s="22"/>
      <c r="Q365" s="21"/>
      <c r="R365" s="21"/>
      <c r="S365" s="23"/>
      <c r="T365" s="22"/>
    </row>
    <row r="366" spans="15:20" ht="15.75" customHeight="1" x14ac:dyDescent="0.3">
      <c r="O366" s="21"/>
      <c r="P366" s="22"/>
      <c r="Q366" s="21"/>
      <c r="R366" s="21"/>
      <c r="S366" s="23"/>
      <c r="T366" s="22"/>
    </row>
    <row r="367" spans="15:20" ht="15.75" customHeight="1" x14ac:dyDescent="0.3">
      <c r="O367" s="21"/>
      <c r="P367" s="22"/>
      <c r="Q367" s="21"/>
      <c r="R367" s="21"/>
      <c r="S367" s="23"/>
      <c r="T367" s="22"/>
    </row>
    <row r="368" spans="15:20" ht="15.75" customHeight="1" x14ac:dyDescent="0.3">
      <c r="O368" s="21"/>
      <c r="P368" s="22"/>
      <c r="Q368" s="21"/>
      <c r="R368" s="21"/>
      <c r="S368" s="23"/>
      <c r="T368" s="22"/>
    </row>
    <row r="369" spans="15:20" ht="15.75" customHeight="1" x14ac:dyDescent="0.3">
      <c r="O369" s="21"/>
      <c r="P369" s="22"/>
      <c r="Q369" s="21"/>
      <c r="R369" s="21"/>
      <c r="S369" s="23"/>
      <c r="T369" s="22"/>
    </row>
    <row r="370" spans="15:20" ht="15.75" customHeight="1" x14ac:dyDescent="0.3">
      <c r="O370" s="21"/>
      <c r="P370" s="22"/>
      <c r="Q370" s="21"/>
      <c r="R370" s="21"/>
      <c r="S370" s="23"/>
      <c r="T370" s="22"/>
    </row>
    <row r="371" spans="15:20" ht="15.75" customHeight="1" x14ac:dyDescent="0.3">
      <c r="O371" s="21"/>
      <c r="P371" s="22"/>
      <c r="Q371" s="21"/>
      <c r="R371" s="21"/>
      <c r="S371" s="23"/>
      <c r="T371" s="22"/>
    </row>
    <row r="372" spans="15:20" ht="15.75" customHeight="1" x14ac:dyDescent="0.3">
      <c r="O372" s="21"/>
      <c r="P372" s="22"/>
      <c r="Q372" s="21"/>
      <c r="R372" s="21"/>
      <c r="S372" s="23"/>
      <c r="T372" s="22"/>
    </row>
    <row r="373" spans="15:20" ht="15.75" customHeight="1" x14ac:dyDescent="0.3">
      <c r="O373" s="21"/>
      <c r="P373" s="22"/>
      <c r="Q373" s="21"/>
      <c r="R373" s="21"/>
      <c r="S373" s="23"/>
      <c r="T373" s="22"/>
    </row>
    <row r="374" spans="15:20" ht="15.75" customHeight="1" x14ac:dyDescent="0.3">
      <c r="O374" s="21"/>
      <c r="P374" s="22"/>
      <c r="Q374" s="21"/>
      <c r="R374" s="21"/>
      <c r="S374" s="23"/>
      <c r="T374" s="22"/>
    </row>
    <row r="375" spans="15:20" ht="15.75" customHeight="1" x14ac:dyDescent="0.3">
      <c r="O375" s="21"/>
      <c r="P375" s="22"/>
      <c r="Q375" s="21"/>
      <c r="R375" s="21"/>
      <c r="S375" s="23"/>
      <c r="T375" s="22"/>
    </row>
    <row r="376" spans="15:20" ht="15.75" customHeight="1" x14ac:dyDescent="0.3">
      <c r="O376" s="21"/>
      <c r="P376" s="22"/>
      <c r="Q376" s="21"/>
      <c r="R376" s="21"/>
      <c r="S376" s="23"/>
      <c r="T376" s="22"/>
    </row>
    <row r="377" spans="15:20" ht="15.75" customHeight="1" x14ac:dyDescent="0.3">
      <c r="O377" s="21"/>
      <c r="P377" s="22"/>
      <c r="Q377" s="21"/>
      <c r="R377" s="21"/>
      <c r="S377" s="23"/>
      <c r="T377" s="22"/>
    </row>
    <row r="378" spans="15:20" ht="15.75" customHeight="1" x14ac:dyDescent="0.3">
      <c r="O378" s="21"/>
      <c r="P378" s="22"/>
      <c r="Q378" s="21"/>
      <c r="R378" s="21"/>
      <c r="S378" s="23"/>
      <c r="T378" s="22"/>
    </row>
    <row r="379" spans="15:20" ht="15.75" customHeight="1" x14ac:dyDescent="0.3">
      <c r="O379" s="21"/>
      <c r="P379" s="22"/>
      <c r="Q379" s="21"/>
      <c r="R379" s="21"/>
      <c r="S379" s="23"/>
      <c r="T379" s="22"/>
    </row>
    <row r="380" spans="15:20" ht="15.75" customHeight="1" x14ac:dyDescent="0.3">
      <c r="O380" s="21"/>
      <c r="P380" s="22"/>
      <c r="Q380" s="21"/>
      <c r="R380" s="21"/>
      <c r="S380" s="23"/>
      <c r="T380" s="22"/>
    </row>
    <row r="381" spans="15:20" ht="15.75" customHeight="1" x14ac:dyDescent="0.3">
      <c r="O381" s="21"/>
      <c r="P381" s="22"/>
      <c r="Q381" s="21"/>
      <c r="R381" s="21"/>
      <c r="S381" s="23"/>
      <c r="T381" s="22"/>
    </row>
    <row r="382" spans="15:20" ht="15.75" customHeight="1" x14ac:dyDescent="0.3">
      <c r="O382" s="21"/>
      <c r="P382" s="22"/>
      <c r="Q382" s="21"/>
      <c r="R382" s="21"/>
      <c r="S382" s="23"/>
      <c r="T382" s="22"/>
    </row>
    <row r="383" spans="15:20" ht="15.75" customHeight="1" x14ac:dyDescent="0.3">
      <c r="O383" s="21"/>
      <c r="P383" s="22"/>
      <c r="Q383" s="21"/>
      <c r="R383" s="21"/>
      <c r="S383" s="23"/>
      <c r="T383" s="22"/>
    </row>
    <row r="384" spans="15:20" ht="15.75" customHeight="1" x14ac:dyDescent="0.3">
      <c r="O384" s="21"/>
      <c r="P384" s="22"/>
      <c r="Q384" s="21"/>
      <c r="R384" s="21"/>
      <c r="S384" s="23"/>
      <c r="T384" s="22"/>
    </row>
    <row r="385" spans="15:20" ht="15.75" customHeight="1" x14ac:dyDescent="0.3">
      <c r="O385" s="21"/>
      <c r="P385" s="22"/>
      <c r="Q385" s="21"/>
      <c r="R385" s="21"/>
      <c r="S385" s="23"/>
      <c r="T385" s="22"/>
    </row>
    <row r="386" spans="15:20" ht="15.75" customHeight="1" x14ac:dyDescent="0.3">
      <c r="O386" s="21"/>
      <c r="P386" s="22"/>
      <c r="Q386" s="21"/>
      <c r="R386" s="21"/>
      <c r="S386" s="23"/>
      <c r="T386" s="22"/>
    </row>
    <row r="387" spans="15:20" ht="15.75" customHeight="1" x14ac:dyDescent="0.3">
      <c r="O387" s="21"/>
      <c r="P387" s="22"/>
      <c r="Q387" s="21"/>
      <c r="R387" s="21"/>
      <c r="S387" s="23"/>
      <c r="T387" s="22"/>
    </row>
    <row r="388" spans="15:20" ht="15.75" customHeight="1" x14ac:dyDescent="0.3">
      <c r="O388" s="21"/>
      <c r="P388" s="22"/>
      <c r="Q388" s="21"/>
      <c r="R388" s="21"/>
      <c r="S388" s="23"/>
      <c r="T388" s="22"/>
    </row>
    <row r="389" spans="15:20" ht="15.75" customHeight="1" x14ac:dyDescent="0.3">
      <c r="O389" s="21"/>
      <c r="P389" s="22"/>
      <c r="Q389" s="21"/>
      <c r="R389" s="21"/>
      <c r="S389" s="23"/>
      <c r="T389" s="22"/>
    </row>
    <row r="390" spans="15:20" ht="15.75" customHeight="1" x14ac:dyDescent="0.3">
      <c r="O390" s="21"/>
      <c r="P390" s="22"/>
      <c r="Q390" s="21"/>
      <c r="R390" s="21"/>
      <c r="S390" s="23"/>
      <c r="T390" s="22"/>
    </row>
    <row r="391" spans="15:20" ht="15.75" customHeight="1" x14ac:dyDescent="0.3">
      <c r="O391" s="21"/>
      <c r="P391" s="22"/>
      <c r="Q391" s="21"/>
      <c r="R391" s="21"/>
      <c r="S391" s="23"/>
      <c r="T391" s="22"/>
    </row>
    <row r="392" spans="15:20" ht="15.75" customHeight="1" x14ac:dyDescent="0.3">
      <c r="O392" s="21"/>
      <c r="P392" s="22"/>
      <c r="Q392" s="21"/>
      <c r="R392" s="21"/>
      <c r="S392" s="23"/>
      <c r="T392" s="22"/>
    </row>
    <row r="393" spans="15:20" ht="15.75" customHeight="1" x14ac:dyDescent="0.3">
      <c r="O393" s="21"/>
      <c r="P393" s="22"/>
      <c r="Q393" s="21"/>
      <c r="R393" s="21"/>
      <c r="S393" s="23"/>
      <c r="T393" s="22"/>
    </row>
    <row r="394" spans="15:20" ht="15.75" customHeight="1" x14ac:dyDescent="0.3">
      <c r="O394" s="21"/>
      <c r="P394" s="22"/>
      <c r="Q394" s="21"/>
      <c r="R394" s="21"/>
      <c r="S394" s="23"/>
      <c r="T394" s="22"/>
    </row>
    <row r="395" spans="15:20" ht="15.75" customHeight="1" x14ac:dyDescent="0.3">
      <c r="O395" s="21"/>
      <c r="P395" s="22"/>
      <c r="Q395" s="21"/>
      <c r="R395" s="21"/>
      <c r="S395" s="23"/>
      <c r="T395" s="22"/>
    </row>
    <row r="396" spans="15:20" ht="15.75" customHeight="1" x14ac:dyDescent="0.3">
      <c r="O396" s="21"/>
      <c r="P396" s="22"/>
      <c r="Q396" s="21"/>
      <c r="R396" s="21"/>
      <c r="S396" s="23"/>
      <c r="T396" s="22"/>
    </row>
    <row r="397" spans="15:20" ht="15.75" customHeight="1" x14ac:dyDescent="0.3">
      <c r="O397" s="21"/>
      <c r="P397" s="22"/>
      <c r="Q397" s="21"/>
      <c r="R397" s="21"/>
      <c r="S397" s="23"/>
      <c r="T397" s="22"/>
    </row>
    <row r="398" spans="15:20" ht="15.75" customHeight="1" x14ac:dyDescent="0.3">
      <c r="O398" s="21"/>
      <c r="P398" s="22"/>
      <c r="Q398" s="21"/>
      <c r="R398" s="21"/>
      <c r="S398" s="23"/>
      <c r="T398" s="22"/>
    </row>
    <row r="399" spans="15:20" ht="15.75" customHeight="1" x14ac:dyDescent="0.3">
      <c r="O399" s="21"/>
      <c r="P399" s="22"/>
      <c r="Q399" s="21"/>
      <c r="R399" s="21"/>
      <c r="S399" s="23"/>
      <c r="T399" s="22"/>
    </row>
    <row r="400" spans="15:20" ht="15.75" customHeight="1" x14ac:dyDescent="0.3">
      <c r="O400" s="21"/>
      <c r="P400" s="22"/>
      <c r="Q400" s="21"/>
      <c r="R400" s="21"/>
      <c r="S400" s="23"/>
      <c r="T400" s="22"/>
    </row>
    <row r="401" spans="15:20" ht="15.75" customHeight="1" x14ac:dyDescent="0.3">
      <c r="O401" s="21"/>
      <c r="P401" s="22"/>
      <c r="Q401" s="21"/>
      <c r="R401" s="21"/>
      <c r="S401" s="23"/>
      <c r="T401" s="22"/>
    </row>
    <row r="402" spans="15:20" ht="15.75" customHeight="1" x14ac:dyDescent="0.3">
      <c r="O402" s="21"/>
      <c r="P402" s="22"/>
      <c r="Q402" s="21"/>
      <c r="R402" s="21"/>
      <c r="S402" s="23"/>
      <c r="T402" s="22"/>
    </row>
    <row r="403" spans="15:20" ht="15.75" customHeight="1" x14ac:dyDescent="0.3">
      <c r="O403" s="21"/>
      <c r="P403" s="22"/>
      <c r="Q403" s="21"/>
      <c r="R403" s="21"/>
      <c r="S403" s="23"/>
      <c r="T403" s="22"/>
    </row>
    <row r="404" spans="15:20" ht="15.75" customHeight="1" x14ac:dyDescent="0.3">
      <c r="O404" s="21"/>
      <c r="P404" s="22"/>
      <c r="Q404" s="21"/>
      <c r="R404" s="21"/>
      <c r="S404" s="23"/>
      <c r="T404" s="22"/>
    </row>
    <row r="405" spans="15:20" ht="15.75" customHeight="1" x14ac:dyDescent="0.3">
      <c r="O405" s="21"/>
      <c r="P405" s="22"/>
      <c r="Q405" s="21"/>
      <c r="R405" s="21"/>
      <c r="S405" s="23"/>
      <c r="T405" s="22"/>
    </row>
    <row r="406" spans="15:20" ht="15.75" customHeight="1" x14ac:dyDescent="0.3">
      <c r="O406" s="21"/>
      <c r="P406" s="22"/>
      <c r="Q406" s="21"/>
      <c r="R406" s="21"/>
      <c r="S406" s="23"/>
      <c r="T406" s="22"/>
    </row>
    <row r="407" spans="15:20" ht="15.75" customHeight="1" x14ac:dyDescent="0.3">
      <c r="O407" s="21"/>
      <c r="P407" s="22"/>
      <c r="Q407" s="21"/>
      <c r="R407" s="21"/>
      <c r="S407" s="23"/>
      <c r="T407" s="22"/>
    </row>
    <row r="408" spans="15:20" ht="15.75" customHeight="1" x14ac:dyDescent="0.3">
      <c r="O408" s="21"/>
      <c r="P408" s="22"/>
      <c r="Q408" s="21"/>
      <c r="R408" s="21"/>
      <c r="S408" s="23"/>
      <c r="T408" s="22"/>
    </row>
    <row r="409" spans="15:20" ht="15.75" customHeight="1" x14ac:dyDescent="0.3">
      <c r="O409" s="21"/>
      <c r="P409" s="22"/>
      <c r="Q409" s="21"/>
      <c r="R409" s="21"/>
      <c r="S409" s="23"/>
      <c r="T409" s="22"/>
    </row>
    <row r="410" spans="15:20" ht="15.75" customHeight="1" x14ac:dyDescent="0.3">
      <c r="O410" s="21"/>
      <c r="P410" s="22"/>
      <c r="Q410" s="21"/>
      <c r="R410" s="21"/>
      <c r="S410" s="23"/>
      <c r="T410" s="22"/>
    </row>
    <row r="411" spans="15:20" ht="15.75" customHeight="1" x14ac:dyDescent="0.3">
      <c r="O411" s="21"/>
      <c r="P411" s="22"/>
      <c r="Q411" s="21"/>
      <c r="R411" s="21"/>
      <c r="S411" s="23"/>
      <c r="T411" s="22"/>
    </row>
    <row r="412" spans="15:20" ht="15.75" customHeight="1" x14ac:dyDescent="0.3">
      <c r="O412" s="21"/>
      <c r="P412" s="22"/>
      <c r="Q412" s="21"/>
      <c r="R412" s="21"/>
      <c r="S412" s="23"/>
      <c r="T412" s="22"/>
    </row>
    <row r="413" spans="15:20" ht="15.75" customHeight="1" x14ac:dyDescent="0.3">
      <c r="O413" s="21"/>
      <c r="P413" s="22"/>
      <c r="Q413" s="21"/>
      <c r="R413" s="21"/>
      <c r="S413" s="23"/>
      <c r="T413" s="22"/>
    </row>
    <row r="414" spans="15:20" ht="15.75" customHeight="1" x14ac:dyDescent="0.3">
      <c r="O414" s="21"/>
      <c r="P414" s="22"/>
      <c r="Q414" s="21"/>
      <c r="R414" s="21"/>
      <c r="S414" s="23"/>
      <c r="T414" s="22"/>
    </row>
    <row r="415" spans="15:20" ht="15.75" customHeight="1" x14ac:dyDescent="0.3">
      <c r="O415" s="21"/>
      <c r="P415" s="22"/>
      <c r="Q415" s="21"/>
      <c r="R415" s="21"/>
      <c r="S415" s="23"/>
      <c r="T415" s="22"/>
    </row>
    <row r="416" spans="15:20" ht="15.75" customHeight="1" x14ac:dyDescent="0.3">
      <c r="O416" s="21"/>
      <c r="P416" s="22"/>
      <c r="Q416" s="21"/>
      <c r="R416" s="21"/>
      <c r="S416" s="23"/>
      <c r="T416" s="22"/>
    </row>
    <row r="417" spans="15:20" ht="15.75" customHeight="1" x14ac:dyDescent="0.3">
      <c r="O417" s="21"/>
      <c r="P417" s="22"/>
      <c r="Q417" s="21"/>
      <c r="R417" s="21"/>
      <c r="S417" s="23"/>
      <c r="T417" s="22"/>
    </row>
    <row r="418" spans="15:20" ht="15.75" customHeight="1" x14ac:dyDescent="0.3">
      <c r="O418" s="21"/>
      <c r="P418" s="22"/>
      <c r="Q418" s="21"/>
      <c r="R418" s="21"/>
      <c r="S418" s="23"/>
      <c r="T418" s="22"/>
    </row>
    <row r="419" spans="15:20" ht="15.75" customHeight="1" x14ac:dyDescent="0.3">
      <c r="O419" s="21"/>
      <c r="P419" s="22"/>
      <c r="Q419" s="21"/>
      <c r="R419" s="21"/>
      <c r="S419" s="23"/>
      <c r="T419" s="22"/>
    </row>
    <row r="420" spans="15:20" ht="15.75" customHeight="1" x14ac:dyDescent="0.3">
      <c r="O420" s="21"/>
      <c r="P420" s="22"/>
      <c r="Q420" s="21"/>
      <c r="R420" s="21"/>
      <c r="S420" s="23"/>
      <c r="T420" s="22"/>
    </row>
    <row r="421" spans="15:20" ht="15.75" customHeight="1" x14ac:dyDescent="0.3">
      <c r="O421" s="21"/>
      <c r="P421" s="22"/>
      <c r="Q421" s="21"/>
      <c r="R421" s="21"/>
      <c r="S421" s="23"/>
      <c r="T421" s="22"/>
    </row>
    <row r="422" spans="15:20" ht="15.75" customHeight="1" x14ac:dyDescent="0.3">
      <c r="O422" s="21"/>
      <c r="P422" s="22"/>
      <c r="Q422" s="21"/>
      <c r="R422" s="21"/>
      <c r="S422" s="23"/>
      <c r="T422" s="22"/>
    </row>
    <row r="423" spans="15:20" ht="15.75" customHeight="1" x14ac:dyDescent="0.3">
      <c r="O423" s="21"/>
      <c r="P423" s="22"/>
      <c r="Q423" s="21"/>
      <c r="R423" s="21"/>
      <c r="S423" s="23"/>
      <c r="T423" s="22"/>
    </row>
    <row r="424" spans="15:20" ht="15.75" customHeight="1" x14ac:dyDescent="0.3">
      <c r="O424" s="21"/>
      <c r="P424" s="22"/>
      <c r="Q424" s="21"/>
      <c r="R424" s="21"/>
      <c r="S424" s="23"/>
      <c r="T424" s="22"/>
    </row>
    <row r="425" spans="15:20" ht="15.75" customHeight="1" x14ac:dyDescent="0.3">
      <c r="O425" s="21"/>
      <c r="P425" s="22"/>
      <c r="Q425" s="21"/>
      <c r="R425" s="21"/>
      <c r="S425" s="23"/>
      <c r="T425" s="22"/>
    </row>
    <row r="426" spans="15:20" ht="15.75" customHeight="1" x14ac:dyDescent="0.3">
      <c r="O426" s="21"/>
      <c r="P426" s="22"/>
      <c r="Q426" s="21"/>
      <c r="R426" s="21"/>
      <c r="S426" s="23"/>
      <c r="T426" s="22"/>
    </row>
    <row r="427" spans="15:20" ht="15.75" customHeight="1" x14ac:dyDescent="0.3">
      <c r="O427" s="21"/>
      <c r="P427" s="22"/>
      <c r="Q427" s="21"/>
      <c r="R427" s="21"/>
      <c r="S427" s="23"/>
      <c r="T427" s="22"/>
    </row>
    <row r="428" spans="15:20" ht="15.75" customHeight="1" x14ac:dyDescent="0.3">
      <c r="O428" s="21"/>
      <c r="P428" s="22"/>
      <c r="Q428" s="21"/>
      <c r="R428" s="21"/>
      <c r="S428" s="23"/>
      <c r="T428" s="22"/>
    </row>
    <row r="429" spans="15:20" ht="15.75" customHeight="1" x14ac:dyDescent="0.3">
      <c r="O429" s="21"/>
      <c r="P429" s="22"/>
      <c r="Q429" s="21"/>
      <c r="R429" s="21"/>
      <c r="S429" s="23"/>
      <c r="T429" s="22"/>
    </row>
    <row r="430" spans="15:20" ht="15.75" customHeight="1" x14ac:dyDescent="0.3">
      <c r="O430" s="21"/>
      <c r="P430" s="22"/>
      <c r="Q430" s="21"/>
      <c r="R430" s="21"/>
      <c r="S430" s="23"/>
      <c r="T430" s="22"/>
    </row>
    <row r="431" spans="15:20" ht="15.75" customHeight="1" x14ac:dyDescent="0.3">
      <c r="O431" s="21"/>
      <c r="P431" s="22"/>
      <c r="Q431" s="21"/>
      <c r="R431" s="21"/>
      <c r="S431" s="23"/>
      <c r="T431" s="22"/>
    </row>
    <row r="432" spans="15:20" ht="15.75" customHeight="1" x14ac:dyDescent="0.3">
      <c r="O432" s="21"/>
      <c r="P432" s="22"/>
      <c r="Q432" s="21"/>
      <c r="R432" s="21"/>
      <c r="S432" s="23"/>
      <c r="T432" s="22"/>
    </row>
    <row r="433" spans="15:20" ht="15.75" customHeight="1" x14ac:dyDescent="0.3">
      <c r="O433" s="21"/>
      <c r="P433" s="22"/>
      <c r="Q433" s="21"/>
      <c r="R433" s="21"/>
      <c r="S433" s="23"/>
      <c r="T433" s="22"/>
    </row>
    <row r="434" spans="15:20" ht="15.75" customHeight="1" x14ac:dyDescent="0.3">
      <c r="O434" s="21"/>
      <c r="P434" s="22"/>
      <c r="Q434" s="21"/>
      <c r="R434" s="21"/>
      <c r="S434" s="23"/>
      <c r="T434" s="22"/>
    </row>
    <row r="435" spans="15:20" ht="15.75" customHeight="1" x14ac:dyDescent="0.3">
      <c r="O435" s="21"/>
      <c r="P435" s="22"/>
      <c r="Q435" s="21"/>
      <c r="R435" s="21"/>
      <c r="S435" s="23"/>
      <c r="T435" s="22"/>
    </row>
    <row r="436" spans="15:20" ht="15.75" customHeight="1" x14ac:dyDescent="0.3">
      <c r="O436" s="21"/>
      <c r="P436" s="22"/>
      <c r="Q436" s="21"/>
      <c r="R436" s="21"/>
      <c r="S436" s="23"/>
      <c r="T436" s="22"/>
    </row>
    <row r="437" spans="15:20" ht="15.75" customHeight="1" x14ac:dyDescent="0.3">
      <c r="O437" s="21"/>
      <c r="P437" s="22"/>
      <c r="Q437" s="21"/>
      <c r="R437" s="21"/>
      <c r="S437" s="23"/>
      <c r="T437" s="22"/>
    </row>
    <row r="438" spans="15:20" ht="15.75" customHeight="1" x14ac:dyDescent="0.3">
      <c r="O438" s="21"/>
      <c r="P438" s="22"/>
      <c r="Q438" s="21"/>
      <c r="R438" s="21"/>
      <c r="S438" s="23"/>
      <c r="T438" s="22"/>
    </row>
    <row r="439" spans="15:20" ht="15.75" customHeight="1" x14ac:dyDescent="0.3">
      <c r="O439" s="21"/>
      <c r="P439" s="22"/>
      <c r="Q439" s="21"/>
      <c r="R439" s="21"/>
      <c r="S439" s="23"/>
      <c r="T439" s="22"/>
    </row>
    <row r="440" spans="15:20" ht="15.75" customHeight="1" x14ac:dyDescent="0.3">
      <c r="O440" s="21"/>
      <c r="P440" s="22"/>
      <c r="Q440" s="21"/>
      <c r="R440" s="21"/>
      <c r="S440" s="23"/>
      <c r="T440" s="22"/>
    </row>
    <row r="441" spans="15:20" ht="15.75" customHeight="1" x14ac:dyDescent="0.3">
      <c r="O441" s="21"/>
      <c r="P441" s="22"/>
      <c r="Q441" s="21"/>
      <c r="R441" s="21"/>
      <c r="S441" s="23"/>
      <c r="T441" s="22"/>
    </row>
    <row r="442" spans="15:20" ht="15.75" customHeight="1" x14ac:dyDescent="0.3">
      <c r="O442" s="21"/>
      <c r="P442" s="22"/>
      <c r="Q442" s="21"/>
      <c r="R442" s="21"/>
      <c r="S442" s="23"/>
      <c r="T442" s="22"/>
    </row>
    <row r="443" spans="15:20" ht="15.75" customHeight="1" x14ac:dyDescent="0.3">
      <c r="O443" s="21"/>
      <c r="P443" s="22"/>
      <c r="Q443" s="21"/>
      <c r="R443" s="21"/>
      <c r="S443" s="23"/>
      <c r="T443" s="22"/>
    </row>
    <row r="444" spans="15:20" ht="15.75" customHeight="1" x14ac:dyDescent="0.3">
      <c r="O444" s="21"/>
      <c r="P444" s="22"/>
      <c r="Q444" s="21"/>
      <c r="R444" s="21"/>
      <c r="S444" s="23"/>
      <c r="T444" s="22"/>
    </row>
    <row r="445" spans="15:20" ht="15.75" customHeight="1" x14ac:dyDescent="0.3">
      <c r="O445" s="21"/>
      <c r="P445" s="22"/>
      <c r="Q445" s="21"/>
      <c r="R445" s="21"/>
      <c r="S445" s="23"/>
      <c r="T445" s="22"/>
    </row>
    <row r="446" spans="15:20" ht="15.75" customHeight="1" x14ac:dyDescent="0.3">
      <c r="O446" s="21"/>
      <c r="P446" s="22"/>
      <c r="Q446" s="21"/>
      <c r="R446" s="21"/>
      <c r="S446" s="23"/>
      <c r="T446" s="22"/>
    </row>
    <row r="447" spans="15:20" ht="15.75" customHeight="1" x14ac:dyDescent="0.3">
      <c r="O447" s="21"/>
      <c r="P447" s="22"/>
      <c r="Q447" s="21"/>
      <c r="R447" s="21"/>
      <c r="S447" s="23"/>
      <c r="T447" s="22"/>
    </row>
    <row r="448" spans="15:20" ht="15.75" customHeight="1" x14ac:dyDescent="0.3">
      <c r="O448" s="21"/>
      <c r="P448" s="22"/>
      <c r="Q448" s="21"/>
      <c r="R448" s="21"/>
      <c r="S448" s="23"/>
      <c r="T448" s="22"/>
    </row>
    <row r="449" spans="15:20" ht="15.75" customHeight="1" x14ac:dyDescent="0.3">
      <c r="O449" s="21"/>
      <c r="P449" s="22"/>
      <c r="Q449" s="21"/>
      <c r="R449" s="21"/>
      <c r="S449" s="23"/>
      <c r="T449" s="22"/>
    </row>
    <row r="450" spans="15:20" ht="15.75" customHeight="1" x14ac:dyDescent="0.3">
      <c r="O450" s="21"/>
      <c r="P450" s="22"/>
      <c r="Q450" s="21"/>
      <c r="R450" s="21"/>
      <c r="S450" s="23"/>
      <c r="T450" s="22"/>
    </row>
    <row r="451" spans="15:20" ht="15.75" customHeight="1" x14ac:dyDescent="0.3">
      <c r="O451" s="21"/>
      <c r="P451" s="22"/>
      <c r="Q451" s="21"/>
      <c r="R451" s="21"/>
      <c r="S451" s="23"/>
      <c r="T451" s="22"/>
    </row>
    <row r="452" spans="15:20" ht="15.75" customHeight="1" x14ac:dyDescent="0.3">
      <c r="O452" s="21"/>
      <c r="P452" s="22"/>
      <c r="Q452" s="21"/>
      <c r="R452" s="21"/>
      <c r="S452" s="23"/>
      <c r="T452" s="22"/>
    </row>
    <row r="453" spans="15:20" ht="15.75" customHeight="1" x14ac:dyDescent="0.3">
      <c r="O453" s="21"/>
      <c r="P453" s="22"/>
      <c r="Q453" s="21"/>
      <c r="R453" s="21"/>
      <c r="S453" s="23"/>
      <c r="T453" s="22"/>
    </row>
    <row r="454" spans="15:20" ht="15.75" customHeight="1" x14ac:dyDescent="0.3">
      <c r="O454" s="21"/>
      <c r="P454" s="22"/>
      <c r="Q454" s="21"/>
      <c r="R454" s="21"/>
      <c r="S454" s="23"/>
      <c r="T454" s="22"/>
    </row>
    <row r="455" spans="15:20" ht="15.75" customHeight="1" x14ac:dyDescent="0.3">
      <c r="O455" s="21"/>
      <c r="P455" s="22"/>
      <c r="Q455" s="21"/>
      <c r="R455" s="21"/>
      <c r="S455" s="23"/>
      <c r="T455" s="22"/>
    </row>
    <row r="456" spans="15:20" ht="15.75" customHeight="1" x14ac:dyDescent="0.3">
      <c r="O456" s="21"/>
      <c r="P456" s="22"/>
      <c r="Q456" s="21"/>
      <c r="R456" s="21"/>
      <c r="S456" s="23"/>
      <c r="T456" s="22"/>
    </row>
    <row r="457" spans="15:20" ht="15.75" customHeight="1" x14ac:dyDescent="0.3">
      <c r="O457" s="21"/>
      <c r="P457" s="22"/>
      <c r="Q457" s="21"/>
      <c r="R457" s="21"/>
      <c r="S457" s="23"/>
      <c r="T457" s="22"/>
    </row>
    <row r="458" spans="15:20" ht="15.75" customHeight="1" x14ac:dyDescent="0.3">
      <c r="O458" s="21"/>
      <c r="P458" s="22"/>
      <c r="Q458" s="21"/>
      <c r="R458" s="21"/>
      <c r="S458" s="23"/>
      <c r="T458" s="22"/>
    </row>
    <row r="459" spans="15:20" ht="15.75" customHeight="1" x14ac:dyDescent="0.3">
      <c r="O459" s="21"/>
      <c r="P459" s="22"/>
      <c r="Q459" s="21"/>
      <c r="R459" s="21"/>
      <c r="S459" s="23"/>
      <c r="T459" s="22"/>
    </row>
    <row r="460" spans="15:20" ht="15.75" customHeight="1" x14ac:dyDescent="0.3">
      <c r="O460" s="21"/>
      <c r="P460" s="22"/>
      <c r="Q460" s="21"/>
      <c r="R460" s="21"/>
      <c r="S460" s="23"/>
      <c r="T460" s="22"/>
    </row>
    <row r="461" spans="15:20" ht="15.75" customHeight="1" x14ac:dyDescent="0.3">
      <c r="O461" s="21"/>
      <c r="P461" s="22"/>
      <c r="Q461" s="21"/>
      <c r="R461" s="21"/>
      <c r="S461" s="23"/>
      <c r="T461" s="22"/>
    </row>
    <row r="462" spans="15:20" ht="15.75" customHeight="1" x14ac:dyDescent="0.3">
      <c r="O462" s="21"/>
      <c r="P462" s="22"/>
      <c r="Q462" s="21"/>
      <c r="R462" s="21"/>
      <c r="S462" s="23"/>
      <c r="T462" s="22"/>
    </row>
    <row r="463" spans="15:20" ht="15.75" customHeight="1" x14ac:dyDescent="0.3">
      <c r="O463" s="21"/>
      <c r="P463" s="22"/>
      <c r="Q463" s="21"/>
      <c r="R463" s="21"/>
      <c r="S463" s="23"/>
      <c r="T463" s="22"/>
    </row>
    <row r="464" spans="15:20" ht="15.75" customHeight="1" x14ac:dyDescent="0.3">
      <c r="O464" s="21"/>
      <c r="P464" s="22"/>
      <c r="Q464" s="21"/>
      <c r="R464" s="21"/>
      <c r="S464" s="23"/>
      <c r="T464" s="22"/>
    </row>
    <row r="465" spans="15:20" ht="15.75" customHeight="1" x14ac:dyDescent="0.3">
      <c r="O465" s="21"/>
      <c r="P465" s="22"/>
      <c r="Q465" s="21"/>
      <c r="R465" s="21"/>
      <c r="S465" s="23"/>
      <c r="T465" s="22"/>
    </row>
    <row r="466" spans="15:20" ht="15.75" customHeight="1" x14ac:dyDescent="0.3">
      <c r="O466" s="21"/>
      <c r="P466" s="22"/>
      <c r="Q466" s="21"/>
      <c r="R466" s="21"/>
      <c r="S466" s="23"/>
      <c r="T466" s="22"/>
    </row>
    <row r="467" spans="15:20" ht="15.75" customHeight="1" x14ac:dyDescent="0.3">
      <c r="O467" s="21"/>
      <c r="P467" s="22"/>
      <c r="Q467" s="21"/>
      <c r="R467" s="21"/>
      <c r="S467" s="23"/>
      <c r="T467" s="22"/>
    </row>
    <row r="468" spans="15:20" ht="15.75" customHeight="1" x14ac:dyDescent="0.3">
      <c r="O468" s="21"/>
      <c r="P468" s="22"/>
      <c r="Q468" s="21"/>
      <c r="R468" s="21"/>
      <c r="S468" s="23"/>
      <c r="T468" s="22"/>
    </row>
    <row r="469" spans="15:20" ht="15.75" customHeight="1" x14ac:dyDescent="0.3">
      <c r="O469" s="21"/>
      <c r="P469" s="22"/>
      <c r="Q469" s="21"/>
      <c r="R469" s="21"/>
      <c r="S469" s="23"/>
      <c r="T469" s="22"/>
    </row>
    <row r="470" spans="15:20" ht="15.75" customHeight="1" x14ac:dyDescent="0.3">
      <c r="O470" s="21"/>
      <c r="P470" s="22"/>
      <c r="Q470" s="21"/>
      <c r="R470" s="21"/>
      <c r="S470" s="23"/>
      <c r="T470" s="22"/>
    </row>
    <row r="471" spans="15:20" ht="15.75" customHeight="1" x14ac:dyDescent="0.3">
      <c r="O471" s="21"/>
      <c r="P471" s="22"/>
      <c r="Q471" s="21"/>
      <c r="R471" s="21"/>
      <c r="S471" s="23"/>
      <c r="T471" s="22"/>
    </row>
    <row r="472" spans="15:20" ht="15.75" customHeight="1" x14ac:dyDescent="0.3">
      <c r="O472" s="21"/>
      <c r="P472" s="22"/>
      <c r="Q472" s="21"/>
      <c r="R472" s="21"/>
      <c r="S472" s="23"/>
      <c r="T472" s="22"/>
    </row>
    <row r="473" spans="15:20" ht="15.75" customHeight="1" x14ac:dyDescent="0.3">
      <c r="O473" s="21"/>
      <c r="P473" s="22"/>
      <c r="Q473" s="21"/>
      <c r="R473" s="21"/>
      <c r="S473" s="23"/>
      <c r="T473" s="22"/>
    </row>
    <row r="474" spans="15:20" ht="15.75" customHeight="1" x14ac:dyDescent="0.3">
      <c r="O474" s="21"/>
      <c r="P474" s="22"/>
      <c r="Q474" s="21"/>
      <c r="R474" s="21"/>
      <c r="S474" s="23"/>
      <c r="T474" s="22"/>
    </row>
    <row r="475" spans="15:20" ht="15.75" customHeight="1" x14ac:dyDescent="0.3">
      <c r="O475" s="21"/>
      <c r="P475" s="22"/>
      <c r="Q475" s="21"/>
      <c r="R475" s="21"/>
      <c r="S475" s="23"/>
      <c r="T475" s="22"/>
    </row>
    <row r="476" spans="15:20" ht="15.75" customHeight="1" x14ac:dyDescent="0.3">
      <c r="O476" s="21"/>
      <c r="P476" s="22"/>
      <c r="Q476" s="21"/>
      <c r="R476" s="21"/>
      <c r="S476" s="23"/>
      <c r="T476" s="22"/>
    </row>
    <row r="477" spans="15:20" ht="15.75" customHeight="1" x14ac:dyDescent="0.3">
      <c r="O477" s="21"/>
      <c r="P477" s="22"/>
      <c r="Q477" s="21"/>
      <c r="R477" s="21"/>
      <c r="S477" s="23"/>
      <c r="T477" s="22"/>
    </row>
    <row r="478" spans="15:20" ht="15.75" customHeight="1" x14ac:dyDescent="0.3">
      <c r="O478" s="21"/>
      <c r="P478" s="22"/>
      <c r="Q478" s="21"/>
      <c r="R478" s="21"/>
      <c r="S478" s="23"/>
      <c r="T478" s="22"/>
    </row>
    <row r="479" spans="15:20" ht="15.75" customHeight="1" x14ac:dyDescent="0.3">
      <c r="O479" s="21"/>
      <c r="P479" s="22"/>
      <c r="Q479" s="21"/>
      <c r="R479" s="21"/>
      <c r="S479" s="23"/>
      <c r="T479" s="22"/>
    </row>
    <row r="480" spans="15:20" ht="15.75" customHeight="1" x14ac:dyDescent="0.3">
      <c r="O480" s="21"/>
      <c r="P480" s="22"/>
      <c r="Q480" s="21"/>
      <c r="R480" s="21"/>
      <c r="S480" s="23"/>
      <c r="T480" s="22"/>
    </row>
    <row r="481" spans="15:20" ht="15.75" customHeight="1" x14ac:dyDescent="0.3">
      <c r="O481" s="21"/>
      <c r="P481" s="22"/>
      <c r="Q481" s="21"/>
      <c r="R481" s="21"/>
      <c r="S481" s="23"/>
      <c r="T481" s="22"/>
    </row>
    <row r="482" spans="15:20" ht="15.75" customHeight="1" x14ac:dyDescent="0.3">
      <c r="O482" s="21"/>
      <c r="P482" s="22"/>
      <c r="Q482" s="21"/>
      <c r="R482" s="21"/>
      <c r="S482" s="23"/>
      <c r="T482" s="22"/>
    </row>
    <row r="483" spans="15:20" ht="15.75" customHeight="1" x14ac:dyDescent="0.3">
      <c r="O483" s="21"/>
      <c r="P483" s="22"/>
      <c r="Q483" s="21"/>
      <c r="R483" s="21"/>
      <c r="S483" s="23"/>
      <c r="T483" s="22"/>
    </row>
    <row r="484" spans="15:20" ht="15.75" customHeight="1" x14ac:dyDescent="0.3">
      <c r="O484" s="21"/>
      <c r="P484" s="22"/>
      <c r="Q484" s="21"/>
      <c r="R484" s="21"/>
      <c r="S484" s="23"/>
      <c r="T484" s="22"/>
    </row>
    <row r="485" spans="15:20" ht="15.75" customHeight="1" x14ac:dyDescent="0.3">
      <c r="O485" s="21"/>
      <c r="P485" s="22"/>
      <c r="Q485" s="21"/>
      <c r="R485" s="21"/>
      <c r="S485" s="23"/>
      <c r="T485" s="22"/>
    </row>
    <row r="486" spans="15:20" ht="15.75" customHeight="1" x14ac:dyDescent="0.3">
      <c r="O486" s="21"/>
      <c r="P486" s="22"/>
      <c r="Q486" s="21"/>
      <c r="R486" s="21"/>
      <c r="S486" s="23"/>
      <c r="T486" s="22"/>
    </row>
    <row r="487" spans="15:20" ht="15.75" customHeight="1" x14ac:dyDescent="0.3">
      <c r="O487" s="21"/>
      <c r="P487" s="22"/>
      <c r="Q487" s="21"/>
      <c r="R487" s="21"/>
      <c r="S487" s="23"/>
      <c r="T487" s="22"/>
    </row>
    <row r="488" spans="15:20" ht="15.75" customHeight="1" x14ac:dyDescent="0.3">
      <c r="O488" s="21"/>
      <c r="P488" s="22"/>
      <c r="Q488" s="21"/>
      <c r="R488" s="21"/>
      <c r="S488" s="23"/>
      <c r="T488" s="22"/>
    </row>
    <row r="489" spans="15:20" ht="15.75" customHeight="1" x14ac:dyDescent="0.3">
      <c r="O489" s="21"/>
      <c r="P489" s="22"/>
      <c r="Q489" s="21"/>
      <c r="R489" s="21"/>
      <c r="S489" s="23"/>
      <c r="T489" s="22"/>
    </row>
    <row r="490" spans="15:20" ht="15.75" customHeight="1" x14ac:dyDescent="0.3">
      <c r="O490" s="21"/>
      <c r="P490" s="22"/>
      <c r="Q490" s="21"/>
      <c r="R490" s="21"/>
      <c r="S490" s="23"/>
      <c r="T490" s="22"/>
    </row>
    <row r="491" spans="15:20" ht="15.75" customHeight="1" x14ac:dyDescent="0.3">
      <c r="O491" s="21"/>
      <c r="P491" s="22"/>
      <c r="Q491" s="21"/>
      <c r="R491" s="21"/>
      <c r="S491" s="23"/>
      <c r="T491" s="22"/>
    </row>
    <row r="492" spans="15:20" ht="15.75" customHeight="1" x14ac:dyDescent="0.3">
      <c r="O492" s="21"/>
      <c r="P492" s="22"/>
      <c r="Q492" s="21"/>
      <c r="R492" s="21"/>
      <c r="S492" s="23"/>
      <c r="T492" s="22"/>
    </row>
    <row r="493" spans="15:20" ht="15.75" customHeight="1" x14ac:dyDescent="0.3">
      <c r="O493" s="21"/>
      <c r="P493" s="22"/>
      <c r="Q493" s="21"/>
      <c r="R493" s="21"/>
      <c r="S493" s="23"/>
      <c r="T493" s="22"/>
    </row>
    <row r="494" spans="15:20" ht="15.75" customHeight="1" x14ac:dyDescent="0.3">
      <c r="O494" s="21"/>
      <c r="P494" s="22"/>
      <c r="Q494" s="21"/>
      <c r="R494" s="21"/>
      <c r="S494" s="23"/>
      <c r="T494" s="22"/>
    </row>
    <row r="495" spans="15:20" ht="15.75" customHeight="1" x14ac:dyDescent="0.3">
      <c r="O495" s="21"/>
      <c r="P495" s="22"/>
      <c r="Q495" s="21"/>
      <c r="R495" s="21"/>
      <c r="S495" s="23"/>
      <c r="T495" s="22"/>
    </row>
    <row r="496" spans="15:20" ht="15.75" customHeight="1" x14ac:dyDescent="0.3">
      <c r="O496" s="21"/>
      <c r="P496" s="22"/>
      <c r="Q496" s="21"/>
      <c r="R496" s="21"/>
      <c r="S496" s="23"/>
      <c r="T496" s="22"/>
    </row>
    <row r="497" spans="15:20" ht="15.75" customHeight="1" x14ac:dyDescent="0.3">
      <c r="O497" s="21"/>
      <c r="P497" s="22"/>
      <c r="Q497" s="21"/>
      <c r="R497" s="21"/>
      <c r="S497" s="23"/>
      <c r="T497" s="22"/>
    </row>
    <row r="498" spans="15:20" ht="15.75" customHeight="1" x14ac:dyDescent="0.3">
      <c r="O498" s="21"/>
      <c r="P498" s="22"/>
      <c r="Q498" s="21"/>
      <c r="R498" s="21"/>
      <c r="S498" s="23"/>
      <c r="T498" s="22"/>
    </row>
    <row r="499" spans="15:20" ht="15.75" customHeight="1" x14ac:dyDescent="0.3">
      <c r="O499" s="21"/>
      <c r="P499" s="22"/>
      <c r="Q499" s="21"/>
      <c r="R499" s="21"/>
      <c r="S499" s="23"/>
      <c r="T499" s="22"/>
    </row>
    <row r="500" spans="15:20" ht="15.75" customHeight="1" x14ac:dyDescent="0.3">
      <c r="O500" s="21"/>
      <c r="P500" s="22"/>
      <c r="Q500" s="21"/>
      <c r="R500" s="21"/>
      <c r="S500" s="23"/>
      <c r="T500" s="22"/>
    </row>
    <row r="501" spans="15:20" ht="15.75" customHeight="1" x14ac:dyDescent="0.3">
      <c r="O501" s="21"/>
      <c r="P501" s="22"/>
      <c r="Q501" s="21"/>
      <c r="R501" s="21"/>
      <c r="S501" s="23"/>
      <c r="T501" s="22"/>
    </row>
    <row r="502" spans="15:20" ht="15.75" customHeight="1" x14ac:dyDescent="0.3">
      <c r="O502" s="21"/>
      <c r="P502" s="22"/>
      <c r="Q502" s="21"/>
      <c r="R502" s="21"/>
      <c r="S502" s="23"/>
      <c r="T502" s="22"/>
    </row>
    <row r="503" spans="15:20" ht="15.75" customHeight="1" x14ac:dyDescent="0.3">
      <c r="O503" s="21"/>
      <c r="P503" s="22"/>
      <c r="Q503" s="21"/>
      <c r="R503" s="21"/>
      <c r="S503" s="23"/>
      <c r="T503" s="22"/>
    </row>
    <row r="504" spans="15:20" ht="15.75" customHeight="1" x14ac:dyDescent="0.3">
      <c r="O504" s="21"/>
      <c r="P504" s="22"/>
      <c r="Q504" s="21"/>
      <c r="R504" s="21"/>
      <c r="S504" s="23"/>
      <c r="T504" s="22"/>
    </row>
    <row r="505" spans="15:20" ht="15.75" customHeight="1" x14ac:dyDescent="0.3">
      <c r="O505" s="21"/>
      <c r="P505" s="22"/>
      <c r="Q505" s="21"/>
      <c r="R505" s="21"/>
      <c r="S505" s="23"/>
      <c r="T505" s="22"/>
    </row>
    <row r="506" spans="15:20" ht="15.75" customHeight="1" x14ac:dyDescent="0.3">
      <c r="O506" s="21"/>
      <c r="P506" s="22"/>
      <c r="Q506" s="21"/>
      <c r="R506" s="21"/>
      <c r="S506" s="23"/>
      <c r="T506" s="22"/>
    </row>
    <row r="507" spans="15:20" ht="15.75" customHeight="1" x14ac:dyDescent="0.3">
      <c r="O507" s="21"/>
      <c r="P507" s="22"/>
      <c r="Q507" s="21"/>
      <c r="R507" s="21"/>
      <c r="S507" s="23"/>
      <c r="T507" s="22"/>
    </row>
    <row r="508" spans="15:20" ht="15.75" customHeight="1" x14ac:dyDescent="0.3">
      <c r="O508" s="21"/>
      <c r="P508" s="22"/>
      <c r="Q508" s="21"/>
      <c r="R508" s="21"/>
      <c r="S508" s="23"/>
      <c r="T508" s="22"/>
    </row>
    <row r="509" spans="15:20" ht="15.75" customHeight="1" x14ac:dyDescent="0.3">
      <c r="O509" s="21"/>
      <c r="P509" s="22"/>
      <c r="Q509" s="21"/>
      <c r="R509" s="21"/>
      <c r="S509" s="23"/>
      <c r="T509" s="22"/>
    </row>
    <row r="510" spans="15:20" ht="15.75" customHeight="1" x14ac:dyDescent="0.3">
      <c r="O510" s="21"/>
      <c r="P510" s="22"/>
      <c r="Q510" s="21"/>
      <c r="R510" s="21"/>
      <c r="S510" s="23"/>
      <c r="T510" s="22"/>
    </row>
    <row r="511" spans="15:20" ht="15.75" customHeight="1" x14ac:dyDescent="0.3">
      <c r="O511" s="21"/>
      <c r="P511" s="22"/>
      <c r="Q511" s="21"/>
      <c r="R511" s="21"/>
      <c r="S511" s="23"/>
      <c r="T511" s="22"/>
    </row>
    <row r="512" spans="15:20" ht="15.75" customHeight="1" x14ac:dyDescent="0.3">
      <c r="O512" s="21"/>
      <c r="P512" s="22"/>
      <c r="Q512" s="21"/>
      <c r="R512" s="21"/>
      <c r="S512" s="23"/>
      <c r="T512" s="22"/>
    </row>
    <row r="513" spans="15:20" ht="15.75" customHeight="1" x14ac:dyDescent="0.3">
      <c r="O513" s="21"/>
      <c r="P513" s="22"/>
      <c r="Q513" s="21"/>
      <c r="R513" s="21"/>
      <c r="S513" s="23"/>
      <c r="T513" s="22"/>
    </row>
    <row r="514" spans="15:20" ht="15.75" customHeight="1" x14ac:dyDescent="0.3">
      <c r="O514" s="21"/>
      <c r="P514" s="22"/>
      <c r="Q514" s="21"/>
      <c r="R514" s="21"/>
      <c r="S514" s="23"/>
      <c r="T514" s="22"/>
    </row>
    <row r="515" spans="15:20" ht="15.75" customHeight="1" x14ac:dyDescent="0.3">
      <c r="O515" s="21"/>
      <c r="P515" s="22"/>
      <c r="Q515" s="21"/>
      <c r="R515" s="21"/>
      <c r="S515" s="23"/>
      <c r="T515" s="22"/>
    </row>
    <row r="516" spans="15:20" ht="15.75" customHeight="1" x14ac:dyDescent="0.3">
      <c r="O516" s="21"/>
      <c r="P516" s="22"/>
      <c r="Q516" s="21"/>
      <c r="R516" s="21"/>
      <c r="S516" s="23"/>
      <c r="T516" s="22"/>
    </row>
    <row r="517" spans="15:20" ht="15.75" customHeight="1" x14ac:dyDescent="0.3">
      <c r="O517" s="21"/>
      <c r="P517" s="22"/>
      <c r="Q517" s="21"/>
      <c r="R517" s="21"/>
      <c r="S517" s="23"/>
      <c r="T517" s="22"/>
    </row>
    <row r="518" spans="15:20" ht="15.75" customHeight="1" x14ac:dyDescent="0.3">
      <c r="O518" s="21"/>
      <c r="P518" s="22"/>
      <c r="Q518" s="21"/>
      <c r="R518" s="21"/>
      <c r="S518" s="23"/>
      <c r="T518" s="22"/>
    </row>
    <row r="519" spans="15:20" ht="15.75" customHeight="1" x14ac:dyDescent="0.3">
      <c r="O519" s="21"/>
      <c r="P519" s="22"/>
      <c r="Q519" s="21"/>
      <c r="R519" s="21"/>
      <c r="S519" s="23"/>
      <c r="T519" s="22"/>
    </row>
    <row r="520" spans="15:20" ht="15.75" customHeight="1" x14ac:dyDescent="0.3">
      <c r="O520" s="21"/>
      <c r="P520" s="22"/>
      <c r="Q520" s="21"/>
      <c r="R520" s="21"/>
      <c r="S520" s="23"/>
      <c r="T520" s="22"/>
    </row>
    <row r="521" spans="15:20" ht="15.75" customHeight="1" x14ac:dyDescent="0.3">
      <c r="O521" s="21"/>
      <c r="P521" s="22"/>
      <c r="Q521" s="21"/>
      <c r="R521" s="21"/>
      <c r="S521" s="23"/>
      <c r="T521" s="22"/>
    </row>
    <row r="522" spans="15:20" ht="15.75" customHeight="1" x14ac:dyDescent="0.3">
      <c r="O522" s="21"/>
      <c r="P522" s="22"/>
      <c r="Q522" s="21"/>
      <c r="R522" s="21"/>
      <c r="S522" s="23"/>
      <c r="T522" s="22"/>
    </row>
    <row r="523" spans="15:20" ht="15.75" customHeight="1" x14ac:dyDescent="0.3">
      <c r="O523" s="21"/>
      <c r="P523" s="22"/>
      <c r="Q523" s="21"/>
      <c r="R523" s="21"/>
      <c r="S523" s="23"/>
      <c r="T523" s="22"/>
    </row>
    <row r="524" spans="15:20" ht="15.75" customHeight="1" x14ac:dyDescent="0.3">
      <c r="O524" s="21"/>
      <c r="P524" s="22"/>
      <c r="Q524" s="21"/>
      <c r="R524" s="21"/>
      <c r="S524" s="23"/>
      <c r="T524" s="22"/>
    </row>
    <row r="525" spans="15:20" ht="15.75" customHeight="1" x14ac:dyDescent="0.3">
      <c r="O525" s="21"/>
      <c r="P525" s="22"/>
      <c r="Q525" s="21"/>
      <c r="R525" s="21"/>
      <c r="S525" s="23"/>
      <c r="T525" s="22"/>
    </row>
    <row r="526" spans="15:20" ht="15.75" customHeight="1" x14ac:dyDescent="0.3">
      <c r="O526" s="21"/>
      <c r="P526" s="22"/>
      <c r="Q526" s="21"/>
      <c r="R526" s="21"/>
      <c r="S526" s="23"/>
      <c r="T526" s="22"/>
    </row>
    <row r="527" spans="15:20" ht="15.75" customHeight="1" x14ac:dyDescent="0.3">
      <c r="O527" s="21"/>
      <c r="P527" s="22"/>
      <c r="Q527" s="21"/>
      <c r="R527" s="21"/>
      <c r="S527" s="23"/>
      <c r="T527" s="22"/>
    </row>
    <row r="528" spans="15:20" ht="15.75" customHeight="1" x14ac:dyDescent="0.3">
      <c r="O528" s="21"/>
      <c r="P528" s="22"/>
      <c r="Q528" s="21"/>
      <c r="R528" s="21"/>
      <c r="S528" s="23"/>
      <c r="T528" s="22"/>
    </row>
    <row r="529" spans="15:20" ht="15.75" customHeight="1" x14ac:dyDescent="0.3">
      <c r="O529" s="21"/>
      <c r="P529" s="22"/>
      <c r="Q529" s="21"/>
      <c r="R529" s="21"/>
      <c r="S529" s="23"/>
      <c r="T529" s="22"/>
    </row>
    <row r="530" spans="15:20" ht="15.75" customHeight="1" x14ac:dyDescent="0.3">
      <c r="O530" s="21"/>
      <c r="P530" s="22"/>
      <c r="Q530" s="21"/>
      <c r="R530" s="21"/>
      <c r="S530" s="23"/>
      <c r="T530" s="22"/>
    </row>
    <row r="531" spans="15:20" ht="15.75" customHeight="1" x14ac:dyDescent="0.3">
      <c r="O531" s="21"/>
      <c r="P531" s="22"/>
      <c r="Q531" s="21"/>
      <c r="R531" s="21"/>
      <c r="S531" s="23"/>
      <c r="T531" s="22"/>
    </row>
    <row r="532" spans="15:20" ht="15.75" customHeight="1" x14ac:dyDescent="0.3">
      <c r="O532" s="21"/>
      <c r="P532" s="22"/>
      <c r="Q532" s="21"/>
      <c r="R532" s="21"/>
      <c r="S532" s="23"/>
      <c r="T532" s="22"/>
    </row>
    <row r="533" spans="15:20" ht="15.75" customHeight="1" x14ac:dyDescent="0.3">
      <c r="O533" s="21"/>
      <c r="P533" s="22"/>
      <c r="Q533" s="21"/>
      <c r="R533" s="21"/>
      <c r="S533" s="23"/>
      <c r="T533" s="22"/>
    </row>
    <row r="534" spans="15:20" ht="15.75" customHeight="1" x14ac:dyDescent="0.3">
      <c r="O534" s="21"/>
      <c r="P534" s="22"/>
      <c r="Q534" s="21"/>
      <c r="R534" s="21"/>
      <c r="S534" s="23"/>
      <c r="T534" s="22"/>
    </row>
    <row r="535" spans="15:20" ht="15.75" customHeight="1" x14ac:dyDescent="0.3">
      <c r="O535" s="21"/>
      <c r="P535" s="22"/>
      <c r="Q535" s="21"/>
      <c r="R535" s="21"/>
      <c r="S535" s="23"/>
      <c r="T535" s="22"/>
    </row>
    <row r="536" spans="15:20" ht="15.75" customHeight="1" x14ac:dyDescent="0.3">
      <c r="O536" s="21"/>
      <c r="P536" s="22"/>
      <c r="Q536" s="21"/>
      <c r="R536" s="21"/>
      <c r="S536" s="23"/>
      <c r="T536" s="22"/>
    </row>
    <row r="537" spans="15:20" ht="15.75" customHeight="1" x14ac:dyDescent="0.3">
      <c r="O537" s="21"/>
      <c r="P537" s="22"/>
      <c r="Q537" s="21"/>
      <c r="R537" s="21"/>
      <c r="S537" s="23"/>
      <c r="T537" s="22"/>
    </row>
    <row r="538" spans="15:20" ht="15.75" customHeight="1" x14ac:dyDescent="0.3">
      <c r="O538" s="21"/>
      <c r="P538" s="22"/>
      <c r="Q538" s="21"/>
      <c r="R538" s="21"/>
      <c r="S538" s="23"/>
      <c r="T538" s="22"/>
    </row>
    <row r="539" spans="15:20" ht="15.75" customHeight="1" x14ac:dyDescent="0.3">
      <c r="O539" s="21"/>
      <c r="P539" s="22"/>
      <c r="Q539" s="21"/>
      <c r="R539" s="21"/>
      <c r="S539" s="23"/>
      <c r="T539" s="22"/>
    </row>
    <row r="540" spans="15:20" ht="15.75" customHeight="1" x14ac:dyDescent="0.3">
      <c r="O540" s="21"/>
      <c r="P540" s="22"/>
      <c r="Q540" s="21"/>
      <c r="R540" s="21"/>
      <c r="S540" s="23"/>
      <c r="T540" s="22"/>
    </row>
    <row r="541" spans="15:20" ht="15.75" customHeight="1" x14ac:dyDescent="0.3">
      <c r="O541" s="21"/>
      <c r="P541" s="22"/>
      <c r="Q541" s="21"/>
      <c r="R541" s="21"/>
      <c r="S541" s="23"/>
      <c r="T541" s="22"/>
    </row>
    <row r="542" spans="15:20" ht="15.75" customHeight="1" x14ac:dyDescent="0.3">
      <c r="O542" s="21"/>
      <c r="P542" s="22"/>
      <c r="Q542" s="21"/>
      <c r="R542" s="21"/>
      <c r="S542" s="23"/>
      <c r="T542" s="22"/>
    </row>
    <row r="543" spans="15:20" ht="15.75" customHeight="1" x14ac:dyDescent="0.3">
      <c r="O543" s="21"/>
      <c r="P543" s="22"/>
      <c r="Q543" s="21"/>
      <c r="R543" s="21"/>
      <c r="S543" s="23"/>
      <c r="T543" s="22"/>
    </row>
    <row r="544" spans="15:20" ht="15.75" customHeight="1" x14ac:dyDescent="0.3">
      <c r="O544" s="21"/>
      <c r="P544" s="22"/>
      <c r="Q544" s="21"/>
      <c r="R544" s="21"/>
      <c r="S544" s="23"/>
      <c r="T544" s="22"/>
    </row>
    <row r="545" spans="15:20" ht="15.75" customHeight="1" x14ac:dyDescent="0.3">
      <c r="O545" s="21"/>
      <c r="P545" s="22"/>
      <c r="Q545" s="21"/>
      <c r="R545" s="21"/>
      <c r="S545" s="23"/>
      <c r="T545" s="22"/>
    </row>
    <row r="546" spans="15:20" ht="15.75" customHeight="1" x14ac:dyDescent="0.3">
      <c r="O546" s="21"/>
      <c r="P546" s="22"/>
      <c r="Q546" s="21"/>
      <c r="R546" s="21"/>
      <c r="S546" s="23"/>
      <c r="T546" s="22"/>
    </row>
    <row r="547" spans="15:20" ht="15.75" customHeight="1" x14ac:dyDescent="0.3">
      <c r="O547" s="21"/>
      <c r="P547" s="22"/>
      <c r="Q547" s="21"/>
      <c r="R547" s="21"/>
      <c r="S547" s="23"/>
      <c r="T547" s="22"/>
    </row>
    <row r="548" spans="15:20" ht="15.75" customHeight="1" x14ac:dyDescent="0.3">
      <c r="O548" s="21"/>
      <c r="P548" s="22"/>
      <c r="Q548" s="21"/>
      <c r="R548" s="21"/>
      <c r="S548" s="23"/>
      <c r="T548" s="22"/>
    </row>
    <row r="549" spans="15:20" ht="15.75" customHeight="1" x14ac:dyDescent="0.3">
      <c r="O549" s="21"/>
      <c r="P549" s="22"/>
      <c r="Q549" s="21"/>
      <c r="R549" s="21"/>
      <c r="S549" s="23"/>
      <c r="T549" s="22"/>
    </row>
    <row r="550" spans="15:20" ht="15.75" customHeight="1" x14ac:dyDescent="0.3">
      <c r="O550" s="21"/>
      <c r="P550" s="22"/>
      <c r="Q550" s="21"/>
      <c r="R550" s="21"/>
      <c r="S550" s="23"/>
      <c r="T550" s="22"/>
    </row>
    <row r="551" spans="15:20" ht="15.75" customHeight="1" x14ac:dyDescent="0.3">
      <c r="O551" s="21"/>
      <c r="P551" s="22"/>
      <c r="Q551" s="21"/>
      <c r="R551" s="21"/>
      <c r="S551" s="23"/>
      <c r="T551" s="22"/>
    </row>
    <row r="552" spans="15:20" ht="15.75" customHeight="1" x14ac:dyDescent="0.3">
      <c r="O552" s="21"/>
      <c r="P552" s="22"/>
      <c r="Q552" s="21"/>
      <c r="R552" s="21"/>
      <c r="S552" s="23"/>
      <c r="T552" s="22"/>
    </row>
    <row r="553" spans="15:20" ht="15.75" customHeight="1" x14ac:dyDescent="0.3">
      <c r="O553" s="21"/>
      <c r="P553" s="22"/>
      <c r="Q553" s="21"/>
      <c r="R553" s="21"/>
      <c r="S553" s="23"/>
      <c r="T553" s="22"/>
    </row>
    <row r="554" spans="15:20" ht="15.75" customHeight="1" x14ac:dyDescent="0.3">
      <c r="O554" s="21"/>
      <c r="P554" s="22"/>
      <c r="Q554" s="21"/>
      <c r="R554" s="21"/>
      <c r="S554" s="23"/>
      <c r="T554" s="22"/>
    </row>
    <row r="555" spans="15:20" ht="15.75" customHeight="1" x14ac:dyDescent="0.3">
      <c r="O555" s="21"/>
      <c r="P555" s="22"/>
      <c r="Q555" s="21"/>
      <c r="R555" s="21"/>
      <c r="S555" s="23"/>
      <c r="T555" s="22"/>
    </row>
    <row r="556" spans="15:20" ht="15.75" customHeight="1" x14ac:dyDescent="0.3">
      <c r="O556" s="21"/>
      <c r="P556" s="22"/>
      <c r="Q556" s="21"/>
      <c r="R556" s="21"/>
      <c r="S556" s="23"/>
      <c r="T556" s="22"/>
    </row>
    <row r="557" spans="15:20" ht="15.75" customHeight="1" x14ac:dyDescent="0.3">
      <c r="O557" s="21"/>
      <c r="P557" s="22"/>
      <c r="Q557" s="21"/>
      <c r="R557" s="21"/>
      <c r="S557" s="23"/>
      <c r="T557" s="22"/>
    </row>
    <row r="558" spans="15:20" ht="15.75" customHeight="1" x14ac:dyDescent="0.3">
      <c r="O558" s="21"/>
      <c r="P558" s="22"/>
      <c r="Q558" s="21"/>
      <c r="R558" s="21"/>
      <c r="S558" s="23"/>
      <c r="T558" s="22"/>
    </row>
    <row r="559" spans="15:20" ht="15.75" customHeight="1" x14ac:dyDescent="0.3">
      <c r="O559" s="21"/>
      <c r="P559" s="22"/>
      <c r="Q559" s="21"/>
      <c r="R559" s="21"/>
      <c r="S559" s="23"/>
      <c r="T559" s="22"/>
    </row>
    <row r="560" spans="15:20" ht="15.75" customHeight="1" x14ac:dyDescent="0.3">
      <c r="O560" s="21"/>
      <c r="P560" s="22"/>
      <c r="Q560" s="21"/>
      <c r="R560" s="21"/>
      <c r="S560" s="23"/>
      <c r="T560" s="22"/>
    </row>
    <row r="561" spans="15:20" ht="15.75" customHeight="1" x14ac:dyDescent="0.3">
      <c r="O561" s="21"/>
      <c r="P561" s="22"/>
      <c r="Q561" s="21"/>
      <c r="R561" s="21"/>
      <c r="S561" s="23"/>
      <c r="T561" s="22"/>
    </row>
    <row r="562" spans="15:20" ht="15.75" customHeight="1" x14ac:dyDescent="0.3">
      <c r="O562" s="21"/>
      <c r="P562" s="22"/>
      <c r="Q562" s="21"/>
      <c r="R562" s="21"/>
      <c r="S562" s="23"/>
      <c r="T562" s="22"/>
    </row>
    <row r="563" spans="15:20" ht="15.75" customHeight="1" x14ac:dyDescent="0.3">
      <c r="O563" s="21"/>
      <c r="P563" s="22"/>
      <c r="Q563" s="21"/>
      <c r="R563" s="21"/>
      <c r="S563" s="23"/>
      <c r="T563" s="22"/>
    </row>
    <row r="564" spans="15:20" ht="15.75" customHeight="1" x14ac:dyDescent="0.3">
      <c r="O564" s="21"/>
      <c r="P564" s="22"/>
      <c r="Q564" s="21"/>
      <c r="R564" s="21"/>
      <c r="S564" s="23"/>
      <c r="T564" s="22"/>
    </row>
    <row r="565" spans="15:20" ht="15.75" customHeight="1" x14ac:dyDescent="0.3">
      <c r="O565" s="21"/>
      <c r="P565" s="22"/>
      <c r="Q565" s="21"/>
      <c r="R565" s="21"/>
      <c r="S565" s="23"/>
      <c r="T565" s="22"/>
    </row>
    <row r="566" spans="15:20" ht="15.75" customHeight="1" x14ac:dyDescent="0.3">
      <c r="O566" s="21"/>
      <c r="P566" s="22"/>
      <c r="Q566" s="21"/>
      <c r="R566" s="21"/>
      <c r="S566" s="23"/>
      <c r="T566" s="22"/>
    </row>
    <row r="567" spans="15:20" ht="15.75" customHeight="1" x14ac:dyDescent="0.3">
      <c r="O567" s="21"/>
      <c r="P567" s="22"/>
      <c r="Q567" s="21"/>
      <c r="R567" s="21"/>
      <c r="S567" s="23"/>
      <c r="T567" s="22"/>
    </row>
    <row r="568" spans="15:20" ht="15.75" customHeight="1" x14ac:dyDescent="0.3">
      <c r="O568" s="21"/>
      <c r="P568" s="22"/>
      <c r="Q568" s="21"/>
      <c r="R568" s="21"/>
      <c r="S568" s="23"/>
      <c r="T568" s="22"/>
    </row>
    <row r="569" spans="15:20" ht="15.75" customHeight="1" x14ac:dyDescent="0.3">
      <c r="O569" s="21"/>
      <c r="P569" s="22"/>
      <c r="Q569" s="21"/>
      <c r="R569" s="21"/>
      <c r="S569" s="23"/>
      <c r="T569" s="22"/>
    </row>
    <row r="570" spans="15:20" ht="15.75" customHeight="1" x14ac:dyDescent="0.3">
      <c r="O570" s="21"/>
      <c r="P570" s="22"/>
      <c r="Q570" s="21"/>
      <c r="R570" s="21"/>
      <c r="S570" s="23"/>
      <c r="T570" s="22"/>
    </row>
    <row r="571" spans="15:20" ht="15.75" customHeight="1" x14ac:dyDescent="0.3">
      <c r="O571" s="21"/>
      <c r="P571" s="22"/>
      <c r="Q571" s="21"/>
      <c r="R571" s="21"/>
      <c r="S571" s="23"/>
      <c r="T571" s="22"/>
    </row>
    <row r="572" spans="15:20" ht="15.75" customHeight="1" x14ac:dyDescent="0.3">
      <c r="O572" s="21"/>
      <c r="P572" s="22"/>
      <c r="Q572" s="21"/>
      <c r="R572" s="21"/>
      <c r="S572" s="23"/>
      <c r="T572" s="22"/>
    </row>
    <row r="573" spans="15:20" ht="15.75" customHeight="1" x14ac:dyDescent="0.3">
      <c r="O573" s="21"/>
      <c r="P573" s="22"/>
      <c r="Q573" s="21"/>
      <c r="R573" s="21"/>
      <c r="S573" s="23"/>
      <c r="T573" s="22"/>
    </row>
    <row r="574" spans="15:20" ht="15.75" customHeight="1" x14ac:dyDescent="0.3">
      <c r="O574" s="21"/>
      <c r="P574" s="22"/>
      <c r="Q574" s="21"/>
      <c r="R574" s="21"/>
      <c r="S574" s="23"/>
      <c r="T574" s="22"/>
    </row>
    <row r="575" spans="15:20" ht="15.75" customHeight="1" x14ac:dyDescent="0.3">
      <c r="O575" s="21"/>
      <c r="P575" s="22"/>
      <c r="Q575" s="21"/>
      <c r="R575" s="21"/>
      <c r="S575" s="23"/>
      <c r="T575" s="22"/>
    </row>
    <row r="576" spans="15:20" ht="15.75" customHeight="1" x14ac:dyDescent="0.3">
      <c r="O576" s="21"/>
      <c r="P576" s="22"/>
      <c r="Q576" s="21"/>
      <c r="R576" s="21"/>
      <c r="S576" s="23"/>
      <c r="T576" s="22"/>
    </row>
    <row r="577" spans="15:20" ht="15.75" customHeight="1" x14ac:dyDescent="0.3">
      <c r="O577" s="21"/>
      <c r="P577" s="22"/>
      <c r="Q577" s="21"/>
      <c r="R577" s="21"/>
      <c r="S577" s="23"/>
      <c r="T577" s="22"/>
    </row>
    <row r="578" spans="15:20" ht="15.75" customHeight="1" x14ac:dyDescent="0.3">
      <c r="O578" s="21"/>
      <c r="P578" s="22"/>
      <c r="Q578" s="21"/>
      <c r="R578" s="21"/>
      <c r="S578" s="23"/>
      <c r="T578" s="22"/>
    </row>
    <row r="579" spans="15:20" ht="15.75" customHeight="1" x14ac:dyDescent="0.3">
      <c r="O579" s="21"/>
      <c r="P579" s="22"/>
      <c r="Q579" s="21"/>
      <c r="R579" s="21"/>
      <c r="S579" s="23"/>
      <c r="T579" s="22"/>
    </row>
    <row r="580" spans="15:20" ht="15.75" customHeight="1" x14ac:dyDescent="0.3">
      <c r="O580" s="21"/>
      <c r="P580" s="22"/>
      <c r="Q580" s="21"/>
      <c r="R580" s="21"/>
      <c r="S580" s="23"/>
      <c r="T580" s="22"/>
    </row>
    <row r="581" spans="15:20" ht="15.75" customHeight="1" x14ac:dyDescent="0.3">
      <c r="O581" s="21"/>
      <c r="P581" s="22"/>
      <c r="Q581" s="21"/>
      <c r="R581" s="21"/>
      <c r="S581" s="23"/>
      <c r="T581" s="22"/>
    </row>
    <row r="582" spans="15:20" ht="15.75" customHeight="1" x14ac:dyDescent="0.3">
      <c r="O582" s="21"/>
      <c r="P582" s="22"/>
      <c r="Q582" s="21"/>
      <c r="R582" s="21"/>
      <c r="S582" s="23"/>
      <c r="T582" s="22"/>
    </row>
    <row r="583" spans="15:20" ht="15.75" customHeight="1" x14ac:dyDescent="0.3">
      <c r="O583" s="21"/>
      <c r="P583" s="22"/>
      <c r="Q583" s="21"/>
      <c r="R583" s="21"/>
      <c r="S583" s="23"/>
      <c r="T583" s="22"/>
    </row>
    <row r="584" spans="15:20" ht="15.75" customHeight="1" x14ac:dyDescent="0.3">
      <c r="O584" s="21"/>
      <c r="P584" s="22"/>
      <c r="Q584" s="21"/>
      <c r="R584" s="21"/>
      <c r="S584" s="23"/>
      <c r="T584" s="22"/>
    </row>
    <row r="585" spans="15:20" ht="15.75" customHeight="1" x14ac:dyDescent="0.3">
      <c r="O585" s="21"/>
      <c r="P585" s="22"/>
      <c r="Q585" s="21"/>
      <c r="R585" s="21"/>
      <c r="S585" s="23"/>
      <c r="T585" s="22"/>
    </row>
    <row r="586" spans="15:20" ht="15.75" customHeight="1" x14ac:dyDescent="0.3">
      <c r="O586" s="21"/>
      <c r="P586" s="22"/>
      <c r="Q586" s="21"/>
      <c r="R586" s="21"/>
      <c r="S586" s="23"/>
      <c r="T586" s="22"/>
    </row>
    <row r="587" spans="15:20" ht="15.75" customHeight="1" x14ac:dyDescent="0.3">
      <c r="O587" s="21"/>
      <c r="P587" s="22"/>
      <c r="Q587" s="21"/>
      <c r="R587" s="21"/>
      <c r="S587" s="23"/>
      <c r="T587" s="22"/>
    </row>
    <row r="588" spans="15:20" ht="15.75" customHeight="1" x14ac:dyDescent="0.3">
      <c r="O588" s="21"/>
      <c r="P588" s="22"/>
      <c r="Q588" s="21"/>
      <c r="R588" s="21"/>
      <c r="S588" s="23"/>
      <c r="T588" s="22"/>
    </row>
    <row r="589" spans="15:20" ht="15.75" customHeight="1" x14ac:dyDescent="0.3">
      <c r="O589" s="21"/>
      <c r="P589" s="22"/>
      <c r="Q589" s="21"/>
      <c r="R589" s="21"/>
      <c r="S589" s="23"/>
      <c r="T589" s="22"/>
    </row>
    <row r="590" spans="15:20" ht="15.75" customHeight="1" x14ac:dyDescent="0.3">
      <c r="O590" s="21"/>
      <c r="P590" s="22"/>
      <c r="Q590" s="21"/>
      <c r="R590" s="21"/>
      <c r="S590" s="23"/>
      <c r="T590" s="22"/>
    </row>
    <row r="591" spans="15:20" ht="15.75" customHeight="1" x14ac:dyDescent="0.3">
      <c r="O591" s="21"/>
      <c r="P591" s="22"/>
      <c r="Q591" s="21"/>
      <c r="R591" s="21"/>
      <c r="S591" s="23"/>
      <c r="T591" s="22"/>
    </row>
    <row r="592" spans="15:20" ht="15.75" customHeight="1" x14ac:dyDescent="0.3">
      <c r="O592" s="21"/>
      <c r="P592" s="22"/>
      <c r="Q592" s="21"/>
      <c r="R592" s="21"/>
      <c r="S592" s="23"/>
      <c r="T592" s="22"/>
    </row>
    <row r="593" spans="15:20" ht="15.75" customHeight="1" x14ac:dyDescent="0.3">
      <c r="O593" s="21"/>
      <c r="P593" s="22"/>
      <c r="Q593" s="21"/>
      <c r="R593" s="21"/>
      <c r="S593" s="23"/>
      <c r="T593" s="22"/>
    </row>
    <row r="594" spans="15:20" ht="15.75" customHeight="1" x14ac:dyDescent="0.3">
      <c r="O594" s="21"/>
      <c r="P594" s="22"/>
      <c r="Q594" s="21"/>
      <c r="R594" s="21"/>
      <c r="S594" s="23"/>
      <c r="T594" s="22"/>
    </row>
    <row r="595" spans="15:20" ht="15.75" customHeight="1" x14ac:dyDescent="0.3">
      <c r="O595" s="21"/>
      <c r="P595" s="22"/>
      <c r="Q595" s="21"/>
      <c r="R595" s="21"/>
      <c r="S595" s="23"/>
      <c r="T595" s="22"/>
    </row>
    <row r="596" spans="15:20" ht="15.75" customHeight="1" x14ac:dyDescent="0.3">
      <c r="O596" s="21"/>
      <c r="P596" s="22"/>
      <c r="Q596" s="21"/>
      <c r="R596" s="21"/>
      <c r="S596" s="23"/>
      <c r="T596" s="22"/>
    </row>
    <row r="597" spans="15:20" ht="15.75" customHeight="1" x14ac:dyDescent="0.3">
      <c r="O597" s="21"/>
      <c r="P597" s="22"/>
      <c r="Q597" s="21"/>
      <c r="R597" s="21"/>
      <c r="S597" s="23"/>
      <c r="T597" s="22"/>
    </row>
    <row r="598" spans="15:20" ht="15.75" customHeight="1" x14ac:dyDescent="0.3">
      <c r="O598" s="21"/>
      <c r="P598" s="22"/>
      <c r="Q598" s="21"/>
      <c r="R598" s="21"/>
      <c r="S598" s="23"/>
      <c r="T598" s="22"/>
    </row>
    <row r="599" spans="15:20" ht="15.75" customHeight="1" x14ac:dyDescent="0.3">
      <c r="O599" s="21"/>
      <c r="P599" s="22"/>
      <c r="Q599" s="21"/>
      <c r="R599" s="21"/>
      <c r="S599" s="23"/>
      <c r="T599" s="22"/>
    </row>
    <row r="600" spans="15:20" ht="15.75" customHeight="1" x14ac:dyDescent="0.3">
      <c r="O600" s="21"/>
      <c r="P600" s="22"/>
      <c r="Q600" s="21"/>
      <c r="R600" s="21"/>
      <c r="S600" s="23"/>
      <c r="T600" s="22"/>
    </row>
    <row r="601" spans="15:20" ht="15.75" customHeight="1" x14ac:dyDescent="0.3">
      <c r="O601" s="21"/>
      <c r="P601" s="22"/>
      <c r="Q601" s="21"/>
      <c r="R601" s="21"/>
      <c r="S601" s="23"/>
      <c r="T601" s="22"/>
    </row>
    <row r="602" spans="15:20" ht="15.75" customHeight="1" x14ac:dyDescent="0.3">
      <c r="O602" s="21"/>
      <c r="P602" s="22"/>
      <c r="Q602" s="21"/>
      <c r="R602" s="21"/>
      <c r="S602" s="23"/>
      <c r="T602" s="22"/>
    </row>
    <row r="603" spans="15:20" ht="15.75" customHeight="1" x14ac:dyDescent="0.3">
      <c r="O603" s="21"/>
      <c r="P603" s="22"/>
      <c r="Q603" s="21"/>
      <c r="R603" s="21"/>
      <c r="S603" s="23"/>
      <c r="T603" s="22"/>
    </row>
    <row r="604" spans="15:20" ht="15.75" customHeight="1" x14ac:dyDescent="0.3">
      <c r="O604" s="21"/>
      <c r="P604" s="22"/>
      <c r="Q604" s="21"/>
      <c r="R604" s="21"/>
      <c r="S604" s="23"/>
      <c r="T604" s="22"/>
    </row>
    <row r="605" spans="15:20" ht="15.75" customHeight="1" x14ac:dyDescent="0.3">
      <c r="O605" s="21"/>
      <c r="P605" s="22"/>
      <c r="Q605" s="21"/>
      <c r="R605" s="21"/>
      <c r="S605" s="23"/>
      <c r="T605" s="22"/>
    </row>
    <row r="606" spans="15:20" ht="15.75" customHeight="1" x14ac:dyDescent="0.3">
      <c r="O606" s="21"/>
      <c r="P606" s="22"/>
      <c r="Q606" s="21"/>
      <c r="R606" s="21"/>
      <c r="S606" s="23"/>
      <c r="T606" s="22"/>
    </row>
    <row r="607" spans="15:20" ht="15.75" customHeight="1" x14ac:dyDescent="0.3">
      <c r="O607" s="21"/>
      <c r="P607" s="22"/>
      <c r="Q607" s="21"/>
      <c r="R607" s="21"/>
      <c r="S607" s="23"/>
      <c r="T607" s="22"/>
    </row>
    <row r="608" spans="15:20" ht="15.75" customHeight="1" x14ac:dyDescent="0.3">
      <c r="O608" s="21"/>
      <c r="P608" s="22"/>
      <c r="Q608" s="21"/>
      <c r="R608" s="21"/>
      <c r="S608" s="23"/>
      <c r="T608" s="22"/>
    </row>
    <row r="609" spans="15:20" ht="15.75" customHeight="1" x14ac:dyDescent="0.3">
      <c r="O609" s="21"/>
      <c r="P609" s="22"/>
      <c r="Q609" s="21"/>
      <c r="R609" s="21"/>
      <c r="S609" s="23"/>
      <c r="T609" s="22"/>
    </row>
    <row r="610" spans="15:20" ht="15.75" customHeight="1" x14ac:dyDescent="0.3">
      <c r="O610" s="21"/>
      <c r="P610" s="22"/>
      <c r="Q610" s="21"/>
      <c r="R610" s="21"/>
      <c r="S610" s="23"/>
      <c r="T610" s="22"/>
    </row>
    <row r="611" spans="15:20" ht="15.75" customHeight="1" x14ac:dyDescent="0.3">
      <c r="O611" s="21"/>
      <c r="P611" s="22"/>
      <c r="Q611" s="21"/>
      <c r="R611" s="21"/>
      <c r="S611" s="23"/>
      <c r="T611" s="22"/>
    </row>
    <row r="612" spans="15:20" ht="15.75" customHeight="1" x14ac:dyDescent="0.3">
      <c r="O612" s="21"/>
      <c r="P612" s="22"/>
      <c r="Q612" s="21"/>
      <c r="R612" s="21"/>
      <c r="S612" s="23"/>
      <c r="T612" s="22"/>
    </row>
    <row r="613" spans="15:20" ht="15.75" customHeight="1" x14ac:dyDescent="0.3">
      <c r="O613" s="21"/>
      <c r="P613" s="22"/>
      <c r="Q613" s="21"/>
      <c r="R613" s="21"/>
      <c r="S613" s="23"/>
      <c r="T613" s="22"/>
    </row>
    <row r="614" spans="15:20" ht="15.75" customHeight="1" x14ac:dyDescent="0.3">
      <c r="O614" s="21"/>
      <c r="P614" s="22"/>
      <c r="Q614" s="21"/>
      <c r="R614" s="21"/>
      <c r="S614" s="23"/>
      <c r="T614" s="22"/>
    </row>
    <row r="615" spans="15:20" ht="15.75" customHeight="1" x14ac:dyDescent="0.3">
      <c r="O615" s="21"/>
      <c r="P615" s="22"/>
      <c r="Q615" s="21"/>
      <c r="R615" s="21"/>
      <c r="S615" s="23"/>
      <c r="T615" s="22"/>
    </row>
    <row r="616" spans="15:20" ht="15.75" customHeight="1" x14ac:dyDescent="0.3">
      <c r="O616" s="21"/>
      <c r="P616" s="22"/>
      <c r="Q616" s="21"/>
      <c r="R616" s="21"/>
      <c r="S616" s="23"/>
      <c r="T616" s="22"/>
    </row>
    <row r="617" spans="15:20" ht="15.75" customHeight="1" x14ac:dyDescent="0.3">
      <c r="O617" s="21"/>
      <c r="P617" s="22"/>
      <c r="Q617" s="21"/>
      <c r="R617" s="21"/>
      <c r="S617" s="23"/>
      <c r="T617" s="22"/>
    </row>
    <row r="618" spans="15:20" ht="15.75" customHeight="1" x14ac:dyDescent="0.3">
      <c r="O618" s="21"/>
      <c r="P618" s="22"/>
      <c r="Q618" s="21"/>
      <c r="R618" s="21"/>
      <c r="S618" s="23"/>
      <c r="T618" s="22"/>
    </row>
    <row r="619" spans="15:20" ht="15.75" customHeight="1" x14ac:dyDescent="0.3">
      <c r="O619" s="21"/>
      <c r="P619" s="22"/>
      <c r="Q619" s="21"/>
      <c r="R619" s="21"/>
      <c r="S619" s="23"/>
      <c r="T619" s="22"/>
    </row>
    <row r="620" spans="15:20" ht="15.75" customHeight="1" x14ac:dyDescent="0.3">
      <c r="O620" s="21"/>
      <c r="P620" s="22"/>
      <c r="Q620" s="21"/>
      <c r="R620" s="21"/>
      <c r="S620" s="23"/>
      <c r="T620" s="22"/>
    </row>
    <row r="621" spans="15:20" ht="15.75" customHeight="1" x14ac:dyDescent="0.3">
      <c r="O621" s="21"/>
      <c r="P621" s="22"/>
      <c r="Q621" s="21"/>
      <c r="R621" s="21"/>
      <c r="S621" s="23"/>
      <c r="T621" s="22"/>
    </row>
    <row r="622" spans="15:20" ht="15.75" customHeight="1" x14ac:dyDescent="0.3">
      <c r="O622" s="21"/>
      <c r="P622" s="22"/>
      <c r="Q622" s="21"/>
      <c r="R622" s="21"/>
      <c r="S622" s="23"/>
      <c r="T622" s="22"/>
    </row>
    <row r="623" spans="15:20" ht="15.75" customHeight="1" x14ac:dyDescent="0.3">
      <c r="O623" s="21"/>
      <c r="P623" s="22"/>
      <c r="Q623" s="21"/>
      <c r="R623" s="21"/>
      <c r="S623" s="23"/>
      <c r="T623" s="22"/>
    </row>
    <row r="624" spans="15:20" ht="15.75" customHeight="1" x14ac:dyDescent="0.3">
      <c r="O624" s="21"/>
      <c r="P624" s="22"/>
      <c r="Q624" s="21"/>
      <c r="R624" s="21"/>
      <c r="S624" s="23"/>
      <c r="T624" s="22"/>
    </row>
    <row r="625" spans="15:20" ht="15.75" customHeight="1" x14ac:dyDescent="0.3">
      <c r="O625" s="21"/>
      <c r="P625" s="22"/>
      <c r="Q625" s="21"/>
      <c r="R625" s="21"/>
      <c r="S625" s="23"/>
      <c r="T625" s="22"/>
    </row>
    <row r="626" spans="15:20" ht="15.75" customHeight="1" x14ac:dyDescent="0.3">
      <c r="O626" s="21"/>
      <c r="P626" s="22"/>
      <c r="Q626" s="21"/>
      <c r="R626" s="21"/>
      <c r="S626" s="23"/>
      <c r="T626" s="22"/>
    </row>
    <row r="627" spans="15:20" ht="15.75" customHeight="1" x14ac:dyDescent="0.3">
      <c r="O627" s="21"/>
      <c r="P627" s="22"/>
      <c r="Q627" s="21"/>
      <c r="R627" s="21"/>
      <c r="S627" s="23"/>
      <c r="T627" s="22"/>
    </row>
    <row r="628" spans="15:20" ht="15.75" customHeight="1" x14ac:dyDescent="0.3">
      <c r="O628" s="21"/>
      <c r="P628" s="22"/>
      <c r="Q628" s="21"/>
      <c r="R628" s="21"/>
      <c r="S628" s="23"/>
      <c r="T628" s="22"/>
    </row>
    <row r="629" spans="15:20" ht="15.75" customHeight="1" x14ac:dyDescent="0.3">
      <c r="O629" s="21"/>
      <c r="P629" s="22"/>
      <c r="Q629" s="21"/>
      <c r="R629" s="21"/>
      <c r="S629" s="23"/>
      <c r="T629" s="22"/>
    </row>
    <row r="630" spans="15:20" ht="15.75" customHeight="1" x14ac:dyDescent="0.3">
      <c r="O630" s="21"/>
      <c r="P630" s="22"/>
      <c r="Q630" s="21"/>
      <c r="R630" s="21"/>
      <c r="S630" s="23"/>
      <c r="T630" s="22"/>
    </row>
    <row r="631" spans="15:20" ht="15.75" customHeight="1" x14ac:dyDescent="0.3">
      <c r="O631" s="21"/>
      <c r="P631" s="22"/>
      <c r="Q631" s="21"/>
      <c r="R631" s="21"/>
      <c r="S631" s="23"/>
      <c r="T631" s="22"/>
    </row>
    <row r="632" spans="15:20" ht="15.75" customHeight="1" x14ac:dyDescent="0.3">
      <c r="O632" s="21"/>
      <c r="P632" s="22"/>
      <c r="Q632" s="21"/>
      <c r="R632" s="21"/>
      <c r="S632" s="23"/>
      <c r="T632" s="22"/>
    </row>
    <row r="633" spans="15:20" ht="15.75" customHeight="1" x14ac:dyDescent="0.3">
      <c r="O633" s="21"/>
      <c r="P633" s="22"/>
      <c r="Q633" s="21"/>
      <c r="R633" s="21"/>
      <c r="S633" s="23"/>
      <c r="T633" s="22"/>
    </row>
    <row r="634" spans="15:20" ht="15.75" customHeight="1" x14ac:dyDescent="0.3">
      <c r="O634" s="21"/>
      <c r="P634" s="22"/>
      <c r="Q634" s="21"/>
      <c r="R634" s="21"/>
      <c r="S634" s="23"/>
      <c r="T634" s="22"/>
    </row>
    <row r="635" spans="15:20" ht="15.75" customHeight="1" x14ac:dyDescent="0.3">
      <c r="O635" s="21"/>
      <c r="P635" s="22"/>
      <c r="Q635" s="21"/>
      <c r="R635" s="21"/>
      <c r="S635" s="23"/>
      <c r="T635" s="22"/>
    </row>
    <row r="636" spans="15:20" ht="15.75" customHeight="1" x14ac:dyDescent="0.3">
      <c r="O636" s="21"/>
      <c r="P636" s="22"/>
      <c r="Q636" s="21"/>
      <c r="R636" s="21"/>
      <c r="S636" s="23"/>
      <c r="T636" s="22"/>
    </row>
    <row r="637" spans="15:20" ht="15.75" customHeight="1" x14ac:dyDescent="0.3">
      <c r="O637" s="21"/>
      <c r="P637" s="22"/>
      <c r="Q637" s="21"/>
      <c r="R637" s="21"/>
      <c r="S637" s="23"/>
      <c r="T637" s="22"/>
    </row>
    <row r="638" spans="15:20" ht="15.75" customHeight="1" x14ac:dyDescent="0.3">
      <c r="O638" s="21"/>
      <c r="P638" s="22"/>
      <c r="Q638" s="21"/>
      <c r="R638" s="21"/>
      <c r="S638" s="23"/>
      <c r="T638" s="22"/>
    </row>
    <row r="639" spans="15:20" ht="15.75" customHeight="1" x14ac:dyDescent="0.3">
      <c r="O639" s="21"/>
      <c r="P639" s="22"/>
      <c r="Q639" s="21"/>
      <c r="R639" s="21"/>
      <c r="S639" s="23"/>
      <c r="T639" s="22"/>
    </row>
    <row r="640" spans="15:20" ht="15.75" customHeight="1" x14ac:dyDescent="0.3">
      <c r="O640" s="21"/>
      <c r="P640" s="22"/>
      <c r="Q640" s="21"/>
      <c r="R640" s="21"/>
      <c r="S640" s="23"/>
      <c r="T640" s="22"/>
    </row>
    <row r="641" spans="15:20" ht="15.75" customHeight="1" x14ac:dyDescent="0.3">
      <c r="O641" s="21"/>
      <c r="P641" s="22"/>
      <c r="Q641" s="21"/>
      <c r="R641" s="21"/>
      <c r="S641" s="23"/>
      <c r="T641" s="22"/>
    </row>
    <row r="642" spans="15:20" ht="15.75" customHeight="1" x14ac:dyDescent="0.3">
      <c r="O642" s="21"/>
      <c r="P642" s="22"/>
      <c r="Q642" s="21"/>
      <c r="R642" s="21"/>
      <c r="S642" s="23"/>
      <c r="T642" s="22"/>
    </row>
    <row r="643" spans="15:20" ht="15.75" customHeight="1" x14ac:dyDescent="0.3">
      <c r="O643" s="21"/>
      <c r="P643" s="22"/>
      <c r="Q643" s="21"/>
      <c r="R643" s="21"/>
      <c r="S643" s="23"/>
      <c r="T643" s="22"/>
    </row>
    <row r="644" spans="15:20" ht="15.75" customHeight="1" x14ac:dyDescent="0.3">
      <c r="O644" s="21"/>
      <c r="P644" s="22"/>
      <c r="Q644" s="21"/>
      <c r="R644" s="21"/>
      <c r="S644" s="23"/>
      <c r="T644" s="22"/>
    </row>
    <row r="645" spans="15:20" ht="15.75" customHeight="1" x14ac:dyDescent="0.3">
      <c r="O645" s="21"/>
      <c r="P645" s="22"/>
      <c r="Q645" s="21"/>
      <c r="R645" s="21"/>
      <c r="S645" s="23"/>
      <c r="T645" s="22"/>
    </row>
    <row r="646" spans="15:20" ht="15.75" customHeight="1" x14ac:dyDescent="0.3">
      <c r="O646" s="21"/>
      <c r="P646" s="22"/>
      <c r="Q646" s="21"/>
      <c r="R646" s="21"/>
      <c r="S646" s="23"/>
      <c r="T646" s="22"/>
    </row>
    <row r="647" spans="15:20" ht="15.75" customHeight="1" x14ac:dyDescent="0.3">
      <c r="O647" s="21"/>
      <c r="P647" s="22"/>
      <c r="Q647" s="21"/>
      <c r="R647" s="21"/>
      <c r="S647" s="23"/>
      <c r="T647" s="22"/>
    </row>
    <row r="648" spans="15:20" ht="15.75" customHeight="1" x14ac:dyDescent="0.3">
      <c r="O648" s="21"/>
      <c r="P648" s="22"/>
      <c r="Q648" s="21"/>
      <c r="R648" s="21"/>
      <c r="S648" s="23"/>
      <c r="T648" s="22"/>
    </row>
    <row r="649" spans="15:20" ht="15.75" customHeight="1" x14ac:dyDescent="0.3">
      <c r="O649" s="21"/>
      <c r="P649" s="22"/>
      <c r="Q649" s="21"/>
      <c r="R649" s="21"/>
      <c r="S649" s="23"/>
      <c r="T649" s="22"/>
    </row>
    <row r="650" spans="15:20" ht="15.75" customHeight="1" x14ac:dyDescent="0.3">
      <c r="O650" s="21"/>
      <c r="P650" s="22"/>
      <c r="Q650" s="21"/>
      <c r="R650" s="21"/>
      <c r="S650" s="23"/>
      <c r="T650" s="22"/>
    </row>
    <row r="651" spans="15:20" ht="15.75" customHeight="1" x14ac:dyDescent="0.3">
      <c r="O651" s="21"/>
      <c r="P651" s="22"/>
      <c r="Q651" s="21"/>
      <c r="R651" s="21"/>
      <c r="S651" s="23"/>
      <c r="T651" s="22"/>
    </row>
    <row r="652" spans="15:20" ht="15.75" customHeight="1" x14ac:dyDescent="0.3">
      <c r="O652" s="21"/>
      <c r="P652" s="22"/>
      <c r="Q652" s="21"/>
      <c r="R652" s="21"/>
      <c r="S652" s="23"/>
      <c r="T652" s="22"/>
    </row>
    <row r="653" spans="15:20" ht="15.75" customHeight="1" x14ac:dyDescent="0.3">
      <c r="O653" s="21"/>
      <c r="P653" s="22"/>
      <c r="Q653" s="21"/>
      <c r="R653" s="21"/>
      <c r="S653" s="23"/>
      <c r="T653" s="22"/>
    </row>
    <row r="654" spans="15:20" ht="15.75" customHeight="1" x14ac:dyDescent="0.3">
      <c r="O654" s="21"/>
      <c r="P654" s="22"/>
      <c r="Q654" s="21"/>
      <c r="R654" s="21"/>
      <c r="S654" s="23"/>
      <c r="T654" s="22"/>
    </row>
    <row r="655" spans="15:20" ht="15.75" customHeight="1" x14ac:dyDescent="0.3">
      <c r="O655" s="21"/>
      <c r="P655" s="22"/>
      <c r="Q655" s="21"/>
      <c r="R655" s="21"/>
      <c r="S655" s="23"/>
      <c r="T655" s="22"/>
    </row>
    <row r="656" spans="15:20" ht="15.75" customHeight="1" x14ac:dyDescent="0.3">
      <c r="O656" s="21"/>
      <c r="P656" s="22"/>
      <c r="Q656" s="21"/>
      <c r="R656" s="21"/>
      <c r="S656" s="23"/>
      <c r="T656" s="22"/>
    </row>
    <row r="657" spans="15:20" ht="15.75" customHeight="1" x14ac:dyDescent="0.3">
      <c r="O657" s="21"/>
      <c r="P657" s="22"/>
      <c r="Q657" s="21"/>
      <c r="R657" s="21"/>
      <c r="S657" s="23"/>
      <c r="T657" s="22"/>
    </row>
    <row r="658" spans="15:20" ht="15.75" customHeight="1" x14ac:dyDescent="0.3">
      <c r="O658" s="21"/>
      <c r="P658" s="22"/>
      <c r="Q658" s="21"/>
      <c r="R658" s="21"/>
      <c r="S658" s="23"/>
      <c r="T658" s="22"/>
    </row>
    <row r="659" spans="15:20" ht="15.75" customHeight="1" x14ac:dyDescent="0.3">
      <c r="O659" s="21"/>
      <c r="P659" s="22"/>
      <c r="Q659" s="21"/>
      <c r="R659" s="21"/>
      <c r="S659" s="23"/>
      <c r="T659" s="22"/>
    </row>
    <row r="660" spans="15:20" ht="15.75" customHeight="1" x14ac:dyDescent="0.3">
      <c r="O660" s="21"/>
      <c r="P660" s="22"/>
      <c r="Q660" s="21"/>
      <c r="R660" s="21"/>
      <c r="S660" s="23"/>
      <c r="T660" s="22"/>
    </row>
    <row r="661" spans="15:20" ht="15.75" customHeight="1" x14ac:dyDescent="0.3">
      <c r="O661" s="21"/>
      <c r="P661" s="22"/>
      <c r="Q661" s="21"/>
      <c r="R661" s="21"/>
      <c r="S661" s="23"/>
      <c r="T661" s="22"/>
    </row>
    <row r="662" spans="15:20" ht="15.75" customHeight="1" x14ac:dyDescent="0.3">
      <c r="O662" s="21"/>
      <c r="P662" s="22"/>
      <c r="Q662" s="21"/>
      <c r="R662" s="21"/>
      <c r="S662" s="23"/>
      <c r="T662" s="22"/>
    </row>
    <row r="663" spans="15:20" ht="15.75" customHeight="1" x14ac:dyDescent="0.3">
      <c r="O663" s="21"/>
      <c r="P663" s="22"/>
      <c r="Q663" s="21"/>
      <c r="R663" s="21"/>
      <c r="S663" s="23"/>
      <c r="T663" s="22"/>
    </row>
    <row r="664" spans="15:20" ht="15.75" customHeight="1" x14ac:dyDescent="0.3">
      <c r="O664" s="21"/>
      <c r="P664" s="22"/>
      <c r="Q664" s="21"/>
      <c r="R664" s="21"/>
      <c r="S664" s="23"/>
      <c r="T664" s="22"/>
    </row>
    <row r="665" spans="15:20" ht="15.75" customHeight="1" x14ac:dyDescent="0.3">
      <c r="O665" s="21"/>
      <c r="P665" s="22"/>
      <c r="Q665" s="21"/>
      <c r="R665" s="21"/>
      <c r="S665" s="23"/>
      <c r="T665" s="22"/>
    </row>
    <row r="666" spans="15:20" ht="15.75" customHeight="1" x14ac:dyDescent="0.3">
      <c r="O666" s="21"/>
      <c r="P666" s="22"/>
      <c r="Q666" s="21"/>
      <c r="R666" s="21"/>
      <c r="S666" s="23"/>
      <c r="T666" s="22"/>
    </row>
    <row r="667" spans="15:20" ht="15.75" customHeight="1" x14ac:dyDescent="0.3">
      <c r="O667" s="21"/>
      <c r="P667" s="22"/>
      <c r="Q667" s="21"/>
      <c r="R667" s="21"/>
      <c r="S667" s="23"/>
      <c r="T667" s="22"/>
    </row>
    <row r="668" spans="15:20" ht="15.75" customHeight="1" x14ac:dyDescent="0.3">
      <c r="O668" s="21"/>
      <c r="P668" s="22"/>
      <c r="Q668" s="21"/>
      <c r="R668" s="21"/>
      <c r="S668" s="23"/>
      <c r="T668" s="22"/>
    </row>
    <row r="669" spans="15:20" ht="15.75" customHeight="1" x14ac:dyDescent="0.3">
      <c r="O669" s="21"/>
      <c r="P669" s="22"/>
      <c r="Q669" s="21"/>
      <c r="R669" s="21"/>
      <c r="S669" s="23"/>
      <c r="T669" s="22"/>
    </row>
    <row r="670" spans="15:20" ht="15.75" customHeight="1" x14ac:dyDescent="0.3">
      <c r="O670" s="21"/>
      <c r="P670" s="22"/>
      <c r="Q670" s="21"/>
      <c r="R670" s="21"/>
      <c r="S670" s="23"/>
      <c r="T670" s="22"/>
    </row>
    <row r="671" spans="15:20" ht="15.75" customHeight="1" x14ac:dyDescent="0.3">
      <c r="O671" s="21"/>
      <c r="P671" s="22"/>
      <c r="Q671" s="21"/>
      <c r="R671" s="21"/>
      <c r="S671" s="23"/>
      <c r="T671" s="22"/>
    </row>
    <row r="672" spans="15:20" ht="15.75" customHeight="1" x14ac:dyDescent="0.3">
      <c r="O672" s="21"/>
      <c r="P672" s="22"/>
      <c r="Q672" s="21"/>
      <c r="R672" s="21"/>
      <c r="S672" s="23"/>
      <c r="T672" s="22"/>
    </row>
    <row r="673" spans="15:20" ht="15.75" customHeight="1" x14ac:dyDescent="0.3">
      <c r="O673" s="21"/>
      <c r="P673" s="22"/>
      <c r="Q673" s="21"/>
      <c r="R673" s="21"/>
      <c r="S673" s="23"/>
      <c r="T673" s="22"/>
    </row>
    <row r="674" spans="15:20" ht="15.75" customHeight="1" x14ac:dyDescent="0.3">
      <c r="O674" s="21"/>
      <c r="P674" s="22"/>
      <c r="Q674" s="21"/>
      <c r="R674" s="21"/>
      <c r="S674" s="23"/>
      <c r="T674" s="22"/>
    </row>
    <row r="675" spans="15:20" ht="15.75" customHeight="1" x14ac:dyDescent="0.3">
      <c r="O675" s="21"/>
      <c r="P675" s="22"/>
      <c r="Q675" s="21"/>
      <c r="R675" s="21"/>
      <c r="S675" s="23"/>
      <c r="T675" s="22"/>
    </row>
    <row r="676" spans="15:20" ht="15.75" customHeight="1" x14ac:dyDescent="0.3">
      <c r="O676" s="21"/>
      <c r="P676" s="22"/>
      <c r="Q676" s="21"/>
      <c r="R676" s="21"/>
      <c r="S676" s="23"/>
      <c r="T676" s="22"/>
    </row>
    <row r="677" spans="15:20" ht="15.75" customHeight="1" x14ac:dyDescent="0.3">
      <c r="O677" s="21"/>
      <c r="P677" s="22"/>
      <c r="Q677" s="21"/>
      <c r="R677" s="21"/>
      <c r="S677" s="23"/>
      <c r="T677" s="22"/>
    </row>
    <row r="678" spans="15:20" ht="15.75" customHeight="1" x14ac:dyDescent="0.3">
      <c r="O678" s="21"/>
      <c r="P678" s="22"/>
      <c r="Q678" s="21"/>
      <c r="R678" s="21"/>
      <c r="S678" s="23"/>
      <c r="T678" s="22"/>
    </row>
    <row r="679" spans="15:20" ht="15.75" customHeight="1" x14ac:dyDescent="0.3">
      <c r="O679" s="21"/>
      <c r="P679" s="22"/>
      <c r="Q679" s="21"/>
      <c r="R679" s="21"/>
      <c r="S679" s="23"/>
      <c r="T679" s="22"/>
    </row>
    <row r="680" spans="15:20" ht="15.75" customHeight="1" x14ac:dyDescent="0.3">
      <c r="O680" s="21"/>
      <c r="P680" s="22"/>
      <c r="Q680" s="21"/>
      <c r="R680" s="21"/>
      <c r="S680" s="23"/>
      <c r="T680" s="22"/>
    </row>
    <row r="681" spans="15:20" ht="15.75" customHeight="1" x14ac:dyDescent="0.3">
      <c r="O681" s="21"/>
      <c r="P681" s="22"/>
      <c r="Q681" s="21"/>
      <c r="R681" s="21"/>
      <c r="S681" s="23"/>
      <c r="T681" s="22"/>
    </row>
    <row r="682" spans="15:20" ht="15.75" customHeight="1" x14ac:dyDescent="0.3">
      <c r="O682" s="21"/>
      <c r="P682" s="22"/>
      <c r="Q682" s="21"/>
      <c r="R682" s="21"/>
      <c r="S682" s="23"/>
      <c r="T682" s="22"/>
    </row>
    <row r="683" spans="15:20" ht="15.75" customHeight="1" x14ac:dyDescent="0.3">
      <c r="O683" s="21"/>
      <c r="P683" s="22"/>
      <c r="Q683" s="21"/>
      <c r="R683" s="21"/>
      <c r="S683" s="23"/>
      <c r="T683" s="22"/>
    </row>
    <row r="684" spans="15:20" ht="15.75" customHeight="1" x14ac:dyDescent="0.3">
      <c r="O684" s="21"/>
      <c r="P684" s="22"/>
      <c r="Q684" s="21"/>
      <c r="R684" s="21"/>
      <c r="S684" s="23"/>
      <c r="T684" s="22"/>
    </row>
    <row r="685" spans="15:20" ht="15.75" customHeight="1" x14ac:dyDescent="0.3">
      <c r="O685" s="21"/>
      <c r="P685" s="22"/>
      <c r="Q685" s="21"/>
      <c r="R685" s="21"/>
      <c r="S685" s="23"/>
      <c r="T685" s="22"/>
    </row>
    <row r="686" spans="15:20" ht="15.75" customHeight="1" x14ac:dyDescent="0.3">
      <c r="O686" s="21"/>
      <c r="P686" s="22"/>
      <c r="Q686" s="21"/>
      <c r="R686" s="21"/>
      <c r="S686" s="23"/>
      <c r="T686" s="22"/>
    </row>
    <row r="687" spans="15:20" ht="15.75" customHeight="1" x14ac:dyDescent="0.3">
      <c r="O687" s="21"/>
      <c r="P687" s="22"/>
      <c r="Q687" s="21"/>
      <c r="R687" s="21"/>
      <c r="S687" s="23"/>
      <c r="T687" s="22"/>
    </row>
    <row r="688" spans="15:20" ht="15.75" customHeight="1" x14ac:dyDescent="0.3">
      <c r="O688" s="21"/>
      <c r="P688" s="22"/>
      <c r="Q688" s="21"/>
      <c r="R688" s="21"/>
      <c r="S688" s="23"/>
      <c r="T688" s="22"/>
    </row>
    <row r="689" spans="15:20" ht="15.75" customHeight="1" x14ac:dyDescent="0.3">
      <c r="O689" s="21"/>
      <c r="P689" s="22"/>
      <c r="Q689" s="21"/>
      <c r="R689" s="21"/>
      <c r="S689" s="23"/>
      <c r="T689" s="22"/>
    </row>
    <row r="690" spans="15:20" ht="15.75" customHeight="1" x14ac:dyDescent="0.3">
      <c r="O690" s="21"/>
      <c r="P690" s="22"/>
      <c r="Q690" s="21"/>
      <c r="R690" s="21"/>
      <c r="S690" s="23"/>
      <c r="T690" s="22"/>
    </row>
    <row r="691" spans="15:20" ht="15.75" customHeight="1" x14ac:dyDescent="0.3">
      <c r="O691" s="21"/>
      <c r="P691" s="22"/>
      <c r="Q691" s="21"/>
      <c r="R691" s="21"/>
      <c r="S691" s="23"/>
      <c r="T691" s="22"/>
    </row>
    <row r="692" spans="15:20" ht="15.75" customHeight="1" x14ac:dyDescent="0.3">
      <c r="O692" s="21"/>
      <c r="P692" s="22"/>
      <c r="Q692" s="21"/>
      <c r="R692" s="21"/>
      <c r="S692" s="23"/>
      <c r="T692" s="22"/>
    </row>
    <row r="693" spans="15:20" ht="15.75" customHeight="1" x14ac:dyDescent="0.3">
      <c r="O693" s="21"/>
      <c r="P693" s="22"/>
      <c r="Q693" s="21"/>
      <c r="R693" s="21"/>
      <c r="S693" s="23"/>
      <c r="T693" s="22"/>
    </row>
    <row r="694" spans="15:20" ht="15.75" customHeight="1" x14ac:dyDescent="0.3">
      <c r="O694" s="21"/>
      <c r="P694" s="22"/>
      <c r="Q694" s="21"/>
      <c r="R694" s="21"/>
      <c r="S694" s="23"/>
      <c r="T694" s="22"/>
    </row>
    <row r="695" spans="15:20" ht="15.75" customHeight="1" x14ac:dyDescent="0.3">
      <c r="O695" s="21"/>
      <c r="P695" s="22"/>
      <c r="Q695" s="21"/>
      <c r="R695" s="21"/>
      <c r="S695" s="23"/>
      <c r="T695" s="22"/>
    </row>
    <row r="696" spans="15:20" ht="15.75" customHeight="1" x14ac:dyDescent="0.3">
      <c r="O696" s="21"/>
      <c r="P696" s="22"/>
      <c r="Q696" s="21"/>
      <c r="R696" s="21"/>
      <c r="S696" s="23"/>
      <c r="T696" s="22"/>
    </row>
    <row r="697" spans="15:20" ht="15.75" customHeight="1" x14ac:dyDescent="0.3">
      <c r="O697" s="21"/>
      <c r="P697" s="22"/>
      <c r="Q697" s="21"/>
      <c r="R697" s="21"/>
      <c r="S697" s="23"/>
      <c r="T697" s="22"/>
    </row>
    <row r="698" spans="15:20" ht="15.75" customHeight="1" x14ac:dyDescent="0.3">
      <c r="O698" s="21"/>
      <c r="P698" s="22"/>
      <c r="Q698" s="21"/>
      <c r="R698" s="21"/>
      <c r="S698" s="23"/>
      <c r="T698" s="22"/>
    </row>
    <row r="699" spans="15:20" ht="15.75" customHeight="1" x14ac:dyDescent="0.3">
      <c r="O699" s="21"/>
      <c r="P699" s="22"/>
      <c r="Q699" s="21"/>
      <c r="R699" s="21"/>
      <c r="S699" s="23"/>
      <c r="T699" s="22"/>
    </row>
    <row r="700" spans="15:20" ht="15.75" customHeight="1" x14ac:dyDescent="0.3">
      <c r="O700" s="21"/>
      <c r="P700" s="22"/>
      <c r="Q700" s="21"/>
      <c r="R700" s="21"/>
      <c r="S700" s="23"/>
      <c r="T700" s="22"/>
    </row>
    <row r="701" spans="15:20" ht="15.75" customHeight="1" x14ac:dyDescent="0.3">
      <c r="O701" s="21"/>
      <c r="P701" s="22"/>
      <c r="Q701" s="21"/>
      <c r="R701" s="21"/>
      <c r="S701" s="23"/>
      <c r="T701" s="22"/>
    </row>
    <row r="702" spans="15:20" ht="15.75" customHeight="1" x14ac:dyDescent="0.3">
      <c r="O702" s="21"/>
      <c r="P702" s="22"/>
      <c r="Q702" s="21"/>
      <c r="R702" s="21"/>
      <c r="S702" s="23"/>
      <c r="T702" s="22"/>
    </row>
    <row r="703" spans="15:20" ht="15.75" customHeight="1" x14ac:dyDescent="0.3">
      <c r="O703" s="21"/>
      <c r="P703" s="22"/>
      <c r="Q703" s="21"/>
      <c r="R703" s="21"/>
      <c r="S703" s="23"/>
      <c r="T703" s="22"/>
    </row>
    <row r="704" spans="15:20" ht="15.75" customHeight="1" x14ac:dyDescent="0.3">
      <c r="O704" s="21"/>
      <c r="P704" s="22"/>
      <c r="Q704" s="21"/>
      <c r="R704" s="21"/>
      <c r="S704" s="23"/>
      <c r="T704" s="22"/>
    </row>
    <row r="705" spans="15:20" ht="15.75" customHeight="1" x14ac:dyDescent="0.3">
      <c r="O705" s="21"/>
      <c r="P705" s="22"/>
      <c r="Q705" s="21"/>
      <c r="R705" s="21"/>
      <c r="S705" s="23"/>
      <c r="T705" s="22"/>
    </row>
    <row r="706" spans="15:20" ht="15.75" customHeight="1" x14ac:dyDescent="0.3">
      <c r="O706" s="21"/>
      <c r="P706" s="22"/>
      <c r="Q706" s="21"/>
      <c r="R706" s="21"/>
      <c r="S706" s="23"/>
      <c r="T706" s="22"/>
    </row>
    <row r="707" spans="15:20" ht="15.75" customHeight="1" x14ac:dyDescent="0.3">
      <c r="O707" s="21"/>
      <c r="P707" s="22"/>
      <c r="Q707" s="21"/>
      <c r="R707" s="21"/>
      <c r="S707" s="23"/>
      <c r="T707" s="22"/>
    </row>
    <row r="708" spans="15:20" ht="15.75" customHeight="1" x14ac:dyDescent="0.3">
      <c r="O708" s="21"/>
      <c r="P708" s="22"/>
      <c r="Q708" s="21"/>
      <c r="R708" s="21"/>
      <c r="S708" s="23"/>
      <c r="T708" s="22"/>
    </row>
    <row r="709" spans="15:20" ht="15.75" customHeight="1" x14ac:dyDescent="0.3">
      <c r="O709" s="21"/>
      <c r="P709" s="22"/>
      <c r="Q709" s="21"/>
      <c r="R709" s="21"/>
      <c r="S709" s="23"/>
      <c r="T709" s="22"/>
    </row>
    <row r="710" spans="15:20" ht="15.75" customHeight="1" x14ac:dyDescent="0.3">
      <c r="O710" s="21"/>
      <c r="P710" s="22"/>
      <c r="Q710" s="21"/>
      <c r="R710" s="21"/>
      <c r="S710" s="23"/>
      <c r="T710" s="22"/>
    </row>
    <row r="711" spans="15:20" ht="15.75" customHeight="1" x14ac:dyDescent="0.3">
      <c r="O711" s="21"/>
      <c r="P711" s="22"/>
      <c r="Q711" s="21"/>
      <c r="R711" s="21"/>
      <c r="S711" s="23"/>
      <c r="T711" s="22"/>
    </row>
    <row r="712" spans="15:20" ht="15.75" customHeight="1" x14ac:dyDescent="0.3">
      <c r="O712" s="21"/>
      <c r="P712" s="22"/>
      <c r="Q712" s="21"/>
      <c r="R712" s="21"/>
      <c r="S712" s="23"/>
      <c r="T712" s="22"/>
    </row>
    <row r="713" spans="15:20" ht="15.75" customHeight="1" x14ac:dyDescent="0.3">
      <c r="O713" s="21"/>
      <c r="P713" s="22"/>
      <c r="Q713" s="21"/>
      <c r="R713" s="21"/>
      <c r="S713" s="23"/>
      <c r="T713" s="22"/>
    </row>
    <row r="714" spans="15:20" ht="15.75" customHeight="1" x14ac:dyDescent="0.3">
      <c r="O714" s="21"/>
      <c r="P714" s="22"/>
      <c r="Q714" s="21"/>
      <c r="R714" s="21"/>
      <c r="S714" s="23"/>
      <c r="T714" s="22"/>
    </row>
    <row r="715" spans="15:20" ht="15.75" customHeight="1" x14ac:dyDescent="0.3">
      <c r="O715" s="21"/>
      <c r="P715" s="22"/>
      <c r="Q715" s="21"/>
      <c r="R715" s="21"/>
      <c r="S715" s="23"/>
      <c r="T715" s="22"/>
    </row>
    <row r="716" spans="15:20" ht="15.75" customHeight="1" x14ac:dyDescent="0.3">
      <c r="O716" s="21"/>
      <c r="P716" s="22"/>
      <c r="Q716" s="21"/>
      <c r="R716" s="21"/>
      <c r="S716" s="23"/>
      <c r="T716" s="22"/>
    </row>
    <row r="717" spans="15:20" ht="15.75" customHeight="1" x14ac:dyDescent="0.3">
      <c r="O717" s="21"/>
      <c r="P717" s="22"/>
      <c r="Q717" s="21"/>
      <c r="R717" s="21"/>
      <c r="S717" s="23"/>
      <c r="T717" s="22"/>
    </row>
    <row r="718" spans="15:20" ht="15.75" customHeight="1" x14ac:dyDescent="0.3">
      <c r="O718" s="21"/>
      <c r="P718" s="22"/>
      <c r="Q718" s="21"/>
      <c r="R718" s="21"/>
      <c r="S718" s="23"/>
      <c r="T718" s="22"/>
    </row>
    <row r="719" spans="15:20" ht="15.75" customHeight="1" x14ac:dyDescent="0.3">
      <c r="O719" s="21"/>
      <c r="P719" s="22"/>
      <c r="Q719" s="21"/>
      <c r="R719" s="21"/>
      <c r="S719" s="23"/>
      <c r="T719" s="22"/>
    </row>
    <row r="720" spans="15:20" ht="15.75" customHeight="1" x14ac:dyDescent="0.3">
      <c r="O720" s="21"/>
      <c r="P720" s="22"/>
      <c r="Q720" s="21"/>
      <c r="R720" s="21"/>
      <c r="S720" s="23"/>
      <c r="T720" s="22"/>
    </row>
    <row r="721" spans="15:20" ht="15.75" customHeight="1" x14ac:dyDescent="0.3">
      <c r="O721" s="21"/>
      <c r="P721" s="22"/>
      <c r="Q721" s="21"/>
      <c r="R721" s="21"/>
      <c r="S721" s="23"/>
      <c r="T721" s="22"/>
    </row>
    <row r="722" spans="15:20" ht="15.75" customHeight="1" x14ac:dyDescent="0.3">
      <c r="O722" s="21"/>
      <c r="P722" s="22"/>
      <c r="Q722" s="21"/>
      <c r="R722" s="21"/>
      <c r="S722" s="23"/>
      <c r="T722" s="22"/>
    </row>
    <row r="723" spans="15:20" ht="15.75" customHeight="1" x14ac:dyDescent="0.3">
      <c r="O723" s="21"/>
      <c r="P723" s="22"/>
      <c r="Q723" s="21"/>
      <c r="R723" s="21"/>
      <c r="S723" s="23"/>
      <c r="T723" s="22"/>
    </row>
    <row r="724" spans="15:20" ht="15.75" customHeight="1" x14ac:dyDescent="0.3">
      <c r="O724" s="21"/>
      <c r="P724" s="22"/>
      <c r="Q724" s="21"/>
      <c r="R724" s="21"/>
      <c r="S724" s="23"/>
      <c r="T724" s="22"/>
    </row>
    <row r="725" spans="15:20" ht="15.75" customHeight="1" x14ac:dyDescent="0.3">
      <c r="O725" s="21"/>
      <c r="P725" s="22"/>
      <c r="Q725" s="21"/>
      <c r="R725" s="21"/>
      <c r="S725" s="23"/>
      <c r="T725" s="22"/>
    </row>
    <row r="726" spans="15:20" ht="15.75" customHeight="1" x14ac:dyDescent="0.3">
      <c r="O726" s="21"/>
      <c r="P726" s="22"/>
      <c r="Q726" s="21"/>
      <c r="R726" s="21"/>
      <c r="S726" s="23"/>
      <c r="T726" s="22"/>
    </row>
    <row r="727" spans="15:20" ht="15.75" customHeight="1" x14ac:dyDescent="0.3">
      <c r="O727" s="21"/>
      <c r="P727" s="22"/>
      <c r="Q727" s="21"/>
      <c r="R727" s="21"/>
      <c r="S727" s="23"/>
      <c r="T727" s="22"/>
    </row>
    <row r="728" spans="15:20" ht="15.75" customHeight="1" x14ac:dyDescent="0.3">
      <c r="O728" s="21"/>
      <c r="P728" s="22"/>
      <c r="Q728" s="21"/>
      <c r="R728" s="21"/>
      <c r="S728" s="23"/>
      <c r="T728" s="22"/>
    </row>
    <row r="729" spans="15:20" ht="15.75" customHeight="1" x14ac:dyDescent="0.3">
      <c r="O729" s="21"/>
      <c r="P729" s="22"/>
      <c r="Q729" s="21"/>
      <c r="R729" s="21"/>
      <c r="S729" s="23"/>
      <c r="T729" s="22"/>
    </row>
    <row r="730" spans="15:20" ht="15.75" customHeight="1" x14ac:dyDescent="0.3">
      <c r="O730" s="21"/>
      <c r="P730" s="22"/>
      <c r="Q730" s="21"/>
      <c r="R730" s="21"/>
      <c r="S730" s="23"/>
      <c r="T730" s="22"/>
    </row>
    <row r="731" spans="15:20" ht="15.75" customHeight="1" x14ac:dyDescent="0.3">
      <c r="O731" s="21"/>
      <c r="P731" s="22"/>
      <c r="Q731" s="21"/>
      <c r="R731" s="21"/>
      <c r="S731" s="23"/>
      <c r="T731" s="22"/>
    </row>
    <row r="732" spans="15:20" ht="15.75" customHeight="1" x14ac:dyDescent="0.3">
      <c r="O732" s="21"/>
      <c r="P732" s="22"/>
      <c r="Q732" s="21"/>
      <c r="R732" s="21"/>
      <c r="S732" s="23"/>
      <c r="T732" s="22"/>
    </row>
    <row r="733" spans="15:20" ht="15.75" customHeight="1" x14ac:dyDescent="0.3">
      <c r="O733" s="21"/>
      <c r="P733" s="22"/>
      <c r="Q733" s="21"/>
      <c r="R733" s="21"/>
      <c r="S733" s="23"/>
      <c r="T733" s="22"/>
    </row>
    <row r="734" spans="15:20" ht="15.75" customHeight="1" x14ac:dyDescent="0.3">
      <c r="O734" s="21"/>
      <c r="P734" s="22"/>
      <c r="Q734" s="21"/>
      <c r="R734" s="21"/>
      <c r="S734" s="23"/>
      <c r="T734" s="22"/>
    </row>
    <row r="735" spans="15:20" ht="15.75" customHeight="1" x14ac:dyDescent="0.3">
      <c r="O735" s="21"/>
      <c r="P735" s="22"/>
      <c r="Q735" s="21"/>
      <c r="R735" s="21"/>
      <c r="S735" s="23"/>
      <c r="T735" s="22"/>
    </row>
    <row r="736" spans="15:20" ht="15.75" customHeight="1" x14ac:dyDescent="0.3">
      <c r="O736" s="21"/>
      <c r="P736" s="22"/>
      <c r="Q736" s="21"/>
      <c r="R736" s="21"/>
      <c r="S736" s="23"/>
      <c r="T736" s="22"/>
    </row>
    <row r="737" spans="15:20" ht="15.75" customHeight="1" x14ac:dyDescent="0.3">
      <c r="O737" s="21"/>
      <c r="P737" s="22"/>
      <c r="Q737" s="21"/>
      <c r="R737" s="21"/>
      <c r="S737" s="23"/>
      <c r="T737" s="22"/>
    </row>
    <row r="738" spans="15:20" ht="15.75" customHeight="1" x14ac:dyDescent="0.3">
      <c r="O738" s="21"/>
      <c r="P738" s="22"/>
      <c r="Q738" s="21"/>
      <c r="R738" s="21"/>
      <c r="S738" s="23"/>
      <c r="T738" s="22"/>
    </row>
    <row r="739" spans="15:20" ht="15.75" customHeight="1" x14ac:dyDescent="0.3">
      <c r="O739" s="21"/>
      <c r="P739" s="22"/>
      <c r="Q739" s="21"/>
      <c r="R739" s="21"/>
      <c r="S739" s="23"/>
      <c r="T739" s="22"/>
    </row>
    <row r="740" spans="15:20" ht="15.75" customHeight="1" x14ac:dyDescent="0.3">
      <c r="O740" s="21"/>
      <c r="P740" s="22"/>
      <c r="Q740" s="21"/>
      <c r="R740" s="21"/>
      <c r="S740" s="23"/>
      <c r="T740" s="22"/>
    </row>
    <row r="741" spans="15:20" ht="15.75" customHeight="1" x14ac:dyDescent="0.3">
      <c r="O741" s="21"/>
      <c r="P741" s="22"/>
      <c r="Q741" s="21"/>
      <c r="R741" s="21"/>
      <c r="S741" s="23"/>
      <c r="T741" s="22"/>
    </row>
    <row r="742" spans="15:20" ht="15.75" customHeight="1" x14ac:dyDescent="0.3">
      <c r="O742" s="21"/>
      <c r="P742" s="22"/>
      <c r="Q742" s="21"/>
      <c r="R742" s="21"/>
      <c r="S742" s="23"/>
      <c r="T742" s="22"/>
    </row>
    <row r="743" spans="15:20" ht="15.75" customHeight="1" x14ac:dyDescent="0.3">
      <c r="O743" s="21"/>
      <c r="P743" s="22"/>
      <c r="Q743" s="21"/>
      <c r="R743" s="21"/>
      <c r="S743" s="23"/>
      <c r="T743" s="22"/>
    </row>
    <row r="744" spans="15:20" ht="15.75" customHeight="1" x14ac:dyDescent="0.3">
      <c r="O744" s="21"/>
      <c r="P744" s="22"/>
      <c r="Q744" s="21"/>
      <c r="R744" s="21"/>
      <c r="S744" s="23"/>
      <c r="T744" s="22"/>
    </row>
    <row r="745" spans="15:20" ht="15.75" customHeight="1" x14ac:dyDescent="0.3">
      <c r="O745" s="21"/>
      <c r="P745" s="22"/>
      <c r="Q745" s="21"/>
      <c r="R745" s="21"/>
      <c r="S745" s="23"/>
      <c r="T745" s="22"/>
    </row>
    <row r="746" spans="15:20" ht="15.75" customHeight="1" x14ac:dyDescent="0.3">
      <c r="O746" s="21"/>
      <c r="P746" s="22"/>
      <c r="Q746" s="21"/>
      <c r="R746" s="21"/>
      <c r="S746" s="23"/>
      <c r="T746" s="22"/>
    </row>
    <row r="747" spans="15:20" ht="15.75" customHeight="1" x14ac:dyDescent="0.3">
      <c r="O747" s="21"/>
      <c r="P747" s="22"/>
      <c r="Q747" s="21"/>
      <c r="R747" s="21"/>
      <c r="S747" s="23"/>
      <c r="T747" s="22"/>
    </row>
    <row r="748" spans="15:20" ht="15.75" customHeight="1" x14ac:dyDescent="0.3">
      <c r="O748" s="21"/>
      <c r="P748" s="22"/>
      <c r="Q748" s="21"/>
      <c r="R748" s="21"/>
      <c r="S748" s="23"/>
      <c r="T748" s="22"/>
    </row>
    <row r="749" spans="15:20" ht="15.75" customHeight="1" x14ac:dyDescent="0.3">
      <c r="O749" s="21"/>
      <c r="P749" s="22"/>
      <c r="Q749" s="21"/>
      <c r="R749" s="21"/>
      <c r="S749" s="23"/>
      <c r="T749" s="22"/>
    </row>
    <row r="750" spans="15:20" ht="15.75" customHeight="1" x14ac:dyDescent="0.3">
      <c r="O750" s="21"/>
      <c r="P750" s="22"/>
      <c r="Q750" s="21"/>
      <c r="R750" s="21"/>
      <c r="S750" s="23"/>
      <c r="T750" s="22"/>
    </row>
    <row r="751" spans="15:20" ht="15.75" customHeight="1" x14ac:dyDescent="0.3">
      <c r="O751" s="21"/>
      <c r="P751" s="22"/>
      <c r="Q751" s="21"/>
      <c r="R751" s="21"/>
      <c r="S751" s="23"/>
      <c r="T751" s="22"/>
    </row>
    <row r="752" spans="15:20" ht="15.75" customHeight="1" x14ac:dyDescent="0.3">
      <c r="O752" s="21"/>
      <c r="P752" s="22"/>
      <c r="Q752" s="21"/>
      <c r="R752" s="21"/>
      <c r="S752" s="23"/>
      <c r="T752" s="22"/>
    </row>
    <row r="753" spans="15:20" ht="15.75" customHeight="1" x14ac:dyDescent="0.3">
      <c r="O753" s="21"/>
      <c r="P753" s="22"/>
      <c r="Q753" s="21"/>
      <c r="R753" s="21"/>
      <c r="S753" s="23"/>
      <c r="T753" s="22"/>
    </row>
    <row r="754" spans="15:20" ht="15.75" customHeight="1" x14ac:dyDescent="0.3">
      <c r="O754" s="21"/>
      <c r="P754" s="22"/>
      <c r="Q754" s="21"/>
      <c r="R754" s="21"/>
      <c r="S754" s="23"/>
      <c r="T754" s="22"/>
    </row>
    <row r="755" spans="15:20" ht="15.75" customHeight="1" x14ac:dyDescent="0.3">
      <c r="O755" s="21"/>
      <c r="P755" s="22"/>
      <c r="Q755" s="21"/>
      <c r="R755" s="21"/>
      <c r="S755" s="23"/>
      <c r="T755" s="22"/>
    </row>
    <row r="756" spans="15:20" ht="15.75" customHeight="1" x14ac:dyDescent="0.3">
      <c r="O756" s="21"/>
      <c r="P756" s="22"/>
      <c r="Q756" s="21"/>
      <c r="R756" s="21"/>
      <c r="S756" s="23"/>
      <c r="T756" s="22"/>
    </row>
    <row r="757" spans="15:20" ht="15.75" customHeight="1" x14ac:dyDescent="0.3">
      <c r="O757" s="21"/>
      <c r="P757" s="22"/>
      <c r="Q757" s="21"/>
      <c r="R757" s="21"/>
      <c r="S757" s="23"/>
      <c r="T757" s="22"/>
    </row>
    <row r="758" spans="15:20" ht="15.75" customHeight="1" x14ac:dyDescent="0.3">
      <c r="O758" s="21"/>
      <c r="P758" s="22"/>
      <c r="Q758" s="21"/>
      <c r="R758" s="21"/>
      <c r="S758" s="23"/>
      <c r="T758" s="22"/>
    </row>
    <row r="759" spans="15:20" ht="15.75" customHeight="1" x14ac:dyDescent="0.3">
      <c r="O759" s="21"/>
      <c r="P759" s="22"/>
      <c r="Q759" s="21"/>
      <c r="R759" s="21"/>
      <c r="S759" s="23"/>
      <c r="T759" s="22"/>
    </row>
    <row r="760" spans="15:20" ht="15.75" customHeight="1" x14ac:dyDescent="0.3">
      <c r="O760" s="21"/>
      <c r="P760" s="22"/>
      <c r="Q760" s="21"/>
      <c r="R760" s="21"/>
      <c r="S760" s="23"/>
      <c r="T760" s="22"/>
    </row>
    <row r="761" spans="15:20" ht="15.75" customHeight="1" x14ac:dyDescent="0.3">
      <c r="O761" s="21"/>
      <c r="P761" s="22"/>
      <c r="Q761" s="21"/>
      <c r="R761" s="21"/>
      <c r="S761" s="23"/>
      <c r="T761" s="22"/>
    </row>
    <row r="762" spans="15:20" ht="15.75" customHeight="1" x14ac:dyDescent="0.3">
      <c r="O762" s="21"/>
      <c r="P762" s="22"/>
      <c r="Q762" s="21"/>
      <c r="R762" s="21"/>
      <c r="S762" s="23"/>
      <c r="T762" s="22"/>
    </row>
    <row r="763" spans="15:20" ht="15.75" customHeight="1" x14ac:dyDescent="0.3">
      <c r="O763" s="21"/>
      <c r="P763" s="22"/>
      <c r="Q763" s="21"/>
      <c r="R763" s="21"/>
      <c r="S763" s="23"/>
      <c r="T763" s="22"/>
    </row>
    <row r="764" spans="15:20" ht="15.75" customHeight="1" x14ac:dyDescent="0.3">
      <c r="O764" s="21"/>
      <c r="P764" s="22"/>
      <c r="Q764" s="21"/>
      <c r="R764" s="21"/>
      <c r="S764" s="23"/>
      <c r="T764" s="22"/>
    </row>
    <row r="765" spans="15:20" ht="15.75" customHeight="1" x14ac:dyDescent="0.3">
      <c r="O765" s="21"/>
      <c r="P765" s="22"/>
      <c r="Q765" s="21"/>
      <c r="R765" s="21"/>
      <c r="S765" s="23"/>
      <c r="T765" s="22"/>
    </row>
    <row r="766" spans="15:20" ht="15.75" customHeight="1" x14ac:dyDescent="0.3">
      <c r="O766" s="21"/>
      <c r="P766" s="22"/>
      <c r="Q766" s="21"/>
      <c r="R766" s="21"/>
      <c r="S766" s="23"/>
      <c r="T766" s="22"/>
    </row>
    <row r="767" spans="15:20" ht="15.75" customHeight="1" x14ac:dyDescent="0.3">
      <c r="O767" s="21"/>
      <c r="P767" s="22"/>
      <c r="Q767" s="21"/>
      <c r="R767" s="21"/>
      <c r="S767" s="23"/>
      <c r="T767" s="22"/>
    </row>
    <row r="768" spans="15:20" ht="15.75" customHeight="1" x14ac:dyDescent="0.3">
      <c r="O768" s="21"/>
      <c r="P768" s="22"/>
      <c r="Q768" s="21"/>
      <c r="R768" s="21"/>
      <c r="S768" s="23"/>
      <c r="T768" s="22"/>
    </row>
    <row r="769" spans="15:20" ht="15.75" customHeight="1" x14ac:dyDescent="0.3">
      <c r="O769" s="21"/>
      <c r="P769" s="22"/>
      <c r="Q769" s="21"/>
      <c r="R769" s="21"/>
      <c r="S769" s="23"/>
      <c r="T769" s="22"/>
    </row>
    <row r="770" spans="15:20" ht="15.75" customHeight="1" x14ac:dyDescent="0.3">
      <c r="O770" s="21"/>
      <c r="P770" s="22"/>
      <c r="Q770" s="21"/>
      <c r="R770" s="21"/>
      <c r="S770" s="23"/>
      <c r="T770" s="22"/>
    </row>
    <row r="771" spans="15:20" ht="15.75" customHeight="1" x14ac:dyDescent="0.3">
      <c r="O771" s="21"/>
      <c r="P771" s="22"/>
      <c r="Q771" s="21"/>
      <c r="R771" s="21"/>
      <c r="S771" s="23"/>
      <c r="T771" s="22"/>
    </row>
    <row r="772" spans="15:20" ht="15.75" customHeight="1" x14ac:dyDescent="0.3">
      <c r="O772" s="21"/>
      <c r="P772" s="22"/>
      <c r="Q772" s="21"/>
      <c r="R772" s="21"/>
      <c r="S772" s="23"/>
      <c r="T772" s="22"/>
    </row>
    <row r="773" spans="15:20" ht="15.75" customHeight="1" x14ac:dyDescent="0.3">
      <c r="O773" s="21"/>
      <c r="P773" s="22"/>
      <c r="Q773" s="21"/>
      <c r="R773" s="21"/>
      <c r="S773" s="23"/>
      <c r="T773" s="22"/>
    </row>
    <row r="774" spans="15:20" ht="15.75" customHeight="1" x14ac:dyDescent="0.3">
      <c r="O774" s="21"/>
      <c r="P774" s="22"/>
      <c r="Q774" s="21"/>
      <c r="R774" s="21"/>
      <c r="S774" s="23"/>
      <c r="T774" s="22"/>
    </row>
    <row r="775" spans="15:20" ht="15.75" customHeight="1" x14ac:dyDescent="0.3">
      <c r="O775" s="21"/>
      <c r="P775" s="22"/>
      <c r="Q775" s="21"/>
      <c r="R775" s="21"/>
      <c r="S775" s="23"/>
      <c r="T775" s="22"/>
    </row>
    <row r="776" spans="15:20" ht="15.75" customHeight="1" x14ac:dyDescent="0.3">
      <c r="O776" s="21"/>
      <c r="P776" s="22"/>
      <c r="Q776" s="21"/>
      <c r="R776" s="21"/>
      <c r="S776" s="23"/>
      <c r="T776" s="22"/>
    </row>
    <row r="777" spans="15:20" ht="15.75" customHeight="1" x14ac:dyDescent="0.3">
      <c r="O777" s="21"/>
      <c r="P777" s="22"/>
      <c r="Q777" s="21"/>
      <c r="R777" s="21"/>
      <c r="S777" s="23"/>
      <c r="T777" s="22"/>
    </row>
    <row r="778" spans="15:20" ht="15.75" customHeight="1" x14ac:dyDescent="0.3">
      <c r="O778" s="21"/>
      <c r="P778" s="22"/>
      <c r="Q778" s="21"/>
      <c r="R778" s="21"/>
      <c r="S778" s="23"/>
      <c r="T778" s="22"/>
    </row>
    <row r="779" spans="15:20" ht="15.75" customHeight="1" x14ac:dyDescent="0.3">
      <c r="O779" s="21"/>
      <c r="P779" s="22"/>
      <c r="Q779" s="21"/>
      <c r="R779" s="21"/>
      <c r="S779" s="23"/>
      <c r="T779" s="22"/>
    </row>
    <row r="780" spans="15:20" ht="15.75" customHeight="1" x14ac:dyDescent="0.3">
      <c r="O780" s="21"/>
      <c r="P780" s="22"/>
      <c r="Q780" s="21"/>
      <c r="R780" s="21"/>
      <c r="S780" s="23"/>
      <c r="T780" s="22"/>
    </row>
    <row r="781" spans="15:20" ht="15.75" customHeight="1" x14ac:dyDescent="0.3">
      <c r="O781" s="21"/>
      <c r="P781" s="22"/>
      <c r="Q781" s="21"/>
      <c r="R781" s="21"/>
      <c r="S781" s="23"/>
      <c r="T781" s="22"/>
    </row>
    <row r="782" spans="15:20" ht="15.75" customHeight="1" x14ac:dyDescent="0.3">
      <c r="O782" s="21"/>
      <c r="P782" s="22"/>
      <c r="Q782" s="21"/>
      <c r="R782" s="21"/>
      <c r="S782" s="23"/>
      <c r="T782" s="22"/>
    </row>
    <row r="783" spans="15:20" ht="15.75" customHeight="1" x14ac:dyDescent="0.3">
      <c r="O783" s="21"/>
      <c r="P783" s="22"/>
      <c r="Q783" s="21"/>
      <c r="R783" s="21"/>
      <c r="S783" s="23"/>
      <c r="T783" s="22"/>
    </row>
    <row r="784" spans="15:20" ht="15.75" customHeight="1" x14ac:dyDescent="0.3">
      <c r="O784" s="21"/>
      <c r="P784" s="22"/>
      <c r="Q784" s="21"/>
      <c r="R784" s="21"/>
      <c r="S784" s="23"/>
      <c r="T784" s="22"/>
    </row>
    <row r="785" spans="15:20" ht="15.75" customHeight="1" x14ac:dyDescent="0.3">
      <c r="O785" s="21"/>
      <c r="P785" s="22"/>
      <c r="Q785" s="21"/>
      <c r="R785" s="21"/>
      <c r="S785" s="23"/>
      <c r="T785" s="22"/>
    </row>
    <row r="786" spans="15:20" ht="15.75" customHeight="1" x14ac:dyDescent="0.3">
      <c r="O786" s="21"/>
      <c r="P786" s="22"/>
      <c r="Q786" s="21"/>
      <c r="R786" s="21"/>
      <c r="S786" s="23"/>
      <c r="T786" s="22"/>
    </row>
    <row r="787" spans="15:20" ht="15.75" customHeight="1" x14ac:dyDescent="0.3">
      <c r="O787" s="21"/>
      <c r="P787" s="22"/>
      <c r="Q787" s="21"/>
      <c r="R787" s="21"/>
      <c r="S787" s="23"/>
      <c r="T787" s="22"/>
    </row>
    <row r="788" spans="15:20" ht="15.75" customHeight="1" x14ac:dyDescent="0.3">
      <c r="O788" s="21"/>
      <c r="P788" s="22"/>
      <c r="Q788" s="21"/>
      <c r="R788" s="21"/>
      <c r="S788" s="23"/>
      <c r="T788" s="22"/>
    </row>
    <row r="789" spans="15:20" ht="15.75" customHeight="1" x14ac:dyDescent="0.3">
      <c r="O789" s="21"/>
      <c r="P789" s="22"/>
      <c r="Q789" s="21"/>
      <c r="R789" s="21"/>
      <c r="S789" s="23"/>
      <c r="T789" s="22"/>
    </row>
    <row r="790" spans="15:20" ht="15.75" customHeight="1" x14ac:dyDescent="0.3">
      <c r="O790" s="21"/>
      <c r="P790" s="22"/>
      <c r="Q790" s="21"/>
      <c r="R790" s="21"/>
      <c r="S790" s="23"/>
      <c r="T790" s="22"/>
    </row>
    <row r="791" spans="15:20" ht="15.75" customHeight="1" x14ac:dyDescent="0.3">
      <c r="O791" s="21"/>
      <c r="P791" s="22"/>
      <c r="Q791" s="21"/>
      <c r="R791" s="21"/>
      <c r="S791" s="23"/>
      <c r="T791" s="22"/>
    </row>
    <row r="792" spans="15:20" ht="15.75" customHeight="1" x14ac:dyDescent="0.3">
      <c r="O792" s="21"/>
      <c r="P792" s="22"/>
      <c r="Q792" s="21"/>
      <c r="R792" s="21"/>
      <c r="S792" s="23"/>
      <c r="T792" s="22"/>
    </row>
    <row r="793" spans="15:20" ht="15.75" customHeight="1" x14ac:dyDescent="0.3">
      <c r="O793" s="21"/>
      <c r="P793" s="22"/>
      <c r="Q793" s="21"/>
      <c r="R793" s="21"/>
      <c r="S793" s="23"/>
      <c r="T793" s="22"/>
    </row>
    <row r="794" spans="15:20" ht="15.75" customHeight="1" x14ac:dyDescent="0.3">
      <c r="O794" s="21"/>
      <c r="P794" s="22"/>
      <c r="Q794" s="21"/>
      <c r="R794" s="21"/>
      <c r="S794" s="23"/>
      <c r="T794" s="22"/>
    </row>
    <row r="795" spans="15:20" ht="15.75" customHeight="1" x14ac:dyDescent="0.3">
      <c r="O795" s="21"/>
      <c r="P795" s="22"/>
      <c r="Q795" s="21"/>
      <c r="R795" s="21"/>
      <c r="S795" s="23"/>
      <c r="T795" s="22"/>
    </row>
    <row r="796" spans="15:20" ht="15.75" customHeight="1" x14ac:dyDescent="0.3">
      <c r="O796" s="21"/>
      <c r="P796" s="22"/>
      <c r="Q796" s="21"/>
      <c r="R796" s="21"/>
      <c r="S796" s="23"/>
      <c r="T796" s="22"/>
    </row>
    <row r="797" spans="15:20" ht="15.75" customHeight="1" x14ac:dyDescent="0.3">
      <c r="O797" s="21"/>
      <c r="P797" s="22"/>
      <c r="Q797" s="21"/>
      <c r="R797" s="21"/>
      <c r="S797" s="23"/>
      <c r="T797" s="22"/>
    </row>
    <row r="798" spans="15:20" ht="15.75" customHeight="1" x14ac:dyDescent="0.3">
      <c r="O798" s="21"/>
      <c r="P798" s="22"/>
      <c r="Q798" s="21"/>
      <c r="R798" s="21"/>
      <c r="S798" s="23"/>
      <c r="T798" s="22"/>
    </row>
    <row r="799" spans="15:20" ht="15.75" customHeight="1" x14ac:dyDescent="0.3">
      <c r="O799" s="21"/>
      <c r="P799" s="22"/>
      <c r="Q799" s="21"/>
      <c r="R799" s="21"/>
      <c r="S799" s="23"/>
      <c r="T799" s="22"/>
    </row>
    <row r="800" spans="15:20" ht="15.75" customHeight="1" x14ac:dyDescent="0.3">
      <c r="O800" s="21"/>
      <c r="P800" s="22"/>
      <c r="Q800" s="21"/>
      <c r="R800" s="21"/>
      <c r="S800" s="23"/>
      <c r="T800" s="22"/>
    </row>
    <row r="801" spans="15:20" ht="15.75" customHeight="1" x14ac:dyDescent="0.3">
      <c r="O801" s="21"/>
      <c r="P801" s="22"/>
      <c r="Q801" s="21"/>
      <c r="R801" s="21"/>
      <c r="S801" s="23"/>
      <c r="T801" s="22"/>
    </row>
    <row r="802" spans="15:20" ht="15.75" customHeight="1" x14ac:dyDescent="0.3">
      <c r="O802" s="21"/>
      <c r="P802" s="22"/>
      <c r="Q802" s="21"/>
      <c r="R802" s="21"/>
      <c r="S802" s="23"/>
      <c r="T802" s="22"/>
    </row>
    <row r="803" spans="15:20" ht="15.75" customHeight="1" x14ac:dyDescent="0.3">
      <c r="O803" s="21"/>
      <c r="P803" s="22"/>
      <c r="Q803" s="21"/>
      <c r="R803" s="21"/>
      <c r="S803" s="23"/>
      <c r="T803" s="22"/>
    </row>
    <row r="804" spans="15:20" ht="15.75" customHeight="1" x14ac:dyDescent="0.3">
      <c r="O804" s="21"/>
      <c r="P804" s="22"/>
      <c r="Q804" s="21"/>
      <c r="R804" s="21"/>
      <c r="S804" s="23"/>
      <c r="T804" s="22"/>
    </row>
    <row r="805" spans="15:20" ht="15.75" customHeight="1" x14ac:dyDescent="0.3">
      <c r="O805" s="21"/>
      <c r="P805" s="22"/>
      <c r="Q805" s="21"/>
      <c r="R805" s="21"/>
      <c r="S805" s="23"/>
      <c r="T805" s="22"/>
    </row>
    <row r="806" spans="15:20" ht="15.75" customHeight="1" x14ac:dyDescent="0.3">
      <c r="O806" s="21"/>
      <c r="P806" s="22"/>
      <c r="Q806" s="21"/>
      <c r="R806" s="21"/>
      <c r="S806" s="23"/>
      <c r="T806" s="22"/>
    </row>
    <row r="807" spans="15:20" ht="15.75" customHeight="1" x14ac:dyDescent="0.3">
      <c r="O807" s="21"/>
      <c r="P807" s="22"/>
      <c r="Q807" s="21"/>
      <c r="R807" s="21"/>
      <c r="S807" s="23"/>
      <c r="T807" s="22"/>
    </row>
    <row r="808" spans="15:20" ht="15.75" customHeight="1" x14ac:dyDescent="0.3">
      <c r="O808" s="21"/>
      <c r="P808" s="22"/>
      <c r="Q808" s="21"/>
      <c r="R808" s="21"/>
      <c r="S808" s="23"/>
      <c r="T808" s="22"/>
    </row>
    <row r="809" spans="15:20" ht="15.75" customHeight="1" x14ac:dyDescent="0.3">
      <c r="O809" s="21"/>
      <c r="P809" s="22"/>
      <c r="Q809" s="21"/>
      <c r="R809" s="21"/>
      <c r="S809" s="23"/>
      <c r="T809" s="22"/>
    </row>
    <row r="810" spans="15:20" ht="15.75" customHeight="1" x14ac:dyDescent="0.3">
      <c r="O810" s="21"/>
      <c r="P810" s="22"/>
      <c r="Q810" s="21"/>
      <c r="R810" s="21"/>
      <c r="S810" s="23"/>
      <c r="T810" s="22"/>
    </row>
    <row r="811" spans="15:20" ht="15.75" customHeight="1" x14ac:dyDescent="0.3">
      <c r="O811" s="21"/>
      <c r="P811" s="22"/>
      <c r="Q811" s="21"/>
      <c r="R811" s="21"/>
      <c r="S811" s="23"/>
      <c r="T811" s="22"/>
    </row>
    <row r="812" spans="15:20" ht="15.75" customHeight="1" x14ac:dyDescent="0.3">
      <c r="O812" s="21"/>
      <c r="P812" s="22"/>
      <c r="Q812" s="21"/>
      <c r="R812" s="21"/>
      <c r="S812" s="23"/>
      <c r="T812" s="22"/>
    </row>
    <row r="813" spans="15:20" ht="15.75" customHeight="1" x14ac:dyDescent="0.3">
      <c r="O813" s="21"/>
      <c r="P813" s="22"/>
      <c r="Q813" s="21"/>
      <c r="R813" s="21"/>
      <c r="S813" s="23"/>
      <c r="T813" s="22"/>
    </row>
    <row r="814" spans="15:20" ht="15.75" customHeight="1" x14ac:dyDescent="0.3">
      <c r="O814" s="21"/>
      <c r="P814" s="22"/>
      <c r="Q814" s="21"/>
      <c r="R814" s="21"/>
      <c r="S814" s="23"/>
      <c r="T814" s="22"/>
    </row>
    <row r="815" spans="15:20" ht="15.75" customHeight="1" x14ac:dyDescent="0.3">
      <c r="O815" s="21"/>
      <c r="P815" s="22"/>
      <c r="Q815" s="21"/>
      <c r="R815" s="21"/>
      <c r="S815" s="23"/>
      <c r="T815" s="22"/>
    </row>
    <row r="816" spans="15:20" ht="15.75" customHeight="1" x14ac:dyDescent="0.3">
      <c r="O816" s="21"/>
      <c r="P816" s="22"/>
      <c r="Q816" s="21"/>
      <c r="R816" s="21"/>
      <c r="S816" s="23"/>
      <c r="T816" s="22"/>
    </row>
    <row r="817" spans="15:20" ht="15.75" customHeight="1" x14ac:dyDescent="0.3">
      <c r="O817" s="21"/>
      <c r="P817" s="22"/>
      <c r="Q817" s="21"/>
      <c r="R817" s="21"/>
      <c r="S817" s="23"/>
      <c r="T817" s="22"/>
    </row>
    <row r="818" spans="15:20" ht="15.75" customHeight="1" x14ac:dyDescent="0.3">
      <c r="O818" s="21"/>
      <c r="P818" s="22"/>
      <c r="Q818" s="21"/>
      <c r="R818" s="21"/>
      <c r="S818" s="23"/>
      <c r="T818" s="22"/>
    </row>
    <row r="819" spans="15:20" ht="15.75" customHeight="1" x14ac:dyDescent="0.3">
      <c r="O819" s="21"/>
      <c r="P819" s="22"/>
      <c r="Q819" s="21"/>
      <c r="R819" s="21"/>
      <c r="S819" s="23"/>
      <c r="T819" s="22"/>
    </row>
    <row r="820" spans="15:20" ht="15.75" customHeight="1" x14ac:dyDescent="0.3">
      <c r="O820" s="21"/>
      <c r="P820" s="22"/>
      <c r="Q820" s="21"/>
      <c r="R820" s="21"/>
      <c r="S820" s="23"/>
      <c r="T820" s="22"/>
    </row>
    <row r="821" spans="15:20" ht="15.75" customHeight="1" x14ac:dyDescent="0.3">
      <c r="O821" s="21"/>
      <c r="P821" s="22"/>
      <c r="Q821" s="21"/>
      <c r="R821" s="21"/>
      <c r="S821" s="23"/>
      <c r="T821" s="22"/>
    </row>
    <row r="822" spans="15:20" ht="15.75" customHeight="1" x14ac:dyDescent="0.3">
      <c r="O822" s="21"/>
      <c r="P822" s="22"/>
      <c r="Q822" s="21"/>
      <c r="R822" s="21"/>
      <c r="S822" s="23"/>
      <c r="T822" s="22"/>
    </row>
    <row r="823" spans="15:20" ht="15.75" customHeight="1" x14ac:dyDescent="0.3">
      <c r="O823" s="21"/>
      <c r="P823" s="22"/>
      <c r="Q823" s="21"/>
      <c r="R823" s="21"/>
      <c r="S823" s="23"/>
      <c r="T823" s="22"/>
    </row>
    <row r="824" spans="15:20" ht="15.75" customHeight="1" x14ac:dyDescent="0.3">
      <c r="O824" s="21"/>
      <c r="P824" s="22"/>
      <c r="Q824" s="21"/>
      <c r="R824" s="21"/>
      <c r="S824" s="23"/>
      <c r="T824" s="22"/>
    </row>
    <row r="825" spans="15:20" ht="15.75" customHeight="1" x14ac:dyDescent="0.3">
      <c r="O825" s="21"/>
      <c r="P825" s="22"/>
      <c r="Q825" s="21"/>
      <c r="R825" s="21"/>
      <c r="S825" s="23"/>
      <c r="T825" s="22"/>
    </row>
    <row r="826" spans="15:20" ht="15.75" customHeight="1" x14ac:dyDescent="0.3">
      <c r="O826" s="21"/>
      <c r="P826" s="22"/>
      <c r="Q826" s="21"/>
      <c r="R826" s="21"/>
      <c r="S826" s="23"/>
      <c r="T826" s="22"/>
    </row>
    <row r="827" spans="15:20" ht="15.75" customHeight="1" x14ac:dyDescent="0.3">
      <c r="O827" s="21"/>
      <c r="P827" s="22"/>
      <c r="Q827" s="21"/>
      <c r="R827" s="21"/>
      <c r="S827" s="23"/>
      <c r="T827" s="22"/>
    </row>
    <row r="828" spans="15:20" ht="15.75" customHeight="1" x14ac:dyDescent="0.3">
      <c r="O828" s="21"/>
      <c r="P828" s="22"/>
      <c r="Q828" s="21"/>
      <c r="R828" s="21"/>
      <c r="S828" s="23"/>
      <c r="T828" s="22"/>
    </row>
    <row r="829" spans="15:20" ht="15.75" customHeight="1" x14ac:dyDescent="0.3">
      <c r="O829" s="21"/>
      <c r="P829" s="22"/>
      <c r="Q829" s="21"/>
      <c r="R829" s="21"/>
      <c r="S829" s="23"/>
      <c r="T829" s="22"/>
    </row>
    <row r="830" spans="15:20" ht="15.75" customHeight="1" x14ac:dyDescent="0.3">
      <c r="O830" s="21"/>
      <c r="P830" s="22"/>
      <c r="Q830" s="21"/>
      <c r="R830" s="21"/>
      <c r="S830" s="23"/>
      <c r="T830" s="22"/>
    </row>
    <row r="831" spans="15:20" ht="15.75" customHeight="1" x14ac:dyDescent="0.3">
      <c r="O831" s="21"/>
      <c r="P831" s="22"/>
      <c r="Q831" s="21"/>
      <c r="R831" s="21"/>
      <c r="S831" s="23"/>
      <c r="T831" s="22"/>
    </row>
    <row r="832" spans="15:20" ht="15.75" customHeight="1" x14ac:dyDescent="0.3">
      <c r="O832" s="21"/>
      <c r="P832" s="22"/>
      <c r="Q832" s="21"/>
      <c r="R832" s="21"/>
      <c r="S832" s="23"/>
      <c r="T832" s="22"/>
    </row>
    <row r="833" spans="15:20" ht="15.75" customHeight="1" x14ac:dyDescent="0.3">
      <c r="O833" s="21"/>
      <c r="P833" s="22"/>
      <c r="Q833" s="21"/>
      <c r="R833" s="21"/>
      <c r="S833" s="23"/>
      <c r="T833" s="22"/>
    </row>
    <row r="834" spans="15:20" ht="15.75" customHeight="1" x14ac:dyDescent="0.3">
      <c r="O834" s="21"/>
      <c r="P834" s="22"/>
      <c r="Q834" s="21"/>
      <c r="R834" s="21"/>
      <c r="S834" s="23"/>
      <c r="T834" s="22"/>
    </row>
    <row r="835" spans="15:20" ht="15.75" customHeight="1" x14ac:dyDescent="0.3">
      <c r="O835" s="21"/>
      <c r="P835" s="22"/>
      <c r="Q835" s="21"/>
      <c r="R835" s="21"/>
      <c r="S835" s="23"/>
      <c r="T835" s="22"/>
    </row>
    <row r="836" spans="15:20" ht="15.75" customHeight="1" x14ac:dyDescent="0.3">
      <c r="O836" s="21"/>
      <c r="P836" s="22"/>
      <c r="Q836" s="21"/>
      <c r="R836" s="21"/>
      <c r="S836" s="23"/>
      <c r="T836" s="22"/>
    </row>
    <row r="837" spans="15:20" ht="15.75" customHeight="1" x14ac:dyDescent="0.3">
      <c r="O837" s="21"/>
      <c r="P837" s="22"/>
      <c r="Q837" s="21"/>
      <c r="R837" s="21"/>
      <c r="S837" s="23"/>
      <c r="T837" s="22"/>
    </row>
    <row r="838" spans="15:20" ht="15.75" customHeight="1" x14ac:dyDescent="0.3">
      <c r="O838" s="21"/>
      <c r="P838" s="22"/>
      <c r="Q838" s="21"/>
      <c r="R838" s="21"/>
      <c r="S838" s="23"/>
      <c r="T838" s="22"/>
    </row>
    <row r="839" spans="15:20" ht="15.75" customHeight="1" x14ac:dyDescent="0.3">
      <c r="O839" s="21"/>
      <c r="P839" s="22"/>
      <c r="Q839" s="21"/>
      <c r="R839" s="21"/>
      <c r="S839" s="23"/>
      <c r="T839" s="22"/>
    </row>
    <row r="840" spans="15:20" ht="15.75" customHeight="1" x14ac:dyDescent="0.3">
      <c r="O840" s="21"/>
      <c r="P840" s="22"/>
      <c r="Q840" s="21"/>
      <c r="R840" s="21"/>
      <c r="S840" s="23"/>
      <c r="T840" s="22"/>
    </row>
    <row r="841" spans="15:20" ht="15.75" customHeight="1" x14ac:dyDescent="0.3">
      <c r="O841" s="21"/>
      <c r="P841" s="22"/>
      <c r="Q841" s="21"/>
      <c r="R841" s="21"/>
      <c r="S841" s="23"/>
      <c r="T841" s="22"/>
    </row>
    <row r="842" spans="15:20" ht="15.75" customHeight="1" x14ac:dyDescent="0.3">
      <c r="O842" s="21"/>
      <c r="P842" s="22"/>
      <c r="Q842" s="21"/>
      <c r="R842" s="21"/>
      <c r="S842" s="23"/>
      <c r="T842" s="22"/>
    </row>
    <row r="843" spans="15:20" ht="15.75" customHeight="1" x14ac:dyDescent="0.3">
      <c r="O843" s="21"/>
      <c r="P843" s="22"/>
      <c r="Q843" s="21"/>
      <c r="R843" s="21"/>
      <c r="S843" s="23"/>
      <c r="T843" s="22"/>
    </row>
    <row r="844" spans="15:20" ht="15.75" customHeight="1" x14ac:dyDescent="0.3">
      <c r="O844" s="21"/>
      <c r="P844" s="22"/>
      <c r="Q844" s="21"/>
      <c r="R844" s="21"/>
      <c r="S844" s="23"/>
      <c r="T844" s="22"/>
    </row>
    <row r="845" spans="15:20" ht="15.75" customHeight="1" x14ac:dyDescent="0.3">
      <c r="O845" s="21"/>
      <c r="P845" s="22"/>
      <c r="Q845" s="21"/>
      <c r="R845" s="21"/>
      <c r="S845" s="23"/>
      <c r="T845" s="22"/>
    </row>
    <row r="846" spans="15:20" ht="15.75" customHeight="1" x14ac:dyDescent="0.3">
      <c r="O846" s="21"/>
      <c r="P846" s="22"/>
      <c r="Q846" s="21"/>
      <c r="R846" s="21"/>
      <c r="S846" s="23"/>
      <c r="T846" s="22"/>
    </row>
    <row r="847" spans="15:20" ht="15.75" customHeight="1" x14ac:dyDescent="0.3">
      <c r="O847" s="21"/>
      <c r="P847" s="22"/>
      <c r="Q847" s="21"/>
      <c r="R847" s="21"/>
      <c r="S847" s="23"/>
      <c r="T847" s="22"/>
    </row>
    <row r="848" spans="15:20" ht="15.75" customHeight="1" x14ac:dyDescent="0.3">
      <c r="O848" s="21"/>
      <c r="P848" s="22"/>
      <c r="Q848" s="21"/>
      <c r="R848" s="21"/>
      <c r="S848" s="23"/>
      <c r="T848" s="22"/>
    </row>
    <row r="849" spans="15:20" ht="15.75" customHeight="1" x14ac:dyDescent="0.3">
      <c r="O849" s="21"/>
      <c r="P849" s="22"/>
      <c r="Q849" s="21"/>
      <c r="R849" s="21"/>
      <c r="S849" s="23"/>
      <c r="T849" s="22"/>
    </row>
    <row r="850" spans="15:20" ht="15.75" customHeight="1" x14ac:dyDescent="0.3">
      <c r="O850" s="21"/>
      <c r="P850" s="22"/>
      <c r="Q850" s="21"/>
      <c r="R850" s="21"/>
      <c r="S850" s="23"/>
      <c r="T850" s="22"/>
    </row>
    <row r="851" spans="15:20" ht="15.75" customHeight="1" x14ac:dyDescent="0.3">
      <c r="O851" s="21"/>
      <c r="P851" s="22"/>
      <c r="Q851" s="21"/>
      <c r="R851" s="21"/>
      <c r="S851" s="23"/>
      <c r="T851" s="22"/>
    </row>
    <row r="852" spans="15:20" ht="15.75" customHeight="1" x14ac:dyDescent="0.3">
      <c r="O852" s="21"/>
      <c r="P852" s="22"/>
      <c r="Q852" s="21"/>
      <c r="R852" s="21"/>
      <c r="S852" s="23"/>
      <c r="T852" s="22"/>
    </row>
    <row r="853" spans="15:20" ht="15.75" customHeight="1" x14ac:dyDescent="0.3">
      <c r="O853" s="21"/>
      <c r="P853" s="22"/>
      <c r="Q853" s="21"/>
      <c r="R853" s="21"/>
      <c r="S853" s="23"/>
      <c r="T853" s="22"/>
    </row>
    <row r="854" spans="15:20" ht="15.75" customHeight="1" x14ac:dyDescent="0.3">
      <c r="O854" s="21"/>
      <c r="P854" s="22"/>
      <c r="Q854" s="21"/>
      <c r="R854" s="21"/>
      <c r="S854" s="23"/>
      <c r="T854" s="22"/>
    </row>
    <row r="855" spans="15:20" ht="15.75" customHeight="1" x14ac:dyDescent="0.3">
      <c r="O855" s="21"/>
      <c r="P855" s="22"/>
      <c r="Q855" s="21"/>
      <c r="R855" s="21"/>
      <c r="S855" s="23"/>
      <c r="T855" s="22"/>
    </row>
    <row r="856" spans="15:20" ht="15.75" customHeight="1" x14ac:dyDescent="0.3">
      <c r="O856" s="21"/>
      <c r="P856" s="22"/>
      <c r="Q856" s="21"/>
      <c r="R856" s="21"/>
      <c r="S856" s="23"/>
      <c r="T856" s="22"/>
    </row>
    <row r="857" spans="15:20" ht="15.75" customHeight="1" x14ac:dyDescent="0.3">
      <c r="O857" s="21"/>
      <c r="P857" s="22"/>
      <c r="Q857" s="21"/>
      <c r="R857" s="21"/>
      <c r="S857" s="23"/>
      <c r="T857" s="22"/>
    </row>
    <row r="858" spans="15:20" ht="15.75" customHeight="1" x14ac:dyDescent="0.3">
      <c r="O858" s="21"/>
      <c r="P858" s="22"/>
      <c r="Q858" s="21"/>
      <c r="R858" s="21"/>
      <c r="S858" s="23"/>
      <c r="T858" s="22"/>
    </row>
    <row r="859" spans="15:20" ht="15.75" customHeight="1" x14ac:dyDescent="0.3">
      <c r="O859" s="21"/>
      <c r="P859" s="22"/>
      <c r="Q859" s="21"/>
      <c r="R859" s="21"/>
      <c r="S859" s="23"/>
      <c r="T859" s="22"/>
    </row>
    <row r="860" spans="15:20" ht="15.75" customHeight="1" x14ac:dyDescent="0.3">
      <c r="O860" s="21"/>
      <c r="P860" s="22"/>
      <c r="Q860" s="21"/>
      <c r="R860" s="21"/>
      <c r="S860" s="23"/>
      <c r="T860" s="22"/>
    </row>
    <row r="861" spans="15:20" ht="15.75" customHeight="1" x14ac:dyDescent="0.3">
      <c r="O861" s="21"/>
      <c r="P861" s="22"/>
      <c r="Q861" s="21"/>
      <c r="R861" s="21"/>
      <c r="S861" s="23"/>
      <c r="T861" s="22"/>
    </row>
    <row r="862" spans="15:20" ht="15.75" customHeight="1" x14ac:dyDescent="0.3">
      <c r="O862" s="21"/>
      <c r="P862" s="22"/>
      <c r="Q862" s="21"/>
      <c r="R862" s="21"/>
      <c r="S862" s="23"/>
      <c r="T862" s="22"/>
    </row>
    <row r="863" spans="15:20" ht="15.75" customHeight="1" x14ac:dyDescent="0.3">
      <c r="O863" s="21"/>
      <c r="P863" s="22"/>
      <c r="Q863" s="21"/>
      <c r="R863" s="21"/>
      <c r="S863" s="23"/>
      <c r="T863" s="22"/>
    </row>
    <row r="864" spans="15:20" ht="15.75" customHeight="1" x14ac:dyDescent="0.3">
      <c r="O864" s="21"/>
      <c r="P864" s="22"/>
      <c r="Q864" s="21"/>
      <c r="R864" s="21"/>
      <c r="S864" s="23"/>
      <c r="T864" s="22"/>
    </row>
    <row r="865" spans="15:20" ht="15.75" customHeight="1" x14ac:dyDescent="0.3">
      <c r="O865" s="21"/>
      <c r="P865" s="22"/>
      <c r="Q865" s="21"/>
      <c r="R865" s="21"/>
      <c r="S865" s="23"/>
      <c r="T865" s="22"/>
    </row>
    <row r="866" spans="15:20" ht="15.75" customHeight="1" x14ac:dyDescent="0.3">
      <c r="O866" s="21"/>
      <c r="P866" s="22"/>
      <c r="Q866" s="21"/>
      <c r="R866" s="21"/>
      <c r="S866" s="23"/>
      <c r="T866" s="22"/>
    </row>
    <row r="867" spans="15:20" ht="15.75" customHeight="1" x14ac:dyDescent="0.3">
      <c r="O867" s="21"/>
      <c r="P867" s="22"/>
      <c r="Q867" s="21"/>
      <c r="R867" s="21"/>
      <c r="S867" s="23"/>
      <c r="T867" s="22"/>
    </row>
    <row r="868" spans="15:20" ht="15.75" customHeight="1" x14ac:dyDescent="0.3">
      <c r="O868" s="21"/>
      <c r="P868" s="22"/>
      <c r="Q868" s="21"/>
      <c r="R868" s="21"/>
      <c r="S868" s="23"/>
      <c r="T868" s="22"/>
    </row>
    <row r="869" spans="15:20" ht="15.75" customHeight="1" x14ac:dyDescent="0.3">
      <c r="O869" s="21"/>
      <c r="P869" s="22"/>
      <c r="Q869" s="21"/>
      <c r="R869" s="21"/>
      <c r="S869" s="23"/>
      <c r="T869" s="22"/>
    </row>
    <row r="870" spans="15:20" ht="15.75" customHeight="1" x14ac:dyDescent="0.3">
      <c r="O870" s="21"/>
      <c r="P870" s="22"/>
      <c r="Q870" s="21"/>
      <c r="R870" s="21"/>
      <c r="S870" s="23"/>
      <c r="T870" s="22"/>
    </row>
    <row r="871" spans="15:20" ht="15.75" customHeight="1" x14ac:dyDescent="0.3">
      <c r="O871" s="21"/>
      <c r="P871" s="22"/>
      <c r="Q871" s="21"/>
      <c r="R871" s="21"/>
      <c r="S871" s="23"/>
      <c r="T871" s="22"/>
    </row>
    <row r="872" spans="15:20" ht="15.75" customHeight="1" x14ac:dyDescent="0.3">
      <c r="O872" s="21"/>
      <c r="P872" s="22"/>
      <c r="Q872" s="21"/>
      <c r="R872" s="21"/>
      <c r="S872" s="23"/>
      <c r="T872" s="22"/>
    </row>
    <row r="873" spans="15:20" ht="15.75" customHeight="1" x14ac:dyDescent="0.3">
      <c r="O873" s="21"/>
      <c r="P873" s="22"/>
      <c r="Q873" s="21"/>
      <c r="R873" s="21"/>
      <c r="S873" s="23"/>
      <c r="T873" s="22"/>
    </row>
    <row r="874" spans="15:20" ht="15.75" customHeight="1" x14ac:dyDescent="0.3">
      <c r="O874" s="21"/>
      <c r="P874" s="22"/>
      <c r="Q874" s="21"/>
      <c r="R874" s="21"/>
      <c r="S874" s="23"/>
      <c r="T874" s="22"/>
    </row>
    <row r="875" spans="15:20" ht="15.75" customHeight="1" x14ac:dyDescent="0.3">
      <c r="O875" s="21"/>
      <c r="P875" s="22"/>
      <c r="Q875" s="21"/>
      <c r="R875" s="21"/>
      <c r="S875" s="23"/>
      <c r="T875" s="22"/>
    </row>
    <row r="876" spans="15:20" ht="15.75" customHeight="1" x14ac:dyDescent="0.3">
      <c r="O876" s="21"/>
      <c r="P876" s="22"/>
      <c r="Q876" s="21"/>
      <c r="R876" s="21"/>
      <c r="S876" s="23"/>
      <c r="T876" s="22"/>
    </row>
    <row r="877" spans="15:20" ht="15.75" customHeight="1" x14ac:dyDescent="0.3">
      <c r="O877" s="21"/>
      <c r="P877" s="22"/>
      <c r="Q877" s="21"/>
      <c r="R877" s="21"/>
      <c r="S877" s="23"/>
      <c r="T877" s="22"/>
    </row>
    <row r="878" spans="15:20" ht="15.75" customHeight="1" x14ac:dyDescent="0.3">
      <c r="O878" s="21"/>
      <c r="P878" s="22"/>
      <c r="Q878" s="21"/>
      <c r="R878" s="21"/>
      <c r="S878" s="23"/>
      <c r="T878" s="22"/>
    </row>
    <row r="879" spans="15:20" ht="15.75" customHeight="1" x14ac:dyDescent="0.3">
      <c r="O879" s="21"/>
      <c r="P879" s="22"/>
      <c r="Q879" s="21"/>
      <c r="R879" s="21"/>
      <c r="S879" s="23"/>
      <c r="T879" s="22"/>
    </row>
    <row r="880" spans="15:20" ht="15.75" customHeight="1" x14ac:dyDescent="0.3">
      <c r="O880" s="21"/>
      <c r="P880" s="22"/>
      <c r="Q880" s="21"/>
      <c r="R880" s="21"/>
      <c r="S880" s="23"/>
      <c r="T880" s="22"/>
    </row>
    <row r="881" spans="15:20" ht="15.75" customHeight="1" x14ac:dyDescent="0.3">
      <c r="O881" s="21"/>
      <c r="P881" s="22"/>
      <c r="Q881" s="21"/>
      <c r="R881" s="21"/>
      <c r="S881" s="23"/>
      <c r="T881" s="22"/>
    </row>
    <row r="882" spans="15:20" ht="15.75" customHeight="1" x14ac:dyDescent="0.3">
      <c r="O882" s="21"/>
      <c r="P882" s="22"/>
      <c r="Q882" s="21"/>
      <c r="R882" s="21"/>
      <c r="S882" s="23"/>
      <c r="T882" s="22"/>
    </row>
    <row r="883" spans="15:20" ht="15.75" customHeight="1" x14ac:dyDescent="0.3">
      <c r="O883" s="21"/>
      <c r="P883" s="22"/>
      <c r="Q883" s="21"/>
      <c r="R883" s="21"/>
      <c r="S883" s="23"/>
      <c r="T883" s="22"/>
    </row>
    <row r="884" spans="15:20" ht="15.75" customHeight="1" x14ac:dyDescent="0.3">
      <c r="O884" s="21"/>
      <c r="P884" s="22"/>
      <c r="Q884" s="21"/>
      <c r="R884" s="21"/>
      <c r="S884" s="23"/>
      <c r="T884" s="22"/>
    </row>
    <row r="885" spans="15:20" ht="15.75" customHeight="1" x14ac:dyDescent="0.3">
      <c r="O885" s="21"/>
      <c r="P885" s="22"/>
      <c r="Q885" s="21"/>
      <c r="R885" s="21"/>
      <c r="S885" s="23"/>
      <c r="T885" s="22"/>
    </row>
    <row r="886" spans="15:20" ht="15.75" customHeight="1" x14ac:dyDescent="0.3">
      <c r="O886" s="21"/>
      <c r="P886" s="22"/>
      <c r="Q886" s="21"/>
      <c r="R886" s="21"/>
      <c r="S886" s="23"/>
      <c r="T886" s="22"/>
    </row>
    <row r="887" spans="15:20" ht="15.75" customHeight="1" x14ac:dyDescent="0.3">
      <c r="O887" s="21"/>
      <c r="P887" s="22"/>
      <c r="Q887" s="21"/>
      <c r="R887" s="21"/>
      <c r="S887" s="23"/>
      <c r="T887" s="22"/>
    </row>
    <row r="888" spans="15:20" ht="15.75" customHeight="1" x14ac:dyDescent="0.3">
      <c r="O888" s="21"/>
      <c r="P888" s="22"/>
      <c r="Q888" s="21"/>
      <c r="R888" s="21"/>
      <c r="S888" s="23"/>
      <c r="T888" s="22"/>
    </row>
    <row r="889" spans="15:20" ht="15.75" customHeight="1" x14ac:dyDescent="0.3">
      <c r="O889" s="21"/>
      <c r="P889" s="22"/>
      <c r="Q889" s="21"/>
      <c r="R889" s="21"/>
      <c r="S889" s="23"/>
      <c r="T889" s="22"/>
    </row>
    <row r="890" spans="15:20" ht="15.75" customHeight="1" x14ac:dyDescent="0.3">
      <c r="O890" s="21"/>
      <c r="P890" s="22"/>
      <c r="Q890" s="21"/>
      <c r="R890" s="21"/>
      <c r="S890" s="23"/>
      <c r="T890" s="22"/>
    </row>
    <row r="891" spans="15:20" ht="15.75" customHeight="1" x14ac:dyDescent="0.3">
      <c r="O891" s="21"/>
      <c r="P891" s="22"/>
      <c r="Q891" s="21"/>
      <c r="R891" s="21"/>
      <c r="S891" s="23"/>
      <c r="T891" s="22"/>
    </row>
    <row r="892" spans="15:20" ht="15.75" customHeight="1" x14ac:dyDescent="0.3">
      <c r="O892" s="21"/>
      <c r="P892" s="22"/>
      <c r="Q892" s="21"/>
      <c r="R892" s="21"/>
      <c r="S892" s="23"/>
      <c r="T892" s="22"/>
    </row>
    <row r="893" spans="15:20" ht="15.75" customHeight="1" x14ac:dyDescent="0.3">
      <c r="O893" s="21"/>
      <c r="P893" s="22"/>
      <c r="Q893" s="21"/>
      <c r="R893" s="21"/>
      <c r="S893" s="23"/>
      <c r="T893" s="22"/>
    </row>
    <row r="894" spans="15:20" ht="15.75" customHeight="1" x14ac:dyDescent="0.3">
      <c r="O894" s="21"/>
      <c r="P894" s="22"/>
      <c r="Q894" s="21"/>
      <c r="R894" s="21"/>
      <c r="S894" s="23"/>
      <c r="T894" s="22"/>
    </row>
    <row r="895" spans="15:20" ht="15.75" customHeight="1" x14ac:dyDescent="0.3">
      <c r="O895" s="21"/>
      <c r="P895" s="22"/>
      <c r="Q895" s="21"/>
      <c r="R895" s="21"/>
      <c r="S895" s="23"/>
      <c r="T895" s="22"/>
    </row>
    <row r="896" spans="15:20" ht="15.75" customHeight="1" x14ac:dyDescent="0.3">
      <c r="O896" s="21"/>
      <c r="P896" s="22"/>
      <c r="Q896" s="21"/>
      <c r="R896" s="21"/>
      <c r="S896" s="23"/>
      <c r="T896" s="22"/>
    </row>
    <row r="897" spans="15:20" ht="15.75" customHeight="1" x14ac:dyDescent="0.3">
      <c r="O897" s="21"/>
      <c r="P897" s="22"/>
      <c r="Q897" s="21"/>
      <c r="R897" s="21"/>
      <c r="S897" s="23"/>
      <c r="T897" s="22"/>
    </row>
    <row r="898" spans="15:20" ht="15.75" customHeight="1" x14ac:dyDescent="0.3">
      <c r="O898" s="21"/>
      <c r="P898" s="22"/>
      <c r="Q898" s="21"/>
      <c r="R898" s="21"/>
      <c r="S898" s="23"/>
      <c r="T898" s="22"/>
    </row>
    <row r="899" spans="15:20" ht="15.75" customHeight="1" x14ac:dyDescent="0.3">
      <c r="O899" s="21"/>
      <c r="P899" s="22"/>
      <c r="Q899" s="21"/>
      <c r="R899" s="21"/>
      <c r="S899" s="23"/>
      <c r="T899" s="22"/>
    </row>
    <row r="900" spans="15:20" ht="15.75" customHeight="1" x14ac:dyDescent="0.3">
      <c r="O900" s="21"/>
      <c r="P900" s="22"/>
      <c r="Q900" s="21"/>
      <c r="R900" s="21"/>
      <c r="S900" s="23"/>
      <c r="T900" s="22"/>
    </row>
    <row r="901" spans="15:20" ht="15.75" customHeight="1" x14ac:dyDescent="0.3">
      <c r="O901" s="21"/>
      <c r="P901" s="22"/>
      <c r="Q901" s="21"/>
      <c r="R901" s="21"/>
      <c r="S901" s="23"/>
      <c r="T901" s="22"/>
    </row>
    <row r="902" spans="15:20" ht="15.75" customHeight="1" x14ac:dyDescent="0.3">
      <c r="O902" s="21"/>
      <c r="P902" s="22"/>
      <c r="Q902" s="21"/>
      <c r="R902" s="21"/>
      <c r="S902" s="23"/>
      <c r="T902" s="22"/>
    </row>
    <row r="903" spans="15:20" ht="15.75" customHeight="1" x14ac:dyDescent="0.3">
      <c r="O903" s="21"/>
      <c r="P903" s="22"/>
      <c r="Q903" s="21"/>
      <c r="R903" s="21"/>
      <c r="S903" s="23"/>
      <c r="T903" s="22"/>
    </row>
    <row r="904" spans="15:20" ht="15.75" customHeight="1" x14ac:dyDescent="0.3">
      <c r="O904" s="21"/>
      <c r="P904" s="22"/>
      <c r="Q904" s="21"/>
      <c r="R904" s="21"/>
      <c r="S904" s="23"/>
      <c r="T904" s="22"/>
    </row>
    <row r="905" spans="15:20" ht="15.75" customHeight="1" x14ac:dyDescent="0.3">
      <c r="O905" s="21"/>
      <c r="P905" s="22"/>
      <c r="Q905" s="21"/>
      <c r="R905" s="21"/>
      <c r="S905" s="23"/>
      <c r="T905" s="22"/>
    </row>
    <row r="906" spans="15:20" ht="15.75" customHeight="1" x14ac:dyDescent="0.3">
      <c r="O906" s="21"/>
      <c r="P906" s="22"/>
      <c r="Q906" s="21"/>
      <c r="R906" s="21"/>
      <c r="S906" s="23"/>
      <c r="T906" s="22"/>
    </row>
    <row r="907" spans="15:20" ht="15.75" customHeight="1" x14ac:dyDescent="0.3">
      <c r="O907" s="21"/>
      <c r="P907" s="22"/>
      <c r="Q907" s="21"/>
      <c r="R907" s="21"/>
      <c r="S907" s="23"/>
      <c r="T907" s="22"/>
    </row>
    <row r="908" spans="15:20" ht="15.75" customHeight="1" x14ac:dyDescent="0.3">
      <c r="O908" s="21"/>
      <c r="P908" s="22"/>
      <c r="Q908" s="21"/>
      <c r="R908" s="21"/>
      <c r="S908" s="23"/>
      <c r="T908" s="22"/>
    </row>
    <row r="909" spans="15:20" ht="15.75" customHeight="1" x14ac:dyDescent="0.3">
      <c r="O909" s="21"/>
      <c r="P909" s="22"/>
      <c r="Q909" s="21"/>
      <c r="R909" s="21"/>
      <c r="S909" s="23"/>
      <c r="T909" s="22"/>
    </row>
    <row r="910" spans="15:20" ht="15.75" customHeight="1" x14ac:dyDescent="0.3">
      <c r="O910" s="21"/>
      <c r="P910" s="22"/>
      <c r="Q910" s="21"/>
      <c r="R910" s="21"/>
      <c r="S910" s="23"/>
      <c r="T910" s="22"/>
    </row>
    <row r="911" spans="15:20" ht="15.75" customHeight="1" x14ac:dyDescent="0.3">
      <c r="O911" s="21"/>
      <c r="P911" s="22"/>
      <c r="Q911" s="21"/>
      <c r="R911" s="21"/>
      <c r="S911" s="23"/>
      <c r="T911" s="22"/>
    </row>
    <row r="912" spans="15:20" ht="15.75" customHeight="1" x14ac:dyDescent="0.3">
      <c r="O912" s="21"/>
      <c r="P912" s="22"/>
      <c r="Q912" s="21"/>
      <c r="R912" s="21"/>
      <c r="S912" s="23"/>
      <c r="T912" s="22"/>
    </row>
    <row r="913" spans="15:20" ht="15.75" customHeight="1" x14ac:dyDescent="0.3">
      <c r="O913" s="21"/>
      <c r="P913" s="22"/>
      <c r="Q913" s="21"/>
      <c r="R913" s="21"/>
      <c r="S913" s="23"/>
      <c r="T913" s="22"/>
    </row>
    <row r="914" spans="15:20" ht="15.75" customHeight="1" x14ac:dyDescent="0.3">
      <c r="O914" s="21"/>
      <c r="P914" s="22"/>
      <c r="Q914" s="21"/>
      <c r="R914" s="21"/>
      <c r="S914" s="23"/>
      <c r="T914" s="22"/>
    </row>
    <row r="915" spans="15:20" ht="15.75" customHeight="1" x14ac:dyDescent="0.3">
      <c r="O915" s="21"/>
      <c r="P915" s="22"/>
      <c r="Q915" s="21"/>
      <c r="R915" s="21"/>
      <c r="S915" s="23"/>
      <c r="T915" s="22"/>
    </row>
    <row r="916" spans="15:20" ht="15.75" customHeight="1" x14ac:dyDescent="0.3">
      <c r="O916" s="21"/>
      <c r="P916" s="22"/>
      <c r="Q916" s="21"/>
      <c r="R916" s="21"/>
      <c r="S916" s="23"/>
      <c r="T916" s="22"/>
    </row>
    <row r="917" spans="15:20" ht="15.75" customHeight="1" x14ac:dyDescent="0.3">
      <c r="O917" s="21"/>
      <c r="P917" s="22"/>
      <c r="Q917" s="21"/>
      <c r="R917" s="21"/>
      <c r="S917" s="23"/>
      <c r="T917" s="22"/>
    </row>
    <row r="918" spans="15:20" ht="15.75" customHeight="1" x14ac:dyDescent="0.3">
      <c r="O918" s="21"/>
      <c r="P918" s="22"/>
      <c r="Q918" s="21"/>
      <c r="R918" s="21"/>
      <c r="S918" s="23"/>
      <c r="T918" s="22"/>
    </row>
    <row r="919" spans="15:20" ht="15.75" customHeight="1" x14ac:dyDescent="0.3">
      <c r="O919" s="21"/>
      <c r="P919" s="22"/>
      <c r="Q919" s="21"/>
      <c r="R919" s="21"/>
      <c r="S919" s="23"/>
      <c r="T919" s="22"/>
    </row>
    <row r="920" spans="15:20" ht="15.75" customHeight="1" x14ac:dyDescent="0.3">
      <c r="O920" s="21"/>
      <c r="P920" s="22"/>
      <c r="Q920" s="21"/>
      <c r="R920" s="21"/>
      <c r="S920" s="23"/>
      <c r="T920" s="22"/>
    </row>
    <row r="921" spans="15:20" ht="15.75" customHeight="1" x14ac:dyDescent="0.3">
      <c r="O921" s="21"/>
      <c r="P921" s="22"/>
      <c r="Q921" s="21"/>
      <c r="R921" s="21"/>
      <c r="S921" s="23"/>
      <c r="T921" s="22"/>
    </row>
    <row r="922" spans="15:20" ht="15.75" customHeight="1" x14ac:dyDescent="0.3">
      <c r="O922" s="21"/>
      <c r="P922" s="22"/>
      <c r="Q922" s="21"/>
      <c r="R922" s="21"/>
      <c r="S922" s="23"/>
      <c r="T922" s="22"/>
    </row>
    <row r="923" spans="15:20" ht="15.75" customHeight="1" x14ac:dyDescent="0.3">
      <c r="O923" s="21"/>
      <c r="P923" s="22"/>
      <c r="Q923" s="21"/>
      <c r="R923" s="21"/>
      <c r="S923" s="23"/>
      <c r="T923" s="22"/>
    </row>
    <row r="924" spans="15:20" ht="15.75" customHeight="1" x14ac:dyDescent="0.3">
      <c r="O924" s="21"/>
      <c r="P924" s="22"/>
      <c r="Q924" s="21"/>
      <c r="R924" s="21"/>
      <c r="S924" s="23"/>
      <c r="T924" s="22"/>
    </row>
    <row r="925" spans="15:20" ht="15.75" customHeight="1" x14ac:dyDescent="0.3">
      <c r="O925" s="21"/>
      <c r="P925" s="22"/>
      <c r="Q925" s="21"/>
      <c r="R925" s="21"/>
      <c r="S925" s="23"/>
      <c r="T925" s="22"/>
    </row>
    <row r="926" spans="15:20" ht="15.75" customHeight="1" x14ac:dyDescent="0.3">
      <c r="O926" s="21"/>
      <c r="P926" s="22"/>
      <c r="Q926" s="21"/>
      <c r="R926" s="21"/>
      <c r="S926" s="23"/>
      <c r="T926" s="22"/>
    </row>
    <row r="927" spans="15:20" ht="15.75" customHeight="1" x14ac:dyDescent="0.3">
      <c r="O927" s="21"/>
      <c r="P927" s="22"/>
      <c r="Q927" s="21"/>
      <c r="R927" s="21"/>
      <c r="S927" s="23"/>
      <c r="T927" s="22"/>
    </row>
    <row r="928" spans="15:20" ht="15.75" customHeight="1" x14ac:dyDescent="0.3">
      <c r="O928" s="21"/>
      <c r="P928" s="22"/>
      <c r="Q928" s="21"/>
      <c r="R928" s="21"/>
      <c r="S928" s="23"/>
      <c r="T928" s="22"/>
    </row>
    <row r="929" spans="15:20" ht="15.75" customHeight="1" x14ac:dyDescent="0.3">
      <c r="O929" s="21"/>
      <c r="P929" s="22"/>
      <c r="Q929" s="21"/>
      <c r="R929" s="21"/>
      <c r="S929" s="23"/>
      <c r="T929" s="22"/>
    </row>
    <row r="930" spans="15:20" ht="15.75" customHeight="1" x14ac:dyDescent="0.3">
      <c r="O930" s="21"/>
      <c r="P930" s="22"/>
      <c r="Q930" s="21"/>
      <c r="R930" s="21"/>
      <c r="S930" s="23"/>
      <c r="T930" s="22"/>
    </row>
    <row r="931" spans="15:20" ht="15.75" customHeight="1" x14ac:dyDescent="0.3">
      <c r="O931" s="21"/>
      <c r="P931" s="22"/>
      <c r="Q931" s="21"/>
      <c r="R931" s="21"/>
      <c r="S931" s="23"/>
      <c r="T931" s="22"/>
    </row>
    <row r="932" spans="15:20" ht="15.75" customHeight="1" x14ac:dyDescent="0.3">
      <c r="O932" s="21"/>
      <c r="P932" s="22"/>
      <c r="Q932" s="21"/>
      <c r="R932" s="21"/>
      <c r="S932" s="23"/>
      <c r="T932" s="22"/>
    </row>
    <row r="933" spans="15:20" ht="15.75" customHeight="1" x14ac:dyDescent="0.3">
      <c r="O933" s="21"/>
      <c r="P933" s="22"/>
      <c r="Q933" s="21"/>
      <c r="R933" s="21"/>
      <c r="S933" s="23"/>
      <c r="T933" s="22"/>
    </row>
    <row r="934" spans="15:20" ht="15.75" customHeight="1" x14ac:dyDescent="0.3">
      <c r="O934" s="21"/>
      <c r="P934" s="22"/>
      <c r="Q934" s="21"/>
      <c r="R934" s="21"/>
      <c r="S934" s="23"/>
      <c r="T934" s="22"/>
    </row>
    <row r="935" spans="15:20" ht="15.75" customHeight="1" x14ac:dyDescent="0.3">
      <c r="O935" s="21"/>
      <c r="P935" s="22"/>
      <c r="Q935" s="21"/>
      <c r="R935" s="21"/>
      <c r="S935" s="23"/>
      <c r="T935" s="22"/>
    </row>
    <row r="936" spans="15:20" ht="15.75" customHeight="1" x14ac:dyDescent="0.3">
      <c r="O936" s="21"/>
      <c r="P936" s="22"/>
      <c r="Q936" s="21"/>
      <c r="R936" s="21"/>
      <c r="S936" s="23"/>
      <c r="T936" s="22"/>
    </row>
    <row r="937" spans="15:20" ht="15.75" customHeight="1" x14ac:dyDescent="0.3">
      <c r="O937" s="21"/>
      <c r="P937" s="22"/>
      <c r="Q937" s="21"/>
      <c r="R937" s="21"/>
      <c r="S937" s="23"/>
      <c r="T937" s="22"/>
    </row>
    <row r="938" spans="15:20" ht="15.75" customHeight="1" x14ac:dyDescent="0.3">
      <c r="O938" s="21"/>
      <c r="P938" s="22"/>
      <c r="Q938" s="21"/>
      <c r="R938" s="21"/>
      <c r="S938" s="23"/>
      <c r="T938" s="22"/>
    </row>
    <row r="939" spans="15:20" ht="15.75" customHeight="1" x14ac:dyDescent="0.3">
      <c r="O939" s="21"/>
      <c r="P939" s="22"/>
      <c r="Q939" s="21"/>
      <c r="R939" s="21"/>
      <c r="S939" s="23"/>
      <c r="T939" s="22"/>
    </row>
    <row r="940" spans="15:20" ht="15.75" customHeight="1" x14ac:dyDescent="0.3">
      <c r="O940" s="21"/>
      <c r="P940" s="22"/>
      <c r="Q940" s="21"/>
      <c r="R940" s="21"/>
      <c r="S940" s="23"/>
      <c r="T940" s="22"/>
    </row>
    <row r="941" spans="15:20" ht="15.75" customHeight="1" x14ac:dyDescent="0.3">
      <c r="O941" s="21"/>
      <c r="P941" s="22"/>
      <c r="Q941" s="21"/>
      <c r="R941" s="21"/>
      <c r="S941" s="23"/>
      <c r="T941" s="22"/>
    </row>
    <row r="942" spans="15:20" ht="15.75" customHeight="1" x14ac:dyDescent="0.3">
      <c r="O942" s="21"/>
      <c r="P942" s="22"/>
      <c r="Q942" s="21"/>
      <c r="R942" s="21"/>
      <c r="S942" s="23"/>
      <c r="T942" s="22"/>
    </row>
    <row r="943" spans="15:20" ht="15.75" customHeight="1" x14ac:dyDescent="0.3">
      <c r="O943" s="21"/>
      <c r="P943" s="22"/>
      <c r="Q943" s="21"/>
      <c r="R943" s="21"/>
      <c r="S943" s="23"/>
      <c r="T943" s="22"/>
    </row>
    <row r="944" spans="15:20" ht="15.75" customHeight="1" x14ac:dyDescent="0.3">
      <c r="O944" s="21"/>
      <c r="P944" s="22"/>
      <c r="Q944" s="21"/>
      <c r="R944" s="21"/>
      <c r="S944" s="23"/>
      <c r="T944" s="22"/>
    </row>
    <row r="945" spans="15:20" ht="15.75" customHeight="1" x14ac:dyDescent="0.3">
      <c r="O945" s="21"/>
      <c r="P945" s="22"/>
      <c r="Q945" s="21"/>
      <c r="R945" s="21"/>
      <c r="S945" s="23"/>
      <c r="T945" s="22"/>
    </row>
    <row r="946" spans="15:20" ht="15.75" customHeight="1" x14ac:dyDescent="0.3">
      <c r="O946" s="21"/>
      <c r="P946" s="22"/>
      <c r="Q946" s="21"/>
      <c r="R946" s="21"/>
      <c r="S946" s="23"/>
      <c r="T946" s="22"/>
    </row>
    <row r="947" spans="15:20" ht="15.75" customHeight="1" x14ac:dyDescent="0.3">
      <c r="O947" s="21"/>
      <c r="P947" s="22"/>
      <c r="Q947" s="21"/>
      <c r="R947" s="21"/>
      <c r="S947" s="23"/>
      <c r="T947" s="22"/>
    </row>
    <row r="948" spans="15:20" ht="15.75" customHeight="1" x14ac:dyDescent="0.3">
      <c r="O948" s="21"/>
      <c r="P948" s="22"/>
      <c r="Q948" s="21"/>
      <c r="R948" s="21"/>
      <c r="S948" s="23"/>
      <c r="T948" s="22"/>
    </row>
    <row r="949" spans="15:20" ht="15.75" customHeight="1" x14ac:dyDescent="0.3">
      <c r="O949" s="21"/>
      <c r="P949" s="22"/>
      <c r="Q949" s="21"/>
      <c r="R949" s="21"/>
      <c r="S949" s="23"/>
      <c r="T949" s="22"/>
    </row>
    <row r="950" spans="15:20" ht="15.75" customHeight="1" x14ac:dyDescent="0.3">
      <c r="O950" s="21"/>
      <c r="P950" s="22"/>
      <c r="Q950" s="21"/>
      <c r="R950" s="21"/>
      <c r="S950" s="23"/>
      <c r="T950" s="22"/>
    </row>
    <row r="951" spans="15:20" ht="15.75" customHeight="1" x14ac:dyDescent="0.3">
      <c r="O951" s="21"/>
      <c r="P951" s="22"/>
      <c r="Q951" s="21"/>
      <c r="R951" s="21"/>
      <c r="S951" s="23"/>
      <c r="T951" s="22"/>
    </row>
    <row r="952" spans="15:20" ht="15.75" customHeight="1" x14ac:dyDescent="0.3">
      <c r="O952" s="21"/>
      <c r="P952" s="22"/>
      <c r="Q952" s="21"/>
      <c r="R952" s="21"/>
      <c r="S952" s="23"/>
      <c r="T952" s="22"/>
    </row>
    <row r="953" spans="15:20" ht="15.75" customHeight="1" x14ac:dyDescent="0.3">
      <c r="O953" s="21"/>
      <c r="P953" s="22"/>
      <c r="Q953" s="21"/>
      <c r="R953" s="21"/>
      <c r="S953" s="23"/>
      <c r="T953" s="22"/>
    </row>
    <row r="954" spans="15:20" ht="15.75" customHeight="1" x14ac:dyDescent="0.3">
      <c r="O954" s="21"/>
      <c r="P954" s="22"/>
      <c r="Q954" s="21"/>
      <c r="R954" s="21"/>
      <c r="S954" s="23"/>
      <c r="T954" s="22"/>
    </row>
    <row r="955" spans="15:20" ht="15.75" customHeight="1" x14ac:dyDescent="0.3">
      <c r="O955" s="21"/>
      <c r="P955" s="22"/>
      <c r="Q955" s="21"/>
      <c r="R955" s="21"/>
      <c r="S955" s="23"/>
      <c r="T955" s="22"/>
    </row>
    <row r="956" spans="15:20" ht="15.75" customHeight="1" x14ac:dyDescent="0.3">
      <c r="O956" s="21"/>
      <c r="P956" s="22"/>
      <c r="Q956" s="21"/>
      <c r="R956" s="21"/>
      <c r="S956" s="23"/>
      <c r="T956" s="22"/>
    </row>
    <row r="957" spans="15:20" ht="15.75" customHeight="1" x14ac:dyDescent="0.3">
      <c r="O957" s="21"/>
      <c r="P957" s="22"/>
      <c r="Q957" s="21"/>
      <c r="R957" s="21"/>
      <c r="S957" s="23"/>
      <c r="T957" s="22"/>
    </row>
    <row r="958" spans="15:20" ht="15.75" customHeight="1" x14ac:dyDescent="0.3">
      <c r="O958" s="21"/>
      <c r="P958" s="22"/>
      <c r="Q958" s="21"/>
      <c r="R958" s="21"/>
      <c r="S958" s="23"/>
      <c r="T958" s="22"/>
    </row>
    <row r="959" spans="15:20" ht="15.75" customHeight="1" x14ac:dyDescent="0.3">
      <c r="O959" s="21"/>
      <c r="P959" s="22"/>
      <c r="Q959" s="21"/>
      <c r="R959" s="21"/>
      <c r="S959" s="23"/>
      <c r="T959" s="22"/>
    </row>
    <row r="960" spans="15:20" ht="15.75" customHeight="1" x14ac:dyDescent="0.3">
      <c r="O960" s="21"/>
      <c r="P960" s="22"/>
      <c r="Q960" s="21"/>
      <c r="R960" s="21"/>
      <c r="S960" s="23"/>
      <c r="T960" s="22"/>
    </row>
    <row r="961" spans="15:20" ht="15.75" customHeight="1" x14ac:dyDescent="0.3">
      <c r="O961" s="21"/>
      <c r="P961" s="22"/>
      <c r="Q961" s="21"/>
      <c r="R961" s="21"/>
      <c r="S961" s="23"/>
      <c r="T961" s="22"/>
    </row>
    <row r="962" spans="15:20" ht="15.75" customHeight="1" x14ac:dyDescent="0.3">
      <c r="O962" s="21"/>
      <c r="P962" s="22"/>
      <c r="Q962" s="21"/>
      <c r="R962" s="21"/>
      <c r="S962" s="23"/>
      <c r="T962" s="22"/>
    </row>
    <row r="963" spans="15:20" ht="15.75" customHeight="1" x14ac:dyDescent="0.3">
      <c r="O963" s="21"/>
      <c r="P963" s="22"/>
      <c r="Q963" s="21"/>
      <c r="R963" s="21"/>
      <c r="S963" s="23"/>
      <c r="T963" s="22"/>
    </row>
    <row r="964" spans="15:20" ht="15.75" customHeight="1" x14ac:dyDescent="0.3">
      <c r="O964" s="21"/>
      <c r="P964" s="22"/>
      <c r="Q964" s="21"/>
      <c r="R964" s="21"/>
      <c r="S964" s="23"/>
      <c r="T964" s="22"/>
    </row>
    <row r="965" spans="15:20" ht="15.75" customHeight="1" x14ac:dyDescent="0.3">
      <c r="O965" s="21"/>
      <c r="P965" s="22"/>
      <c r="Q965" s="21"/>
      <c r="R965" s="21"/>
      <c r="S965" s="23"/>
      <c r="T965" s="22"/>
    </row>
    <row r="966" spans="15:20" ht="15.75" customHeight="1" x14ac:dyDescent="0.3">
      <c r="O966" s="21"/>
      <c r="P966" s="22"/>
      <c r="Q966" s="21"/>
      <c r="R966" s="21"/>
      <c r="S966" s="23"/>
      <c r="T966" s="22"/>
    </row>
    <row r="967" spans="15:20" ht="15.75" customHeight="1" x14ac:dyDescent="0.3">
      <c r="O967" s="21"/>
      <c r="P967" s="22"/>
      <c r="Q967" s="21"/>
      <c r="R967" s="21"/>
      <c r="S967" s="23"/>
      <c r="T967" s="22"/>
    </row>
    <row r="968" spans="15:20" ht="15.75" customHeight="1" x14ac:dyDescent="0.3">
      <c r="O968" s="21"/>
      <c r="P968" s="22"/>
      <c r="Q968" s="21"/>
      <c r="R968" s="21"/>
      <c r="S968" s="23"/>
      <c r="T968" s="22"/>
    </row>
    <row r="969" spans="15:20" ht="15.75" customHeight="1" x14ac:dyDescent="0.3">
      <c r="O969" s="21"/>
      <c r="P969" s="22"/>
      <c r="Q969" s="21"/>
      <c r="R969" s="21"/>
      <c r="S969" s="23"/>
      <c r="T969" s="22"/>
    </row>
    <row r="970" spans="15:20" ht="15.75" customHeight="1" x14ac:dyDescent="0.3">
      <c r="O970" s="21"/>
      <c r="P970" s="22"/>
      <c r="Q970" s="21"/>
      <c r="R970" s="21"/>
      <c r="S970" s="23"/>
      <c r="T970" s="22"/>
    </row>
    <row r="971" spans="15:20" ht="15.75" customHeight="1" x14ac:dyDescent="0.3">
      <c r="O971" s="21"/>
      <c r="P971" s="22"/>
      <c r="Q971" s="21"/>
      <c r="R971" s="21"/>
      <c r="S971" s="23"/>
      <c r="T971" s="22"/>
    </row>
    <row r="972" spans="15:20" ht="15.75" customHeight="1" x14ac:dyDescent="0.3">
      <c r="O972" s="21"/>
      <c r="P972" s="22"/>
      <c r="Q972" s="21"/>
      <c r="R972" s="21"/>
      <c r="S972" s="23"/>
      <c r="T972" s="22"/>
    </row>
    <row r="973" spans="15:20" ht="15.75" customHeight="1" x14ac:dyDescent="0.3">
      <c r="O973" s="21"/>
      <c r="P973" s="22"/>
      <c r="Q973" s="21"/>
      <c r="R973" s="21"/>
      <c r="S973" s="23"/>
      <c r="T973" s="22"/>
    </row>
    <row r="974" spans="15:20" ht="15.75" customHeight="1" x14ac:dyDescent="0.3">
      <c r="O974" s="21"/>
      <c r="P974" s="22"/>
      <c r="Q974" s="21"/>
      <c r="R974" s="21"/>
      <c r="S974" s="23"/>
      <c r="T974" s="22"/>
    </row>
    <row r="975" spans="15:20" ht="15.75" customHeight="1" x14ac:dyDescent="0.3">
      <c r="O975" s="21"/>
      <c r="P975" s="22"/>
      <c r="Q975" s="21"/>
      <c r="R975" s="21"/>
      <c r="S975" s="23"/>
      <c r="T975" s="22"/>
    </row>
    <row r="976" spans="15:20" ht="15.75" customHeight="1" x14ac:dyDescent="0.3">
      <c r="O976" s="21"/>
      <c r="P976" s="22"/>
      <c r="Q976" s="21"/>
      <c r="R976" s="21"/>
      <c r="S976" s="23"/>
      <c r="T976" s="22"/>
    </row>
    <row r="977" spans="15:20" ht="15.75" customHeight="1" x14ac:dyDescent="0.3">
      <c r="O977" s="21"/>
      <c r="P977" s="22"/>
      <c r="Q977" s="21"/>
      <c r="R977" s="21"/>
      <c r="S977" s="23"/>
      <c r="T977" s="22"/>
    </row>
    <row r="978" spans="15:20" ht="15.75" customHeight="1" x14ac:dyDescent="0.3">
      <c r="O978" s="21"/>
      <c r="P978" s="22"/>
      <c r="Q978" s="21"/>
      <c r="R978" s="21"/>
      <c r="S978" s="23"/>
      <c r="T978" s="22"/>
    </row>
    <row r="979" spans="15:20" ht="15.75" customHeight="1" x14ac:dyDescent="0.3">
      <c r="O979" s="21"/>
      <c r="P979" s="22"/>
      <c r="Q979" s="21"/>
      <c r="R979" s="21"/>
      <c r="S979" s="23"/>
      <c r="T979" s="22"/>
    </row>
    <row r="980" spans="15:20" ht="15.75" customHeight="1" x14ac:dyDescent="0.3">
      <c r="O980" s="21"/>
      <c r="P980" s="22"/>
      <c r="Q980" s="21"/>
      <c r="R980" s="21"/>
      <c r="S980" s="23"/>
      <c r="T980" s="22"/>
    </row>
    <row r="981" spans="15:20" ht="15.75" customHeight="1" x14ac:dyDescent="0.3">
      <c r="O981" s="21"/>
      <c r="P981" s="22"/>
      <c r="Q981" s="21"/>
      <c r="R981" s="21"/>
      <c r="S981" s="23"/>
      <c r="T981" s="22"/>
    </row>
    <row r="982" spans="15:20" ht="15.75" customHeight="1" x14ac:dyDescent="0.3">
      <c r="O982" s="21"/>
      <c r="P982" s="22"/>
      <c r="Q982" s="21"/>
      <c r="R982" s="21"/>
      <c r="S982" s="23"/>
      <c r="T982" s="22"/>
    </row>
    <row r="983" spans="15:20" ht="15.75" customHeight="1" x14ac:dyDescent="0.3">
      <c r="O983" s="21"/>
      <c r="P983" s="22"/>
      <c r="Q983" s="21"/>
      <c r="R983" s="21"/>
      <c r="S983" s="23"/>
      <c r="T983" s="22"/>
    </row>
    <row r="984" spans="15:20" ht="15.75" customHeight="1" x14ac:dyDescent="0.3">
      <c r="O984" s="21"/>
      <c r="P984" s="22"/>
      <c r="Q984" s="21"/>
      <c r="R984" s="21"/>
      <c r="S984" s="23"/>
      <c r="T984" s="22"/>
    </row>
    <row r="985" spans="15:20" ht="15.75" customHeight="1" x14ac:dyDescent="0.3">
      <c r="O985" s="21"/>
      <c r="P985" s="22"/>
      <c r="Q985" s="21"/>
      <c r="R985" s="21"/>
      <c r="S985" s="23"/>
      <c r="T985" s="22"/>
    </row>
    <row r="986" spans="15:20" ht="15.75" customHeight="1" x14ac:dyDescent="0.3">
      <c r="O986" s="21"/>
      <c r="P986" s="22"/>
      <c r="Q986" s="21"/>
      <c r="R986" s="21"/>
      <c r="S986" s="23"/>
      <c r="T986" s="22"/>
    </row>
    <row r="987" spans="15:20" ht="15.75" customHeight="1" x14ac:dyDescent="0.3">
      <c r="O987" s="21"/>
      <c r="P987" s="22"/>
      <c r="Q987" s="21"/>
      <c r="R987" s="21"/>
      <c r="S987" s="23"/>
      <c r="T987" s="22"/>
    </row>
    <row r="988" spans="15:20" ht="15.75" customHeight="1" x14ac:dyDescent="0.3">
      <c r="O988" s="21"/>
      <c r="P988" s="22"/>
      <c r="Q988" s="21"/>
      <c r="R988" s="21"/>
      <c r="S988" s="23"/>
      <c r="T988" s="22"/>
    </row>
    <row r="989" spans="15:20" ht="15.75" customHeight="1" x14ac:dyDescent="0.3">
      <c r="O989" s="21"/>
      <c r="P989" s="22"/>
      <c r="Q989" s="21"/>
      <c r="R989" s="21"/>
      <c r="S989" s="23"/>
      <c r="T989" s="22"/>
    </row>
    <row r="990" spans="15:20" ht="15.75" customHeight="1" x14ac:dyDescent="0.3">
      <c r="O990" s="21"/>
      <c r="P990" s="22"/>
      <c r="Q990" s="21"/>
      <c r="R990" s="21"/>
      <c r="S990" s="23"/>
      <c r="T990" s="22"/>
    </row>
    <row r="991" spans="15:20" ht="15.75" customHeight="1" x14ac:dyDescent="0.3">
      <c r="O991" s="21"/>
      <c r="P991" s="22"/>
      <c r="Q991" s="21"/>
      <c r="R991" s="21"/>
      <c r="S991" s="23"/>
      <c r="T991" s="22"/>
    </row>
    <row r="992" spans="15:20" ht="15.75" customHeight="1" x14ac:dyDescent="0.3">
      <c r="O992" s="21"/>
      <c r="P992" s="22"/>
      <c r="Q992" s="21"/>
      <c r="R992" s="21"/>
      <c r="S992" s="23"/>
      <c r="T992" s="22"/>
    </row>
    <row r="993" spans="15:20" ht="15.75" customHeight="1" x14ac:dyDescent="0.3">
      <c r="O993" s="21"/>
      <c r="P993" s="22"/>
      <c r="Q993" s="21"/>
      <c r="R993" s="21"/>
      <c r="S993" s="23"/>
      <c r="T993" s="22"/>
    </row>
    <row r="994" spans="15:20" ht="15.75" customHeight="1" x14ac:dyDescent="0.3">
      <c r="O994" s="21"/>
      <c r="P994" s="22"/>
      <c r="Q994" s="21"/>
      <c r="R994" s="21"/>
      <c r="S994" s="23"/>
      <c r="T994" s="22"/>
    </row>
    <row r="995" spans="15:20" ht="15.75" customHeight="1" x14ac:dyDescent="0.3">
      <c r="O995" s="21"/>
      <c r="P995" s="22"/>
      <c r="Q995" s="21"/>
      <c r="R995" s="21"/>
      <c r="S995" s="23"/>
      <c r="T995" s="22"/>
    </row>
    <row r="996" spans="15:20" ht="15.75" customHeight="1" x14ac:dyDescent="0.3">
      <c r="O996" s="21"/>
      <c r="P996" s="22"/>
      <c r="Q996" s="21"/>
      <c r="R996" s="21"/>
      <c r="S996" s="23"/>
      <c r="T996" s="22"/>
    </row>
    <row r="997" spans="15:20" ht="15.75" customHeight="1" x14ac:dyDescent="0.3">
      <c r="O997" s="21"/>
      <c r="P997" s="22"/>
      <c r="Q997" s="21"/>
      <c r="R997" s="21"/>
      <c r="S997" s="23"/>
      <c r="T997" s="22"/>
    </row>
    <row r="998" spans="15:20" ht="15.75" customHeight="1" x14ac:dyDescent="0.3">
      <c r="O998" s="21"/>
      <c r="P998" s="22"/>
      <c r="Q998" s="21"/>
      <c r="R998" s="21"/>
      <c r="S998" s="23"/>
      <c r="T998" s="22"/>
    </row>
    <row r="999" spans="15:20" ht="15.75" customHeight="1" x14ac:dyDescent="0.3">
      <c r="O999" s="21"/>
      <c r="P999" s="22"/>
      <c r="Q999" s="21"/>
      <c r="R999" s="21"/>
      <c r="S999" s="23"/>
      <c r="T999" s="22"/>
    </row>
    <row r="1000" spans="15:20" ht="15.75" customHeight="1" x14ac:dyDescent="0.3">
      <c r="O1000" s="21"/>
      <c r="P1000" s="22"/>
      <c r="Q1000" s="21"/>
      <c r="R1000" s="21"/>
      <c r="S1000" s="23"/>
      <c r="T1000" s="22"/>
    </row>
  </sheetData>
  <mergeCells count="5">
    <mergeCell ref="O2:R2"/>
    <mergeCell ref="O3:R3"/>
    <mergeCell ref="O4:R4"/>
    <mergeCell ref="P7:T7"/>
    <mergeCell ref="P22:T22"/>
  </mergeCells>
  <hyperlinks>
    <hyperlink ref="B39" r:id="rId1" xr:uid="{00000000-0004-0000-0100-000000000000}"/>
  </hyperlinks>
  <pageMargins left="0.7" right="0.7" top="0.75" bottom="0.75" header="0" footer="0"/>
  <pageSetup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51C8B-A602-4025-9DBE-6855599F2F6C}">
  <dimension ref="A1:F15"/>
  <sheetViews>
    <sheetView workbookViewId="0">
      <selection activeCell="K4" sqref="K4"/>
    </sheetView>
  </sheetViews>
  <sheetFormatPr baseColWidth="10" defaultRowHeight="14.4" x14ac:dyDescent="0.3"/>
  <cols>
    <col min="1" max="1" width="3.21875" bestFit="1" customWidth="1"/>
    <col min="2" max="2" width="44.33203125" bestFit="1" customWidth="1"/>
    <col min="3" max="3" width="18" bestFit="1" customWidth="1"/>
    <col min="5" max="5" width="16.44140625" bestFit="1" customWidth="1"/>
  </cols>
  <sheetData>
    <row r="1" spans="1:6" s="296" customFormat="1" x14ac:dyDescent="0.3">
      <c r="A1" s="318" t="s">
        <v>585</v>
      </c>
      <c r="B1" s="318" t="s">
        <v>271</v>
      </c>
      <c r="C1" s="318" t="s">
        <v>586</v>
      </c>
      <c r="F1" s="296" t="s">
        <v>605</v>
      </c>
    </row>
    <row r="2" spans="1:6" ht="28.2" x14ac:dyDescent="0.3">
      <c r="A2" s="317">
        <v>1</v>
      </c>
      <c r="B2" s="316" t="s">
        <v>510</v>
      </c>
      <c r="C2" s="319">
        <f>PPTO!F8</f>
        <v>0</v>
      </c>
      <c r="E2" t="s">
        <v>606</v>
      </c>
      <c r="F2" s="300">
        <f>283*16.78/1000</f>
        <v>4.7487400000000006</v>
      </c>
    </row>
    <row r="3" spans="1:6" x14ac:dyDescent="0.3">
      <c r="A3" s="317">
        <v>2</v>
      </c>
      <c r="B3" s="316" t="s">
        <v>511</v>
      </c>
      <c r="C3" s="319">
        <f>PPTO!F80</f>
        <v>0</v>
      </c>
      <c r="E3" t="s">
        <v>607</v>
      </c>
      <c r="F3" s="300">
        <v>5</v>
      </c>
    </row>
    <row r="4" spans="1:6" x14ac:dyDescent="0.3">
      <c r="A4" s="317">
        <v>3</v>
      </c>
      <c r="B4" s="316" t="s">
        <v>593</v>
      </c>
      <c r="C4" s="319">
        <f>PPTO!F128</f>
        <v>0</v>
      </c>
      <c r="E4" t="s">
        <v>608</v>
      </c>
      <c r="F4" s="300">
        <v>1</v>
      </c>
    </row>
    <row r="5" spans="1:6" x14ac:dyDescent="0.3">
      <c r="A5" s="317">
        <v>4</v>
      </c>
      <c r="B5" s="316" t="s">
        <v>594</v>
      </c>
      <c r="C5" s="319">
        <f>PPTO!F159</f>
        <v>0</v>
      </c>
    </row>
    <row r="6" spans="1:6" x14ac:dyDescent="0.3">
      <c r="A6" s="317">
        <v>5</v>
      </c>
      <c r="B6" s="316" t="s">
        <v>513</v>
      </c>
      <c r="C6" s="319">
        <f>PPTO!F191</f>
        <v>0</v>
      </c>
    </row>
    <row r="7" spans="1:6" ht="28.2" x14ac:dyDescent="0.3">
      <c r="A7" s="317">
        <v>6</v>
      </c>
      <c r="B7" s="316" t="s">
        <v>535</v>
      </c>
      <c r="C7" s="319">
        <f>PPTO!F219</f>
        <v>0</v>
      </c>
    </row>
    <row r="8" spans="1:6" x14ac:dyDescent="0.3">
      <c r="A8" s="317">
        <v>7</v>
      </c>
      <c r="B8" s="316" t="s">
        <v>588</v>
      </c>
      <c r="C8" s="319">
        <f>PPTO!F227</f>
        <v>0</v>
      </c>
    </row>
    <row r="9" spans="1:6" x14ac:dyDescent="0.3">
      <c r="A9" s="317">
        <v>8</v>
      </c>
      <c r="B9" s="316" t="s">
        <v>589</v>
      </c>
      <c r="C9" s="319">
        <f>PPTO!F228</f>
        <v>0</v>
      </c>
    </row>
    <row r="10" spans="1:6" x14ac:dyDescent="0.3">
      <c r="A10" s="317">
        <v>9</v>
      </c>
      <c r="B10" s="316" t="s">
        <v>590</v>
      </c>
      <c r="C10" s="319">
        <f>PPTO!F229</f>
        <v>0</v>
      </c>
    </row>
    <row r="11" spans="1:6" x14ac:dyDescent="0.3">
      <c r="A11" s="317">
        <v>10</v>
      </c>
      <c r="B11" s="316" t="s">
        <v>591</v>
      </c>
      <c r="C11" s="319">
        <f>PPTO!F231</f>
        <v>0</v>
      </c>
    </row>
    <row r="12" spans="1:6" x14ac:dyDescent="0.3">
      <c r="A12" s="320"/>
      <c r="B12" s="321" t="s">
        <v>592</v>
      </c>
      <c r="C12" s="322">
        <f>SUM(C2:C11)</f>
        <v>0</v>
      </c>
    </row>
    <row r="13" spans="1:6" x14ac:dyDescent="0.3">
      <c r="A13" s="317">
        <v>11</v>
      </c>
      <c r="B13" s="316" t="s">
        <v>416</v>
      </c>
      <c r="C13" s="319">
        <f>PPTO!F235</f>
        <v>0</v>
      </c>
    </row>
    <row r="14" spans="1:6" x14ac:dyDescent="0.3">
      <c r="A14" s="320"/>
      <c r="B14" s="321" t="s">
        <v>289</v>
      </c>
      <c r="C14" s="323">
        <f>C12+C13</f>
        <v>0</v>
      </c>
      <c r="E14" s="325">
        <f>C14*0.4</f>
        <v>0</v>
      </c>
    </row>
    <row r="15" spans="1:6" x14ac:dyDescent="0.3">
      <c r="E15" s="325">
        <f>C14-E14</f>
        <v>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I911"/>
  <sheetViews>
    <sheetView showGridLines="0" tabSelected="1" view="pageBreakPreview" zoomScaleNormal="100" zoomScaleSheetLayoutView="100" workbookViewId="0">
      <selection activeCell="E228" sqref="E228"/>
    </sheetView>
  </sheetViews>
  <sheetFormatPr baseColWidth="10" defaultColWidth="14.44140625" defaultRowHeight="17.399999999999999" outlineLevelRow="1" x14ac:dyDescent="0.35"/>
  <cols>
    <col min="1" max="1" width="6.88671875" style="215" customWidth="1"/>
    <col min="2" max="2" width="95.44140625" style="215" customWidth="1"/>
    <col min="3" max="3" width="8.6640625" style="215" customWidth="1"/>
    <col min="4" max="4" width="15.6640625" style="287" customWidth="1"/>
    <col min="5" max="5" width="24.6640625" style="288" customWidth="1"/>
    <col min="6" max="6" width="26.33203125" style="288" bestFit="1" customWidth="1"/>
    <col min="7" max="7" width="15.33203125" style="215" customWidth="1"/>
    <col min="8" max="8" width="27.109375" style="254" customWidth="1"/>
    <col min="9" max="16384" width="14.44140625" style="215"/>
  </cols>
  <sheetData>
    <row r="1" spans="1:8" ht="15.6" x14ac:dyDescent="0.3">
      <c r="A1" s="374" t="s">
        <v>551</v>
      </c>
      <c r="B1" s="375"/>
      <c r="C1" s="375"/>
      <c r="D1" s="380"/>
      <c r="E1" s="381"/>
      <c r="F1" s="382"/>
      <c r="G1" s="214"/>
      <c r="H1" s="218"/>
    </row>
    <row r="2" spans="1:8" ht="15.6" x14ac:dyDescent="0.3">
      <c r="A2" s="376"/>
      <c r="B2" s="377"/>
      <c r="C2" s="377"/>
      <c r="D2" s="383"/>
      <c r="E2" s="383"/>
      <c r="F2" s="384"/>
      <c r="G2" s="214"/>
      <c r="H2" s="218"/>
    </row>
    <row r="3" spans="1:8" ht="15.6" x14ac:dyDescent="0.3">
      <c r="A3" s="376"/>
      <c r="B3" s="377"/>
      <c r="C3" s="377"/>
      <c r="D3" s="383"/>
      <c r="E3" s="383"/>
      <c r="F3" s="384"/>
      <c r="G3" s="214"/>
      <c r="H3" s="218"/>
    </row>
    <row r="4" spans="1:8" ht="15.6" x14ac:dyDescent="0.3">
      <c r="A4" s="376"/>
      <c r="B4" s="377"/>
      <c r="C4" s="377"/>
      <c r="D4" s="383"/>
      <c r="E4" s="383"/>
      <c r="F4" s="384"/>
      <c r="G4" s="214"/>
      <c r="H4" s="218"/>
    </row>
    <row r="5" spans="1:8" ht="16.2" thickBot="1" x14ac:dyDescent="0.35">
      <c r="A5" s="378"/>
      <c r="B5" s="379"/>
      <c r="C5" s="379"/>
      <c r="D5" s="385"/>
      <c r="E5" s="385"/>
      <c r="F5" s="386"/>
      <c r="G5" s="214"/>
      <c r="H5" s="218"/>
    </row>
    <row r="6" spans="1:8" ht="15.6" x14ac:dyDescent="0.3">
      <c r="A6" s="387" t="s">
        <v>492</v>
      </c>
      <c r="B6" s="388"/>
      <c r="C6" s="388"/>
      <c r="D6" s="388"/>
      <c r="E6" s="388"/>
      <c r="F6" s="389"/>
      <c r="G6" s="214"/>
      <c r="H6" s="218"/>
    </row>
    <row r="7" spans="1:8" x14ac:dyDescent="0.3">
      <c r="A7" s="219"/>
      <c r="B7" s="207" t="s">
        <v>84</v>
      </c>
      <c r="C7" s="220" t="s">
        <v>85</v>
      </c>
      <c r="D7" s="255" t="s">
        <v>86</v>
      </c>
      <c r="E7" s="256" t="s">
        <v>87</v>
      </c>
      <c r="F7" s="257" t="s">
        <v>88</v>
      </c>
      <c r="G7" s="214"/>
      <c r="H7" s="218" t="s">
        <v>553</v>
      </c>
    </row>
    <row r="8" spans="1:8" x14ac:dyDescent="0.3">
      <c r="A8" s="390" t="s">
        <v>510</v>
      </c>
      <c r="B8" s="391"/>
      <c r="C8" s="391"/>
      <c r="D8" s="391"/>
      <c r="E8" s="392"/>
      <c r="F8" s="258">
        <f>+F9+F12+F18++F22+F24+F26+F29+F33+F36+F42+F57+F68+F78</f>
        <v>0</v>
      </c>
      <c r="G8" s="214"/>
      <c r="H8" s="217"/>
    </row>
    <row r="9" spans="1:8" outlineLevel="1" x14ac:dyDescent="0.3">
      <c r="A9" s="221">
        <v>1</v>
      </c>
      <c r="B9" s="208" t="s">
        <v>89</v>
      </c>
      <c r="C9" s="222"/>
      <c r="D9" s="259"/>
      <c r="E9" s="360"/>
      <c r="F9" s="260">
        <f>SUM(F10:F11)</f>
        <v>0</v>
      </c>
      <c r="G9" s="223"/>
      <c r="H9" s="217"/>
    </row>
    <row r="10" spans="1:8" outlineLevel="1" x14ac:dyDescent="0.3">
      <c r="A10" s="224">
        <f t="shared" ref="A10:A21" si="0">A9+0.01</f>
        <v>1.01</v>
      </c>
      <c r="B10" s="225" t="s">
        <v>526</v>
      </c>
      <c r="C10" s="226" t="s">
        <v>102</v>
      </c>
      <c r="D10" s="263">
        <v>1</v>
      </c>
      <c r="E10" s="361"/>
      <c r="F10" s="262">
        <f t="shared" ref="F10:F17" si="1">ROUND(D10*E10,0)</f>
        <v>0</v>
      </c>
      <c r="G10" s="227"/>
      <c r="H10" s="217">
        <f>1*D10</f>
        <v>1</v>
      </c>
    </row>
    <row r="11" spans="1:8" outlineLevel="1" x14ac:dyDescent="0.3">
      <c r="A11" s="224">
        <f t="shared" si="0"/>
        <v>1.02</v>
      </c>
      <c r="B11" s="225" t="s">
        <v>519</v>
      </c>
      <c r="C11" s="226" t="s">
        <v>90</v>
      </c>
      <c r="D11" s="263">
        <v>100</v>
      </c>
      <c r="E11" s="361"/>
      <c r="F11" s="262">
        <f t="shared" si="1"/>
        <v>0</v>
      </c>
      <c r="G11" s="214"/>
      <c r="H11" s="217">
        <f>5*D11/1000</f>
        <v>0.5</v>
      </c>
    </row>
    <row r="12" spans="1:8" outlineLevel="1" x14ac:dyDescent="0.3">
      <c r="A12" s="221">
        <v>2</v>
      </c>
      <c r="B12" s="208" t="s">
        <v>493</v>
      </c>
      <c r="C12" s="222"/>
      <c r="D12" s="259"/>
      <c r="E12" s="360"/>
      <c r="F12" s="260">
        <f>SUM(F13:F17)</f>
        <v>0</v>
      </c>
      <c r="G12" s="227"/>
      <c r="H12" s="217"/>
    </row>
    <row r="13" spans="1:8" ht="31.2" outlineLevel="1" x14ac:dyDescent="0.3">
      <c r="A13" s="224">
        <f t="shared" si="0"/>
        <v>2.0099999999999998</v>
      </c>
      <c r="B13" s="225" t="s">
        <v>527</v>
      </c>
      <c r="C13" s="226" t="s">
        <v>93</v>
      </c>
      <c r="D13" s="263">
        <v>20.27</v>
      </c>
      <c r="E13" s="361"/>
      <c r="F13" s="262">
        <f t="shared" ref="F13:F14" si="2">ROUND(D13*E13,0)</f>
        <v>0</v>
      </c>
      <c r="G13" s="227"/>
      <c r="H13" s="217"/>
    </row>
    <row r="14" spans="1:8" outlineLevel="1" x14ac:dyDescent="0.3">
      <c r="A14" s="224">
        <f t="shared" si="0"/>
        <v>2.0199999999999996</v>
      </c>
      <c r="B14" s="225" t="s">
        <v>528</v>
      </c>
      <c r="C14" s="226" t="s">
        <v>33</v>
      </c>
      <c r="D14" s="263">
        <v>28</v>
      </c>
      <c r="E14" s="361"/>
      <c r="F14" s="262">
        <f t="shared" si="2"/>
        <v>0</v>
      </c>
      <c r="G14" s="227"/>
      <c r="H14" s="217">
        <f>((8050*0.4*0.3*0.005)/1000)*D14</f>
        <v>0.13524</v>
      </c>
    </row>
    <row r="15" spans="1:8" outlineLevel="1" x14ac:dyDescent="0.3">
      <c r="A15" s="224">
        <f t="shared" si="0"/>
        <v>2.0299999999999994</v>
      </c>
      <c r="B15" s="225" t="s">
        <v>529</v>
      </c>
      <c r="C15" s="226" t="s">
        <v>33</v>
      </c>
      <c r="D15" s="263">
        <v>24</v>
      </c>
      <c r="E15" s="361"/>
      <c r="F15" s="262">
        <f t="shared" si="1"/>
        <v>0</v>
      </c>
      <c r="G15" s="227"/>
      <c r="H15" s="217">
        <f>(8050*(0.3*0.145*0.005)/1000)*D15</f>
        <v>4.2021000000000003E-2</v>
      </c>
    </row>
    <row r="16" spans="1:8" outlineLevel="1" x14ac:dyDescent="0.3">
      <c r="A16" s="224">
        <f t="shared" si="0"/>
        <v>2.0399999999999991</v>
      </c>
      <c r="B16" s="225" t="s">
        <v>618</v>
      </c>
      <c r="C16" s="226" t="s">
        <v>33</v>
      </c>
      <c r="D16" s="263">
        <v>28</v>
      </c>
      <c r="E16" s="361"/>
      <c r="F16" s="262">
        <f t="shared" si="1"/>
        <v>0</v>
      </c>
      <c r="G16" s="227"/>
      <c r="H16" s="217">
        <f>(8050*(0.3*0.145*0.005)/1000)*D16</f>
        <v>4.9024499999999999E-2</v>
      </c>
    </row>
    <row r="17" spans="1:9" outlineLevel="1" x14ac:dyDescent="0.3">
      <c r="A17" s="224">
        <f t="shared" si="0"/>
        <v>2.0499999999999989</v>
      </c>
      <c r="B17" s="225" t="s">
        <v>530</v>
      </c>
      <c r="C17" s="226" t="s">
        <v>33</v>
      </c>
      <c r="D17" s="263">
        <v>13</v>
      </c>
      <c r="E17" s="361"/>
      <c r="F17" s="262">
        <f t="shared" si="1"/>
        <v>0</v>
      </c>
      <c r="G17" s="227"/>
      <c r="H17" s="217">
        <v>0.1</v>
      </c>
    </row>
    <row r="18" spans="1:9" outlineLevel="1" x14ac:dyDescent="0.3">
      <c r="A18" s="221">
        <v>3</v>
      </c>
      <c r="B18" s="208" t="s">
        <v>494</v>
      </c>
      <c r="C18" s="222"/>
      <c r="D18" s="259"/>
      <c r="E18" s="360"/>
      <c r="F18" s="260">
        <f>SUM(F19:F21)</f>
        <v>0</v>
      </c>
      <c r="G18" s="227"/>
      <c r="H18" s="217"/>
    </row>
    <row r="19" spans="1:9" ht="46.8" outlineLevel="1" x14ac:dyDescent="0.3">
      <c r="A19" s="224">
        <f t="shared" si="0"/>
        <v>3.01</v>
      </c>
      <c r="B19" s="225" t="s">
        <v>596</v>
      </c>
      <c r="C19" s="226" t="s">
        <v>90</v>
      </c>
      <c r="D19" s="263">
        <v>108.2</v>
      </c>
      <c r="E19" s="361"/>
      <c r="F19" s="262">
        <f t="shared" ref="F19:F21" si="3">ROUND(D19*E19,0)</f>
        <v>0</v>
      </c>
      <c r="G19" s="227"/>
      <c r="H19" s="217">
        <f>10*D19/1000</f>
        <v>1.0820000000000001</v>
      </c>
    </row>
    <row r="20" spans="1:9" ht="31.2" outlineLevel="1" x14ac:dyDescent="0.3">
      <c r="A20" s="224">
        <f t="shared" si="0"/>
        <v>3.0199999999999996</v>
      </c>
      <c r="B20" s="225" t="s">
        <v>520</v>
      </c>
      <c r="C20" s="226" t="s">
        <v>33</v>
      </c>
      <c r="D20" s="263">
        <v>11</v>
      </c>
      <c r="E20" s="361"/>
      <c r="F20" s="262">
        <f t="shared" si="3"/>
        <v>0</v>
      </c>
      <c r="G20" s="227"/>
      <c r="H20" s="217">
        <f>35*D20/1000</f>
        <v>0.38500000000000001</v>
      </c>
    </row>
    <row r="21" spans="1:9" outlineLevel="1" x14ac:dyDescent="0.3">
      <c r="A21" s="224">
        <f t="shared" si="0"/>
        <v>3.0299999999999994</v>
      </c>
      <c r="B21" s="225" t="s">
        <v>495</v>
      </c>
      <c r="C21" s="226" t="s">
        <v>90</v>
      </c>
      <c r="D21" s="263">
        <v>108.2</v>
      </c>
      <c r="E21" s="361"/>
      <c r="F21" s="262">
        <f t="shared" si="3"/>
        <v>0</v>
      </c>
      <c r="G21" s="227"/>
      <c r="H21" s="217">
        <f>0.5*D21/1000</f>
        <v>5.4100000000000002E-2</v>
      </c>
    </row>
    <row r="22" spans="1:9" outlineLevel="1" x14ac:dyDescent="0.3">
      <c r="A22" s="221">
        <v>4</v>
      </c>
      <c r="B22" s="208" t="s">
        <v>613</v>
      </c>
      <c r="C22" s="222"/>
      <c r="D22" s="259"/>
      <c r="E22" s="360"/>
      <c r="F22" s="260">
        <f>SUM(F23:F25)</f>
        <v>0</v>
      </c>
      <c r="G22" s="227"/>
      <c r="H22" s="217"/>
    </row>
    <row r="23" spans="1:9" outlineLevel="1" x14ac:dyDescent="0.3">
      <c r="A23" s="224">
        <v>4.01</v>
      </c>
      <c r="B23" s="324" t="s">
        <v>614</v>
      </c>
      <c r="C23" s="226" t="s">
        <v>60</v>
      </c>
      <c r="D23" s="263">
        <v>200</v>
      </c>
      <c r="E23" s="361"/>
      <c r="F23" s="262">
        <f>D23*E23</f>
        <v>0</v>
      </c>
      <c r="G23" s="227"/>
      <c r="H23" s="217"/>
    </row>
    <row r="24" spans="1:9" outlineLevel="1" x14ac:dyDescent="0.3">
      <c r="A24" s="228">
        <v>5</v>
      </c>
      <c r="B24" s="229" t="s">
        <v>619</v>
      </c>
      <c r="C24" s="230"/>
      <c r="D24" s="264"/>
      <c r="E24" s="362"/>
      <c r="F24" s="265">
        <f>SUM(F25:F25)</f>
        <v>0</v>
      </c>
      <c r="G24" s="214"/>
      <c r="H24" s="218"/>
    </row>
    <row r="25" spans="1:9" outlineLevel="1" x14ac:dyDescent="0.3">
      <c r="A25" s="231">
        <v>5.01</v>
      </c>
      <c r="B25" s="232" t="s">
        <v>620</v>
      </c>
      <c r="C25" s="233" t="s">
        <v>33</v>
      </c>
      <c r="D25" s="261">
        <v>1</v>
      </c>
      <c r="E25" s="363"/>
      <c r="F25" s="266">
        <f t="shared" ref="F25" si="4">ROUND(D25*E25,0)</f>
        <v>0</v>
      </c>
      <c r="G25" s="214"/>
      <c r="H25" s="217">
        <v>0.5</v>
      </c>
    </row>
    <row r="26" spans="1:9" outlineLevel="1" x14ac:dyDescent="0.3">
      <c r="A26" s="228">
        <v>6</v>
      </c>
      <c r="B26" s="209" t="s">
        <v>500</v>
      </c>
      <c r="C26" s="230"/>
      <c r="D26" s="264"/>
      <c r="E26" s="362"/>
      <c r="F26" s="265">
        <f>SUM(F27:F28)</f>
        <v>0</v>
      </c>
      <c r="G26" s="234"/>
      <c r="H26" s="218"/>
    </row>
    <row r="27" spans="1:9" ht="31.2" outlineLevel="1" x14ac:dyDescent="0.3">
      <c r="A27" s="231">
        <f>A26+0.01</f>
        <v>6.01</v>
      </c>
      <c r="B27" s="232" t="s">
        <v>531</v>
      </c>
      <c r="C27" s="216" t="s">
        <v>90</v>
      </c>
      <c r="D27" s="261">
        <v>546</v>
      </c>
      <c r="E27" s="363"/>
      <c r="F27" s="266">
        <f t="shared" ref="F27:F28" si="5">ROUND(D27*E27,0)</f>
        <v>0</v>
      </c>
      <c r="G27" s="234"/>
      <c r="H27" s="217">
        <f>30*21.84/1000</f>
        <v>0.6552</v>
      </c>
      <c r="I27" s="215">
        <f>D27/25</f>
        <v>21.84</v>
      </c>
    </row>
    <row r="28" spans="1:9" ht="31.2" outlineLevel="1" x14ac:dyDescent="0.3">
      <c r="A28" s="231">
        <f>A27+0.01</f>
        <v>6.02</v>
      </c>
      <c r="B28" s="232" t="s">
        <v>501</v>
      </c>
      <c r="C28" s="216" t="s">
        <v>90</v>
      </c>
      <c r="D28" s="261">
        <v>396.88</v>
      </c>
      <c r="E28" s="363"/>
      <c r="F28" s="266">
        <f t="shared" si="5"/>
        <v>0</v>
      </c>
      <c r="G28" s="234"/>
      <c r="H28" s="217">
        <f>30*I28/1000</f>
        <v>0.47625599999999996</v>
      </c>
      <c r="I28" s="215">
        <f>D28/25</f>
        <v>15.8752</v>
      </c>
    </row>
    <row r="29" spans="1:9" outlineLevel="1" x14ac:dyDescent="0.3">
      <c r="A29" s="228">
        <v>7</v>
      </c>
      <c r="B29" s="209" t="s">
        <v>94</v>
      </c>
      <c r="C29" s="230"/>
      <c r="D29" s="264"/>
      <c r="E29" s="362"/>
      <c r="F29" s="265">
        <f>SUM(F30:F32)</f>
        <v>0</v>
      </c>
      <c r="G29" s="223"/>
      <c r="H29" s="217"/>
    </row>
    <row r="30" spans="1:9" ht="46.8" outlineLevel="1" x14ac:dyDescent="0.3">
      <c r="A30" s="224">
        <f t="shared" ref="A30:A32" si="6">A29+0.01</f>
        <v>7.01</v>
      </c>
      <c r="B30" s="232" t="s">
        <v>552</v>
      </c>
      <c r="C30" s="235" t="s">
        <v>90</v>
      </c>
      <c r="D30" s="267">
        <v>275</v>
      </c>
      <c r="E30" s="364"/>
      <c r="F30" s="262">
        <f t="shared" ref="F30:F32" si="7">ROUND(D30*E30,0)</f>
        <v>0</v>
      </c>
      <c r="G30" s="214"/>
      <c r="H30" s="217">
        <f>0.0034*D30*7850/1000</f>
        <v>7.3397500000000004</v>
      </c>
    </row>
    <row r="31" spans="1:9" outlineLevel="1" x14ac:dyDescent="0.3">
      <c r="A31" s="224">
        <f t="shared" si="6"/>
        <v>7.02</v>
      </c>
      <c r="B31" s="225" t="s">
        <v>572</v>
      </c>
      <c r="C31" s="226" t="s">
        <v>93</v>
      </c>
      <c r="D31" s="263">
        <v>64.52</v>
      </c>
      <c r="E31" s="361"/>
      <c r="F31" s="262">
        <f t="shared" si="7"/>
        <v>0</v>
      </c>
      <c r="G31" s="223"/>
      <c r="H31" s="217">
        <f>2*D31/1000</f>
        <v>0.12903999999999999</v>
      </c>
    </row>
    <row r="32" spans="1:9" outlineLevel="1" x14ac:dyDescent="0.3">
      <c r="A32" s="224">
        <f t="shared" si="6"/>
        <v>7.0299999999999994</v>
      </c>
      <c r="B32" s="225" t="s">
        <v>573</v>
      </c>
      <c r="C32" s="226" t="s">
        <v>93</v>
      </c>
      <c r="D32" s="263">
        <v>30</v>
      </c>
      <c r="E32" s="361"/>
      <c r="F32" s="262">
        <f t="shared" si="7"/>
        <v>0</v>
      </c>
      <c r="G32" s="223"/>
      <c r="H32" s="217">
        <f>2*D32/1000</f>
        <v>0.06</v>
      </c>
    </row>
    <row r="33" spans="1:8" outlineLevel="1" x14ac:dyDescent="0.3">
      <c r="A33" s="221">
        <v>8</v>
      </c>
      <c r="B33" s="208" t="s">
        <v>96</v>
      </c>
      <c r="C33" s="222"/>
      <c r="D33" s="259"/>
      <c r="E33" s="360"/>
      <c r="F33" s="260">
        <f>SUM(F34:F35)</f>
        <v>0</v>
      </c>
      <c r="G33" s="223"/>
      <c r="H33" s="217"/>
    </row>
    <row r="34" spans="1:8" outlineLevel="1" x14ac:dyDescent="0.3">
      <c r="A34" s="224">
        <f>A33+0.01</f>
        <v>8.01</v>
      </c>
      <c r="B34" s="225" t="s">
        <v>523</v>
      </c>
      <c r="C34" s="236" t="s">
        <v>514</v>
      </c>
      <c r="D34" s="263">
        <v>6.3</v>
      </c>
      <c r="E34" s="361"/>
      <c r="F34" s="262">
        <f t="shared" ref="F34:F35" si="8">ROUND(D34*E34,0)</f>
        <v>0</v>
      </c>
      <c r="G34" s="214"/>
      <c r="H34" s="217"/>
    </row>
    <row r="35" spans="1:8" outlineLevel="1" x14ac:dyDescent="0.3">
      <c r="A35" s="224">
        <f t="shared" ref="A35" si="9">A34+0.01</f>
        <v>8.02</v>
      </c>
      <c r="B35" s="225" t="s">
        <v>518</v>
      </c>
      <c r="C35" s="236" t="s">
        <v>93</v>
      </c>
      <c r="D35" s="263">
        <v>30</v>
      </c>
      <c r="E35" s="361"/>
      <c r="F35" s="262">
        <f t="shared" si="8"/>
        <v>0</v>
      </c>
      <c r="G35" s="214"/>
      <c r="H35" s="217">
        <v>0.08</v>
      </c>
    </row>
    <row r="36" spans="1:8" outlineLevel="1" x14ac:dyDescent="0.3">
      <c r="A36" s="221">
        <v>9</v>
      </c>
      <c r="B36" s="237" t="s">
        <v>97</v>
      </c>
      <c r="C36" s="222"/>
      <c r="D36" s="259"/>
      <c r="E36" s="360"/>
      <c r="F36" s="260">
        <f>SUM(F37:F41)</f>
        <v>0</v>
      </c>
      <c r="G36" s="223"/>
      <c r="H36" s="217"/>
    </row>
    <row r="37" spans="1:8" ht="31.2" outlineLevel="1" x14ac:dyDescent="0.3">
      <c r="A37" s="224">
        <f t="shared" ref="A37:A41" si="10">A36+0.01</f>
        <v>9.01</v>
      </c>
      <c r="B37" s="225" t="s">
        <v>98</v>
      </c>
      <c r="C37" s="226" t="s">
        <v>33</v>
      </c>
      <c r="D37" s="263">
        <v>2</v>
      </c>
      <c r="E37" s="361"/>
      <c r="F37" s="262">
        <f t="shared" ref="F37:F41" si="11">ROUND(D37*E37,0)</f>
        <v>0</v>
      </c>
      <c r="G37" s="214"/>
      <c r="H37" s="217">
        <v>0.06</v>
      </c>
    </row>
    <row r="38" spans="1:8" ht="31.2" outlineLevel="1" x14ac:dyDescent="0.3">
      <c r="A38" s="224">
        <f t="shared" si="10"/>
        <v>9.02</v>
      </c>
      <c r="B38" s="225" t="s">
        <v>498</v>
      </c>
      <c r="C38" s="226" t="s">
        <v>33</v>
      </c>
      <c r="D38" s="263">
        <v>2</v>
      </c>
      <c r="E38" s="361"/>
      <c r="F38" s="262">
        <f t="shared" si="11"/>
        <v>0</v>
      </c>
      <c r="G38" s="214"/>
      <c r="H38" s="217">
        <v>0.06</v>
      </c>
    </row>
    <row r="39" spans="1:8" ht="31.2" outlineLevel="1" x14ac:dyDescent="0.3">
      <c r="A39" s="224">
        <f t="shared" si="10"/>
        <v>9.0299999999999994</v>
      </c>
      <c r="B39" s="225" t="s">
        <v>508</v>
      </c>
      <c r="C39" s="226" t="s">
        <v>33</v>
      </c>
      <c r="D39" s="263">
        <v>2</v>
      </c>
      <c r="E39" s="361"/>
      <c r="F39" s="262">
        <f t="shared" si="11"/>
        <v>0</v>
      </c>
      <c r="G39" s="214"/>
      <c r="H39" s="217">
        <v>0.06</v>
      </c>
    </row>
    <row r="40" spans="1:8" ht="31.2" outlineLevel="1" x14ac:dyDescent="0.3">
      <c r="A40" s="224">
        <f t="shared" si="10"/>
        <v>9.0399999999999991</v>
      </c>
      <c r="B40" s="225" t="s">
        <v>521</v>
      </c>
      <c r="C40" s="226" t="s">
        <v>33</v>
      </c>
      <c r="D40" s="263">
        <v>1</v>
      </c>
      <c r="E40" s="361"/>
      <c r="F40" s="262">
        <f t="shared" si="11"/>
        <v>0</v>
      </c>
      <c r="G40" s="214"/>
      <c r="H40" s="217">
        <v>0.03</v>
      </c>
    </row>
    <row r="41" spans="1:8" outlineLevel="1" x14ac:dyDescent="0.3">
      <c r="A41" s="224">
        <f t="shared" si="10"/>
        <v>9.0499999999999989</v>
      </c>
      <c r="B41" s="225" t="s">
        <v>697</v>
      </c>
      <c r="C41" s="226" t="s">
        <v>33</v>
      </c>
      <c r="D41" s="263">
        <v>1</v>
      </c>
      <c r="E41" s="361"/>
      <c r="F41" s="262">
        <f t="shared" si="11"/>
        <v>0</v>
      </c>
      <c r="G41" s="214"/>
      <c r="H41" s="217">
        <v>0.05</v>
      </c>
    </row>
    <row r="42" spans="1:8" outlineLevel="1" x14ac:dyDescent="0.3">
      <c r="A42" s="221">
        <v>10</v>
      </c>
      <c r="B42" s="208" t="s">
        <v>99</v>
      </c>
      <c r="C42" s="222"/>
      <c r="D42" s="259"/>
      <c r="E42" s="360"/>
      <c r="F42" s="260">
        <f>SUM(F43:F56)</f>
        <v>0</v>
      </c>
      <c r="G42" s="223"/>
      <c r="H42" s="217"/>
    </row>
    <row r="43" spans="1:8" ht="46.8" outlineLevel="1" x14ac:dyDescent="0.3">
      <c r="A43" s="224">
        <f t="shared" ref="A43:A56" si="12">A42+0.01</f>
        <v>10.01</v>
      </c>
      <c r="B43" s="225" t="s">
        <v>566</v>
      </c>
      <c r="C43" s="236" t="s">
        <v>33</v>
      </c>
      <c r="D43" s="263">
        <v>1</v>
      </c>
      <c r="E43" s="361"/>
      <c r="F43" s="262">
        <f t="shared" ref="F43:F56" si="13">ROUND(D43*E43,0)</f>
        <v>0</v>
      </c>
      <c r="G43" s="214"/>
      <c r="H43" s="217">
        <v>0.05</v>
      </c>
    </row>
    <row r="44" spans="1:8" ht="62.4" outlineLevel="1" x14ac:dyDescent="0.3">
      <c r="A44" s="224">
        <f t="shared" si="12"/>
        <v>10.02</v>
      </c>
      <c r="B44" s="225" t="s">
        <v>565</v>
      </c>
      <c r="C44" s="236" t="s">
        <v>33</v>
      </c>
      <c r="D44" s="263">
        <v>24</v>
      </c>
      <c r="E44" s="361"/>
      <c r="F44" s="262">
        <f t="shared" si="13"/>
        <v>0</v>
      </c>
      <c r="G44" s="214"/>
      <c r="H44" s="217">
        <v>0.05</v>
      </c>
    </row>
    <row r="45" spans="1:8" ht="62.4" outlineLevel="1" x14ac:dyDescent="0.3">
      <c r="A45" s="224">
        <f t="shared" si="12"/>
        <v>10.029999999999999</v>
      </c>
      <c r="B45" s="225" t="s">
        <v>564</v>
      </c>
      <c r="C45" s="236" t="s">
        <v>33</v>
      </c>
      <c r="D45" s="263">
        <v>4</v>
      </c>
      <c r="E45" s="361"/>
      <c r="F45" s="262">
        <f t="shared" si="13"/>
        <v>0</v>
      </c>
      <c r="G45" s="214"/>
      <c r="H45" s="217">
        <v>0.05</v>
      </c>
    </row>
    <row r="46" spans="1:8" ht="62.4" outlineLevel="1" x14ac:dyDescent="0.3">
      <c r="A46" s="224">
        <f t="shared" si="12"/>
        <v>10.039999999999999</v>
      </c>
      <c r="B46" s="225" t="s">
        <v>563</v>
      </c>
      <c r="C46" s="236" t="s">
        <v>33</v>
      </c>
      <c r="D46" s="263">
        <v>23</v>
      </c>
      <c r="E46" s="361"/>
      <c r="F46" s="262">
        <f t="shared" si="13"/>
        <v>0</v>
      </c>
      <c r="G46" s="214"/>
      <c r="H46" s="217">
        <v>0.1</v>
      </c>
    </row>
    <row r="47" spans="1:8" ht="62.4" outlineLevel="1" x14ac:dyDescent="0.3">
      <c r="A47" s="224">
        <f t="shared" si="12"/>
        <v>10.049999999999999</v>
      </c>
      <c r="B47" s="225" t="s">
        <v>562</v>
      </c>
      <c r="C47" s="236" t="s">
        <v>33</v>
      </c>
      <c r="D47" s="263">
        <v>6</v>
      </c>
      <c r="E47" s="361"/>
      <c r="F47" s="262">
        <f t="shared" si="13"/>
        <v>0</v>
      </c>
      <c r="G47" s="214"/>
      <c r="H47" s="217">
        <v>0.1</v>
      </c>
    </row>
    <row r="48" spans="1:8" ht="62.4" outlineLevel="1" x14ac:dyDescent="0.3">
      <c r="A48" s="224">
        <f t="shared" si="12"/>
        <v>10.059999999999999</v>
      </c>
      <c r="B48" s="225" t="s">
        <v>561</v>
      </c>
      <c r="C48" s="236" t="s">
        <v>33</v>
      </c>
      <c r="D48" s="263">
        <v>7</v>
      </c>
      <c r="E48" s="361"/>
      <c r="F48" s="262">
        <f t="shared" si="13"/>
        <v>0</v>
      </c>
      <c r="G48" s="214"/>
      <c r="H48" s="217">
        <v>0.02</v>
      </c>
    </row>
    <row r="49" spans="1:8" ht="62.4" outlineLevel="1" x14ac:dyDescent="0.3">
      <c r="A49" s="224">
        <f t="shared" si="12"/>
        <v>10.069999999999999</v>
      </c>
      <c r="B49" s="225" t="s">
        <v>560</v>
      </c>
      <c r="C49" s="236" t="s">
        <v>33</v>
      </c>
      <c r="D49" s="263">
        <v>8</v>
      </c>
      <c r="E49" s="361"/>
      <c r="F49" s="262">
        <f t="shared" si="13"/>
        <v>0</v>
      </c>
      <c r="G49" s="214"/>
      <c r="H49" s="217">
        <v>0.1</v>
      </c>
    </row>
    <row r="50" spans="1:8" ht="78" outlineLevel="1" x14ac:dyDescent="0.3">
      <c r="A50" s="224">
        <f t="shared" si="12"/>
        <v>10.079999999999998</v>
      </c>
      <c r="B50" s="225" t="s">
        <v>559</v>
      </c>
      <c r="C50" s="236" t="s">
        <v>33</v>
      </c>
      <c r="D50" s="263">
        <v>2</v>
      </c>
      <c r="E50" s="361"/>
      <c r="F50" s="262">
        <f t="shared" si="13"/>
        <v>0</v>
      </c>
      <c r="G50" s="214"/>
      <c r="H50" s="217">
        <v>0.01</v>
      </c>
    </row>
    <row r="51" spans="1:8" ht="62.4" outlineLevel="1" x14ac:dyDescent="0.3">
      <c r="A51" s="224">
        <f t="shared" si="12"/>
        <v>10.089999999999998</v>
      </c>
      <c r="B51" s="225" t="s">
        <v>558</v>
      </c>
      <c r="C51" s="236" t="s">
        <v>489</v>
      </c>
      <c r="D51" s="263">
        <v>4</v>
      </c>
      <c r="E51" s="361"/>
      <c r="F51" s="262">
        <f t="shared" si="13"/>
        <v>0</v>
      </c>
      <c r="G51" s="214"/>
      <c r="H51" s="217">
        <v>0.02</v>
      </c>
    </row>
    <row r="52" spans="1:8" outlineLevel="1" x14ac:dyDescent="0.3">
      <c r="A52" s="224">
        <f t="shared" si="12"/>
        <v>10.099999999999998</v>
      </c>
      <c r="B52" s="225" t="s">
        <v>557</v>
      </c>
      <c r="C52" s="236" t="s">
        <v>33</v>
      </c>
      <c r="D52" s="263">
        <v>9</v>
      </c>
      <c r="E52" s="361"/>
      <c r="F52" s="262">
        <f t="shared" si="13"/>
        <v>0</v>
      </c>
      <c r="G52" s="214"/>
      <c r="H52" s="217">
        <v>0</v>
      </c>
    </row>
    <row r="53" spans="1:8" outlineLevel="1" x14ac:dyDescent="0.3">
      <c r="A53" s="224">
        <f t="shared" si="12"/>
        <v>10.109999999999998</v>
      </c>
      <c r="B53" s="225" t="s">
        <v>556</v>
      </c>
      <c r="C53" s="236" t="s">
        <v>33</v>
      </c>
      <c r="D53" s="263">
        <v>1</v>
      </c>
      <c r="E53" s="361"/>
      <c r="F53" s="262">
        <f t="shared" si="13"/>
        <v>0</v>
      </c>
      <c r="G53" s="214"/>
      <c r="H53" s="217">
        <v>0</v>
      </c>
    </row>
    <row r="54" spans="1:8" ht="62.4" outlineLevel="1" x14ac:dyDescent="0.3">
      <c r="A54" s="224">
        <f t="shared" si="12"/>
        <v>10.119999999999997</v>
      </c>
      <c r="B54" s="225" t="s">
        <v>722</v>
      </c>
      <c r="C54" s="236" t="s">
        <v>93</v>
      </c>
      <c r="D54" s="263">
        <v>30</v>
      </c>
      <c r="E54" s="361"/>
      <c r="F54" s="262">
        <f t="shared" si="13"/>
        <v>0</v>
      </c>
      <c r="G54" s="214"/>
      <c r="H54" s="217">
        <v>0.1</v>
      </c>
    </row>
    <row r="55" spans="1:8" ht="62.4" outlineLevel="1" x14ac:dyDescent="0.3">
      <c r="A55" s="224">
        <f t="shared" si="12"/>
        <v>10.129999999999997</v>
      </c>
      <c r="B55" s="225" t="s">
        <v>555</v>
      </c>
      <c r="C55" s="236" t="s">
        <v>102</v>
      </c>
      <c r="D55" s="263">
        <v>1</v>
      </c>
      <c r="E55" s="361"/>
      <c r="F55" s="262">
        <f t="shared" si="13"/>
        <v>0</v>
      </c>
      <c r="G55" s="214"/>
      <c r="H55" s="217">
        <v>0</v>
      </c>
    </row>
    <row r="56" spans="1:8" ht="46.8" outlineLevel="1" x14ac:dyDescent="0.3">
      <c r="A56" s="224">
        <f t="shared" si="12"/>
        <v>10.139999999999997</v>
      </c>
      <c r="B56" s="225" t="s">
        <v>554</v>
      </c>
      <c r="C56" s="236" t="s">
        <v>102</v>
      </c>
      <c r="D56" s="263">
        <v>1</v>
      </c>
      <c r="E56" s="361"/>
      <c r="F56" s="262">
        <f t="shared" si="13"/>
        <v>0</v>
      </c>
      <c r="G56" s="214"/>
      <c r="H56" s="217"/>
    </row>
    <row r="57" spans="1:8" outlineLevel="1" x14ac:dyDescent="0.3">
      <c r="A57" s="221">
        <v>11</v>
      </c>
      <c r="B57" s="238" t="s">
        <v>487</v>
      </c>
      <c r="C57" s="222"/>
      <c r="D57" s="259"/>
      <c r="E57" s="360"/>
      <c r="F57" s="260">
        <f>SUM(F58:F67)</f>
        <v>0</v>
      </c>
      <c r="G57" s="223"/>
      <c r="H57" s="217">
        <v>0.5</v>
      </c>
    </row>
    <row r="58" spans="1:8" ht="46.8" outlineLevel="1" x14ac:dyDescent="0.3">
      <c r="A58" s="224">
        <f t="shared" ref="A58:A67" si="14">A57+0.01</f>
        <v>11.01</v>
      </c>
      <c r="B58" s="225" t="s">
        <v>538</v>
      </c>
      <c r="C58" s="236" t="s">
        <v>33</v>
      </c>
      <c r="D58" s="263">
        <v>2</v>
      </c>
      <c r="E58" s="361"/>
      <c r="F58" s="262">
        <f t="shared" ref="F58:F67" si="15">ROUND(D58*E58,0)</f>
        <v>0</v>
      </c>
      <c r="G58" s="214"/>
      <c r="H58" s="217"/>
    </row>
    <row r="59" spans="1:8" ht="31.2" outlineLevel="1" x14ac:dyDescent="0.3">
      <c r="A59" s="224">
        <f t="shared" si="14"/>
        <v>11.02</v>
      </c>
      <c r="B59" s="225" t="s">
        <v>549</v>
      </c>
      <c r="C59" s="236" t="s">
        <v>102</v>
      </c>
      <c r="D59" s="263">
        <v>1</v>
      </c>
      <c r="E59" s="361"/>
      <c r="F59" s="262">
        <f t="shared" si="15"/>
        <v>0</v>
      </c>
      <c r="G59" s="214"/>
      <c r="H59" s="217"/>
    </row>
    <row r="60" spans="1:8" outlineLevel="1" x14ac:dyDescent="0.3">
      <c r="A60" s="224">
        <f t="shared" si="14"/>
        <v>11.03</v>
      </c>
      <c r="B60" s="225" t="s">
        <v>539</v>
      </c>
      <c r="C60" s="236" t="s">
        <v>33</v>
      </c>
      <c r="D60" s="263">
        <v>20</v>
      </c>
      <c r="E60" s="361"/>
      <c r="F60" s="262">
        <f t="shared" si="15"/>
        <v>0</v>
      </c>
      <c r="G60" s="214"/>
      <c r="H60" s="217"/>
    </row>
    <row r="61" spans="1:8" ht="31.2" outlineLevel="1" x14ac:dyDescent="0.3">
      <c r="A61" s="224">
        <f t="shared" si="14"/>
        <v>11.04</v>
      </c>
      <c r="B61" s="225" t="s">
        <v>546</v>
      </c>
      <c r="C61" s="236" t="s">
        <v>33</v>
      </c>
      <c r="D61" s="263">
        <v>20</v>
      </c>
      <c r="E61" s="361"/>
      <c r="F61" s="262">
        <f t="shared" si="15"/>
        <v>0</v>
      </c>
      <c r="G61" s="214"/>
      <c r="H61" s="217"/>
    </row>
    <row r="62" spans="1:8" ht="46.8" outlineLevel="1" x14ac:dyDescent="0.3">
      <c r="A62" s="224">
        <f t="shared" si="14"/>
        <v>11.049999999999999</v>
      </c>
      <c r="B62" s="225" t="s">
        <v>547</v>
      </c>
      <c r="C62" s="236" t="s">
        <v>102</v>
      </c>
      <c r="D62" s="263">
        <v>1</v>
      </c>
      <c r="E62" s="361"/>
      <c r="F62" s="262">
        <f t="shared" si="15"/>
        <v>0</v>
      </c>
      <c r="G62" s="214"/>
      <c r="H62" s="217"/>
    </row>
    <row r="63" spans="1:8" ht="31.2" outlineLevel="1" x14ac:dyDescent="0.3">
      <c r="A63" s="224">
        <f t="shared" si="14"/>
        <v>11.059999999999999</v>
      </c>
      <c r="B63" s="225" t="s">
        <v>548</v>
      </c>
      <c r="C63" s="236" t="s">
        <v>102</v>
      </c>
      <c r="D63" s="263">
        <v>1</v>
      </c>
      <c r="E63" s="361"/>
      <c r="F63" s="262">
        <f t="shared" si="15"/>
        <v>0</v>
      </c>
      <c r="G63" s="214"/>
      <c r="H63" s="217"/>
    </row>
    <row r="64" spans="1:8" ht="62.4" outlineLevel="1" x14ac:dyDescent="0.3">
      <c r="A64" s="224">
        <f t="shared" si="14"/>
        <v>11.069999999999999</v>
      </c>
      <c r="B64" s="225" t="s">
        <v>540</v>
      </c>
      <c r="C64" s="236" t="s">
        <v>102</v>
      </c>
      <c r="D64" s="263">
        <v>1</v>
      </c>
      <c r="E64" s="361"/>
      <c r="F64" s="262">
        <f t="shared" si="15"/>
        <v>0</v>
      </c>
      <c r="G64" s="214"/>
      <c r="H64" s="217"/>
    </row>
    <row r="65" spans="1:8" ht="31.2" outlineLevel="1" x14ac:dyDescent="0.3">
      <c r="A65" s="224">
        <f t="shared" si="14"/>
        <v>11.079999999999998</v>
      </c>
      <c r="B65" s="225" t="s">
        <v>541</v>
      </c>
      <c r="C65" s="236" t="s">
        <v>102</v>
      </c>
      <c r="D65" s="263">
        <v>1</v>
      </c>
      <c r="E65" s="361"/>
      <c r="F65" s="262">
        <f t="shared" si="15"/>
        <v>0</v>
      </c>
      <c r="G65" s="214"/>
      <c r="H65" s="217"/>
    </row>
    <row r="66" spans="1:8" ht="46.8" outlineLevel="1" x14ac:dyDescent="0.3">
      <c r="A66" s="224">
        <f t="shared" si="14"/>
        <v>11.089999999999998</v>
      </c>
      <c r="B66" s="225" t="s">
        <v>542</v>
      </c>
      <c r="C66" s="236" t="s">
        <v>102</v>
      </c>
      <c r="D66" s="263">
        <v>1</v>
      </c>
      <c r="E66" s="361"/>
      <c r="F66" s="262">
        <f t="shared" si="15"/>
        <v>0</v>
      </c>
      <c r="G66" s="214"/>
      <c r="H66" s="217"/>
    </row>
    <row r="67" spans="1:8" ht="31.2" outlineLevel="1" x14ac:dyDescent="0.3">
      <c r="A67" s="224">
        <f t="shared" si="14"/>
        <v>11.099999999999998</v>
      </c>
      <c r="B67" s="225" t="s">
        <v>543</v>
      </c>
      <c r="C67" s="236" t="s">
        <v>102</v>
      </c>
      <c r="D67" s="263">
        <v>1</v>
      </c>
      <c r="E67" s="361"/>
      <c r="F67" s="262">
        <f t="shared" si="15"/>
        <v>0</v>
      </c>
      <c r="G67" s="214"/>
      <c r="H67" s="217"/>
    </row>
    <row r="68" spans="1:8" outlineLevel="1" x14ac:dyDescent="0.3">
      <c r="A68" s="221">
        <v>12</v>
      </c>
      <c r="B68" s="238" t="s">
        <v>103</v>
      </c>
      <c r="C68" s="222"/>
      <c r="D68" s="259"/>
      <c r="E68" s="360"/>
      <c r="F68" s="260">
        <f>SUM(F69:F77)</f>
        <v>0</v>
      </c>
      <c r="G68" s="223"/>
      <c r="H68" s="217">
        <v>0.5</v>
      </c>
    </row>
    <row r="69" spans="1:8" ht="31.2" outlineLevel="1" x14ac:dyDescent="0.3">
      <c r="A69" s="224">
        <f t="shared" ref="A69:A79" si="16">A68+0.01</f>
        <v>12.01</v>
      </c>
      <c r="B69" s="225" t="s">
        <v>544</v>
      </c>
      <c r="C69" s="236" t="s">
        <v>33</v>
      </c>
      <c r="D69" s="263">
        <v>1</v>
      </c>
      <c r="E69" s="361"/>
      <c r="F69" s="262">
        <f t="shared" ref="F69:F77" si="17">ROUND(D69*E69,0)</f>
        <v>0</v>
      </c>
      <c r="G69" s="214"/>
      <c r="H69" s="217"/>
    </row>
    <row r="70" spans="1:8" ht="31.2" outlineLevel="1" x14ac:dyDescent="0.3">
      <c r="A70" s="224">
        <f t="shared" si="16"/>
        <v>12.02</v>
      </c>
      <c r="B70" s="225" t="s">
        <v>490</v>
      </c>
      <c r="C70" s="236" t="s">
        <v>102</v>
      </c>
      <c r="D70" s="263">
        <v>1</v>
      </c>
      <c r="E70" s="361"/>
      <c r="F70" s="262">
        <f t="shared" si="17"/>
        <v>0</v>
      </c>
      <c r="G70" s="214"/>
      <c r="H70" s="217"/>
    </row>
    <row r="71" spans="1:8" outlineLevel="1" x14ac:dyDescent="0.3">
      <c r="A71" s="224">
        <f t="shared" si="16"/>
        <v>12.03</v>
      </c>
      <c r="B71" s="225" t="s">
        <v>545</v>
      </c>
      <c r="C71" s="236" t="s">
        <v>33</v>
      </c>
      <c r="D71" s="263">
        <v>2</v>
      </c>
      <c r="E71" s="361"/>
      <c r="F71" s="262">
        <f t="shared" si="17"/>
        <v>0</v>
      </c>
      <c r="G71" s="214"/>
      <c r="H71" s="217"/>
    </row>
    <row r="72" spans="1:8" ht="31.2" outlineLevel="1" x14ac:dyDescent="0.3">
      <c r="A72" s="224">
        <f t="shared" si="16"/>
        <v>12.04</v>
      </c>
      <c r="B72" s="225" t="s">
        <v>546</v>
      </c>
      <c r="C72" s="236" t="s">
        <v>33</v>
      </c>
      <c r="D72" s="263">
        <v>2</v>
      </c>
      <c r="E72" s="361"/>
      <c r="F72" s="262">
        <f t="shared" si="17"/>
        <v>0</v>
      </c>
      <c r="G72" s="214"/>
      <c r="H72" s="217"/>
    </row>
    <row r="73" spans="1:8" ht="46.8" outlineLevel="1" x14ac:dyDescent="0.3">
      <c r="A73" s="224">
        <f t="shared" si="16"/>
        <v>12.049999999999999</v>
      </c>
      <c r="B73" s="225" t="s">
        <v>547</v>
      </c>
      <c r="C73" s="236" t="s">
        <v>102</v>
      </c>
      <c r="D73" s="263">
        <v>1</v>
      </c>
      <c r="E73" s="361"/>
      <c r="F73" s="262">
        <f t="shared" si="17"/>
        <v>0</v>
      </c>
      <c r="G73" s="214"/>
      <c r="H73" s="217"/>
    </row>
    <row r="74" spans="1:8" ht="31.2" outlineLevel="1" x14ac:dyDescent="0.3">
      <c r="A74" s="224">
        <f t="shared" si="16"/>
        <v>12.059999999999999</v>
      </c>
      <c r="B74" s="225" t="s">
        <v>548</v>
      </c>
      <c r="C74" s="236" t="s">
        <v>102</v>
      </c>
      <c r="D74" s="263">
        <v>1</v>
      </c>
      <c r="E74" s="361"/>
      <c r="F74" s="262">
        <f t="shared" si="17"/>
        <v>0</v>
      </c>
      <c r="G74" s="214"/>
      <c r="H74" s="217"/>
    </row>
    <row r="75" spans="1:8" ht="62.4" outlineLevel="1" x14ac:dyDescent="0.3">
      <c r="A75" s="224">
        <f t="shared" si="16"/>
        <v>12.069999999999999</v>
      </c>
      <c r="B75" s="225" t="s">
        <v>540</v>
      </c>
      <c r="C75" s="236" t="s">
        <v>102</v>
      </c>
      <c r="D75" s="263">
        <v>1</v>
      </c>
      <c r="E75" s="361"/>
      <c r="F75" s="262">
        <f t="shared" si="17"/>
        <v>0</v>
      </c>
      <c r="G75" s="214"/>
      <c r="H75" s="217"/>
    </row>
    <row r="76" spans="1:8" ht="31.2" outlineLevel="1" x14ac:dyDescent="0.3">
      <c r="A76" s="224">
        <f t="shared" si="16"/>
        <v>12.079999999999998</v>
      </c>
      <c r="B76" s="225" t="s">
        <v>541</v>
      </c>
      <c r="C76" s="236" t="s">
        <v>102</v>
      </c>
      <c r="D76" s="263">
        <v>1</v>
      </c>
      <c r="E76" s="361"/>
      <c r="F76" s="262">
        <f t="shared" si="17"/>
        <v>0</v>
      </c>
      <c r="G76" s="214"/>
      <c r="H76" s="217"/>
    </row>
    <row r="77" spans="1:8" ht="31.2" outlineLevel="1" x14ac:dyDescent="0.3">
      <c r="A77" s="224">
        <f t="shared" si="16"/>
        <v>12.089999999999998</v>
      </c>
      <c r="B77" s="225" t="s">
        <v>550</v>
      </c>
      <c r="C77" s="236" t="s">
        <v>102</v>
      </c>
      <c r="D77" s="263">
        <v>1</v>
      </c>
      <c r="E77" s="361"/>
      <c r="F77" s="262">
        <f t="shared" si="17"/>
        <v>0</v>
      </c>
      <c r="G77" s="214"/>
      <c r="H77" s="217"/>
    </row>
    <row r="78" spans="1:8" outlineLevel="1" x14ac:dyDescent="0.3">
      <c r="A78" s="228">
        <v>12</v>
      </c>
      <c r="B78" s="229" t="s">
        <v>502</v>
      </c>
      <c r="C78" s="230"/>
      <c r="D78" s="264"/>
      <c r="E78" s="362"/>
      <c r="F78" s="265">
        <f>SUM(F79:F79)</f>
        <v>0</v>
      </c>
      <c r="G78" s="234"/>
      <c r="H78" s="218"/>
    </row>
    <row r="79" spans="1:8" outlineLevel="1" x14ac:dyDescent="0.3">
      <c r="A79" s="224">
        <f t="shared" si="16"/>
        <v>12.01</v>
      </c>
      <c r="B79" s="232" t="s">
        <v>503</v>
      </c>
      <c r="C79" s="233" t="s">
        <v>102</v>
      </c>
      <c r="D79" s="261">
        <v>1</v>
      </c>
      <c r="E79" s="363"/>
      <c r="F79" s="266">
        <f t="shared" ref="F79" si="18">ROUND(D79*E79,0)</f>
        <v>0</v>
      </c>
      <c r="G79" s="234"/>
      <c r="H79" s="218"/>
    </row>
    <row r="80" spans="1:8" x14ac:dyDescent="0.3">
      <c r="A80" s="390" t="s">
        <v>511</v>
      </c>
      <c r="B80" s="391"/>
      <c r="C80" s="391"/>
      <c r="D80" s="391"/>
      <c r="E80" s="392"/>
      <c r="F80" s="258">
        <f>+F81+F86+F88+F92+F94+F96+F100+F104+F107+F110+F115+F126</f>
        <v>0</v>
      </c>
      <c r="G80" s="214"/>
      <c r="H80" s="217"/>
    </row>
    <row r="81" spans="1:8" outlineLevel="1" x14ac:dyDescent="0.3">
      <c r="A81" s="221">
        <v>1</v>
      </c>
      <c r="B81" s="208" t="s">
        <v>89</v>
      </c>
      <c r="C81" s="222"/>
      <c r="D81" s="259"/>
      <c r="E81" s="360"/>
      <c r="F81" s="260">
        <f>SUM(F82:F85)</f>
        <v>0</v>
      </c>
      <c r="G81" s="223"/>
      <c r="H81" s="217"/>
    </row>
    <row r="82" spans="1:8" outlineLevel="1" x14ac:dyDescent="0.3">
      <c r="A82" s="224">
        <f t="shared" ref="A82" si="19">A81+0.01</f>
        <v>1.01</v>
      </c>
      <c r="B82" s="225" t="s">
        <v>519</v>
      </c>
      <c r="C82" s="226" t="s">
        <v>90</v>
      </c>
      <c r="D82" s="263">
        <v>64</v>
      </c>
      <c r="E82" s="361"/>
      <c r="F82" s="262">
        <f t="shared" ref="F82:F85" si="20">ROUND(D82*E82,0)</f>
        <v>0</v>
      </c>
      <c r="G82" s="214"/>
      <c r="H82" s="217">
        <f>5*D82/1000</f>
        <v>0.32</v>
      </c>
    </row>
    <row r="83" spans="1:8" outlineLevel="1" x14ac:dyDescent="0.3">
      <c r="A83" s="224">
        <f t="shared" ref="A83:A85" si="21">A82+0.01</f>
        <v>1.02</v>
      </c>
      <c r="B83" s="225" t="s">
        <v>504</v>
      </c>
      <c r="C83" s="226" t="s">
        <v>33</v>
      </c>
      <c r="D83" s="263">
        <v>2</v>
      </c>
      <c r="E83" s="361"/>
      <c r="F83" s="262">
        <f t="shared" si="20"/>
        <v>0</v>
      </c>
      <c r="G83" s="214"/>
      <c r="H83" s="217"/>
    </row>
    <row r="84" spans="1:8" outlineLevel="1" x14ac:dyDescent="0.3">
      <c r="A84" s="224">
        <f t="shared" si="21"/>
        <v>1.03</v>
      </c>
      <c r="B84" s="225" t="s">
        <v>505</v>
      </c>
      <c r="C84" s="226" t="s">
        <v>90</v>
      </c>
      <c r="D84" s="263">
        <v>10.88</v>
      </c>
      <c r="E84" s="361"/>
      <c r="F84" s="262">
        <f t="shared" si="20"/>
        <v>0</v>
      </c>
      <c r="G84" s="214"/>
      <c r="H84" s="217"/>
    </row>
    <row r="85" spans="1:8" outlineLevel="1" x14ac:dyDescent="0.3">
      <c r="A85" s="224">
        <f t="shared" si="21"/>
        <v>1.04</v>
      </c>
      <c r="B85" s="225" t="s">
        <v>615</v>
      </c>
      <c r="C85" s="226" t="s">
        <v>90</v>
      </c>
      <c r="D85" s="263">
        <v>20.5</v>
      </c>
      <c r="E85" s="361"/>
      <c r="F85" s="262">
        <f t="shared" si="20"/>
        <v>0</v>
      </c>
      <c r="G85" s="214"/>
      <c r="H85" s="217"/>
    </row>
    <row r="86" spans="1:8" outlineLevel="1" x14ac:dyDescent="0.3">
      <c r="A86" s="221">
        <v>2</v>
      </c>
      <c r="B86" s="208" t="s">
        <v>493</v>
      </c>
      <c r="C86" s="222"/>
      <c r="D86" s="259"/>
      <c r="E86" s="360"/>
      <c r="F86" s="260">
        <f>SUM(F87:F87)</f>
        <v>0</v>
      </c>
      <c r="G86" s="227"/>
      <c r="H86" s="217"/>
    </row>
    <row r="87" spans="1:8" ht="46.8" outlineLevel="1" x14ac:dyDescent="0.3">
      <c r="A87" s="224">
        <f t="shared" ref="A87:A93" si="22">A86+0.01</f>
        <v>2.0099999999999998</v>
      </c>
      <c r="B87" s="225" t="s">
        <v>525</v>
      </c>
      <c r="C87" s="226" t="s">
        <v>93</v>
      </c>
      <c r="D87" s="263">
        <v>137.88</v>
      </c>
      <c r="E87" s="361"/>
      <c r="F87" s="262">
        <f t="shared" ref="F87" si="23">ROUND(D87*E87,0)</f>
        <v>0</v>
      </c>
      <c r="G87" s="227"/>
      <c r="H87" s="217"/>
    </row>
    <row r="88" spans="1:8" outlineLevel="1" x14ac:dyDescent="0.3">
      <c r="A88" s="221">
        <v>3</v>
      </c>
      <c r="B88" s="208" t="s">
        <v>575</v>
      </c>
      <c r="C88" s="222"/>
      <c r="D88" s="259"/>
      <c r="E88" s="360"/>
      <c r="F88" s="260">
        <f>SUM(F89:F91)</f>
        <v>0</v>
      </c>
      <c r="G88" s="227"/>
      <c r="H88" s="217"/>
    </row>
    <row r="89" spans="1:8" ht="46.8" outlineLevel="1" x14ac:dyDescent="0.3">
      <c r="A89" s="224">
        <f t="shared" si="22"/>
        <v>3.01</v>
      </c>
      <c r="B89" s="225" t="s">
        <v>596</v>
      </c>
      <c r="C89" s="226" t="s">
        <v>90</v>
      </c>
      <c r="D89" s="263">
        <v>17.059999999999999</v>
      </c>
      <c r="E89" s="361"/>
      <c r="F89" s="262">
        <f t="shared" ref="F89:F91" si="24">ROUND(D89*E89,0)</f>
        <v>0</v>
      </c>
      <c r="G89" s="227"/>
      <c r="H89" s="217">
        <f>4*D89/1000</f>
        <v>6.8239999999999995E-2</v>
      </c>
    </row>
    <row r="90" spans="1:8" ht="31.2" outlineLevel="1" x14ac:dyDescent="0.3">
      <c r="A90" s="224">
        <f t="shared" si="22"/>
        <v>3.0199999999999996</v>
      </c>
      <c r="B90" s="225" t="s">
        <v>520</v>
      </c>
      <c r="C90" s="226" t="s">
        <v>33</v>
      </c>
      <c r="D90" s="263">
        <v>10</v>
      </c>
      <c r="E90" s="361"/>
      <c r="F90" s="262">
        <f t="shared" si="24"/>
        <v>0</v>
      </c>
      <c r="G90" s="227"/>
      <c r="H90" s="217">
        <f>6*D90/1000</f>
        <v>0.06</v>
      </c>
    </row>
    <row r="91" spans="1:8" outlineLevel="1" x14ac:dyDescent="0.3">
      <c r="A91" s="224">
        <f t="shared" si="22"/>
        <v>3.0299999999999994</v>
      </c>
      <c r="B91" s="225" t="s">
        <v>495</v>
      </c>
      <c r="C91" s="226" t="s">
        <v>90</v>
      </c>
      <c r="D91" s="263">
        <v>26.2</v>
      </c>
      <c r="E91" s="361"/>
      <c r="F91" s="262">
        <f t="shared" si="24"/>
        <v>0</v>
      </c>
      <c r="G91" s="227"/>
      <c r="H91" s="217">
        <f>0.5*D91/1000</f>
        <v>1.3099999999999999E-2</v>
      </c>
    </row>
    <row r="92" spans="1:8" outlineLevel="1" x14ac:dyDescent="0.3">
      <c r="A92" s="221">
        <v>4</v>
      </c>
      <c r="B92" s="208" t="s">
        <v>506</v>
      </c>
      <c r="C92" s="222"/>
      <c r="D92" s="259"/>
      <c r="E92" s="360"/>
      <c r="F92" s="260">
        <f>SUM(F93:F93)</f>
        <v>0</v>
      </c>
      <c r="G92" s="214"/>
      <c r="H92" s="218"/>
    </row>
    <row r="93" spans="1:8" ht="62.4" outlineLevel="1" x14ac:dyDescent="0.3">
      <c r="A93" s="224">
        <f t="shared" si="22"/>
        <v>4.01</v>
      </c>
      <c r="B93" s="232" t="s">
        <v>571</v>
      </c>
      <c r="C93" s="226" t="s">
        <v>90</v>
      </c>
      <c r="D93" s="261">
        <v>89.1</v>
      </c>
      <c r="E93" s="363"/>
      <c r="F93" s="266">
        <f t="shared" ref="F93" si="25">ROUND(D93*E93,0)</f>
        <v>0</v>
      </c>
      <c r="G93" s="214"/>
      <c r="H93" s="218">
        <f>((24.72)/(2.44*1.22))*D93/1000</f>
        <v>0.7399059392636389</v>
      </c>
    </row>
    <row r="94" spans="1:8" outlineLevel="1" x14ac:dyDescent="0.3">
      <c r="A94" s="221">
        <v>5</v>
      </c>
      <c r="B94" s="208" t="s">
        <v>507</v>
      </c>
      <c r="C94" s="222"/>
      <c r="D94" s="259"/>
      <c r="E94" s="360"/>
      <c r="F94" s="260">
        <f>SUM(F95:F95)</f>
        <v>0</v>
      </c>
      <c r="G94" s="234"/>
      <c r="H94" s="218"/>
    </row>
    <row r="95" spans="1:8" ht="31.2" outlineLevel="1" x14ac:dyDescent="0.3">
      <c r="A95" s="231">
        <v>5.01</v>
      </c>
      <c r="B95" s="232" t="s">
        <v>609</v>
      </c>
      <c r="C95" s="226" t="s">
        <v>90</v>
      </c>
      <c r="D95" s="261">
        <f>85+32</f>
        <v>117</v>
      </c>
      <c r="E95" s="363"/>
      <c r="F95" s="266">
        <f>ROUND(D95*E95,0)</f>
        <v>0</v>
      </c>
      <c r="G95" s="234"/>
      <c r="H95" s="218">
        <f>((24.72*2)/(2.44*1.22))*D95/1000*2</f>
        <v>3.8863746304756788</v>
      </c>
    </row>
    <row r="96" spans="1:8" outlineLevel="1" x14ac:dyDescent="0.3">
      <c r="A96" s="221">
        <v>6</v>
      </c>
      <c r="B96" s="208" t="s">
        <v>94</v>
      </c>
      <c r="C96" s="222"/>
      <c r="D96" s="259"/>
      <c r="E96" s="360"/>
      <c r="F96" s="260">
        <f>SUM(F97:F99)</f>
        <v>0</v>
      </c>
      <c r="G96" s="223"/>
      <c r="H96" s="217"/>
    </row>
    <row r="97" spans="1:8" ht="46.8" outlineLevel="1" x14ac:dyDescent="0.3">
      <c r="A97" s="224">
        <f t="shared" ref="A97:A103" si="26">A96+0.01</f>
        <v>6.01</v>
      </c>
      <c r="B97" s="232" t="s">
        <v>552</v>
      </c>
      <c r="C97" s="235" t="s">
        <v>90</v>
      </c>
      <c r="D97" s="267">
        <v>107.93</v>
      </c>
      <c r="E97" s="364"/>
      <c r="F97" s="262">
        <f t="shared" ref="F97:F99" si="27">ROUND(D97*E97,0)</f>
        <v>0</v>
      </c>
      <c r="G97" s="214"/>
      <c r="H97" s="217">
        <f>8*D97/1000</f>
        <v>0.8634400000000001</v>
      </c>
    </row>
    <row r="98" spans="1:8" outlineLevel="1" x14ac:dyDescent="0.3">
      <c r="A98" s="224">
        <f t="shared" si="26"/>
        <v>6.02</v>
      </c>
      <c r="B98" s="225" t="s">
        <v>496</v>
      </c>
      <c r="C98" s="226" t="s">
        <v>93</v>
      </c>
      <c r="D98" s="263">
        <v>25.1</v>
      </c>
      <c r="E98" s="361"/>
      <c r="F98" s="262">
        <f t="shared" si="27"/>
        <v>0</v>
      </c>
      <c r="G98" s="223"/>
      <c r="H98" s="217">
        <f>2*D98/1000</f>
        <v>5.0200000000000002E-2</v>
      </c>
    </row>
    <row r="99" spans="1:8" outlineLevel="1" x14ac:dyDescent="0.3">
      <c r="A99" s="224">
        <f t="shared" si="26"/>
        <v>6.0299999999999994</v>
      </c>
      <c r="B99" s="225" t="s">
        <v>497</v>
      </c>
      <c r="C99" s="226" t="s">
        <v>93</v>
      </c>
      <c r="D99" s="263">
        <v>14</v>
      </c>
      <c r="E99" s="361"/>
      <c r="F99" s="262">
        <f t="shared" si="27"/>
        <v>0</v>
      </c>
      <c r="G99" s="223"/>
      <c r="H99" s="217">
        <f>2*D99/1000</f>
        <v>2.8000000000000001E-2</v>
      </c>
    </row>
    <row r="100" spans="1:8" outlineLevel="1" x14ac:dyDescent="0.3">
      <c r="A100" s="221">
        <v>7</v>
      </c>
      <c r="B100" s="208" t="s">
        <v>576</v>
      </c>
      <c r="C100" s="222"/>
      <c r="D100" s="259"/>
      <c r="E100" s="360"/>
      <c r="F100" s="260">
        <f>SUM(F101:F103)</f>
        <v>0</v>
      </c>
      <c r="G100" s="223"/>
      <c r="H100" s="217"/>
    </row>
    <row r="101" spans="1:8" outlineLevel="1" x14ac:dyDescent="0.3">
      <c r="A101" s="224">
        <f t="shared" si="26"/>
        <v>7.01</v>
      </c>
      <c r="B101" s="225" t="s">
        <v>579</v>
      </c>
      <c r="C101" s="226" t="s">
        <v>90</v>
      </c>
      <c r="D101" s="263">
        <v>4.24</v>
      </c>
      <c r="E101" s="361"/>
      <c r="F101" s="262">
        <f t="shared" ref="F101:F103" si="28">ROUND(D101*E101,0)</f>
        <v>0</v>
      </c>
      <c r="G101" s="223"/>
      <c r="H101" s="217">
        <f>4*D101/1000</f>
        <v>1.6959999999999999E-2</v>
      </c>
    </row>
    <row r="102" spans="1:8" outlineLevel="1" x14ac:dyDescent="0.3">
      <c r="A102" s="224">
        <f t="shared" si="26"/>
        <v>7.02</v>
      </c>
      <c r="B102" s="225" t="s">
        <v>577</v>
      </c>
      <c r="C102" s="226" t="s">
        <v>90</v>
      </c>
      <c r="D102" s="263">
        <v>4.24</v>
      </c>
      <c r="E102" s="361"/>
      <c r="F102" s="262">
        <f t="shared" si="28"/>
        <v>0</v>
      </c>
      <c r="G102" s="223"/>
      <c r="H102" s="217">
        <f>20/1.5*D102/1000</f>
        <v>5.6533333333333338E-2</v>
      </c>
    </row>
    <row r="103" spans="1:8" outlineLevel="1" x14ac:dyDescent="0.3">
      <c r="A103" s="224">
        <f t="shared" si="26"/>
        <v>7.0299999999999994</v>
      </c>
      <c r="B103" s="225" t="s">
        <v>578</v>
      </c>
      <c r="C103" s="226" t="s">
        <v>90</v>
      </c>
      <c r="D103" s="263">
        <v>20.399999999999999</v>
      </c>
      <c r="E103" s="361"/>
      <c r="F103" s="262">
        <f t="shared" si="28"/>
        <v>0</v>
      </c>
      <c r="G103" s="223"/>
      <c r="H103" s="217">
        <f>20/1.5*D103/1000</f>
        <v>0.27200000000000002</v>
      </c>
    </row>
    <row r="104" spans="1:8" outlineLevel="1" x14ac:dyDescent="0.3">
      <c r="A104" s="221">
        <v>8</v>
      </c>
      <c r="B104" s="208" t="s">
        <v>580</v>
      </c>
      <c r="C104" s="222"/>
      <c r="D104" s="259"/>
      <c r="E104" s="360"/>
      <c r="F104" s="260">
        <f>SUM(F105:F106)</f>
        <v>0</v>
      </c>
      <c r="G104" s="223"/>
      <c r="H104" s="217"/>
    </row>
    <row r="105" spans="1:8" ht="31.2" outlineLevel="1" x14ac:dyDescent="0.3">
      <c r="A105" s="224">
        <f t="shared" ref="A105:A109" si="29">A104+0.01</f>
        <v>8.01</v>
      </c>
      <c r="B105" s="225" t="s">
        <v>531</v>
      </c>
      <c r="C105" s="236" t="s">
        <v>90</v>
      </c>
      <c r="D105" s="263">
        <v>131.80000000000001</v>
      </c>
      <c r="E105" s="361"/>
      <c r="F105" s="262">
        <f t="shared" ref="F105" si="30">ROUND(D105*E105,0)</f>
        <v>0</v>
      </c>
      <c r="G105" s="214"/>
      <c r="H105" s="217">
        <f>0.2*D105/1000</f>
        <v>2.6360000000000001E-2</v>
      </c>
    </row>
    <row r="106" spans="1:8" ht="31.2" outlineLevel="1" x14ac:dyDescent="0.3">
      <c r="A106" s="224">
        <f t="shared" si="29"/>
        <v>8.02</v>
      </c>
      <c r="B106" s="225" t="s">
        <v>501</v>
      </c>
      <c r="C106" s="236" t="s">
        <v>90</v>
      </c>
      <c r="D106" s="263">
        <v>142.15</v>
      </c>
      <c r="E106" s="361"/>
      <c r="F106" s="262">
        <f t="shared" ref="F106" si="31">ROUND(D106*E106,0)</f>
        <v>0</v>
      </c>
      <c r="G106" s="214"/>
      <c r="H106" s="217">
        <f>0.2*D106/1000</f>
        <v>2.8430000000000004E-2</v>
      </c>
    </row>
    <row r="107" spans="1:8" outlineLevel="1" x14ac:dyDescent="0.3">
      <c r="A107" s="221">
        <v>9</v>
      </c>
      <c r="B107" s="208" t="s">
        <v>96</v>
      </c>
      <c r="C107" s="222"/>
      <c r="D107" s="259"/>
      <c r="E107" s="360"/>
      <c r="F107" s="260">
        <f>SUM(F108:F109)</f>
        <v>0</v>
      </c>
      <c r="G107" s="214"/>
      <c r="H107" s="217">
        <v>0.5</v>
      </c>
    </row>
    <row r="108" spans="1:8" outlineLevel="1" x14ac:dyDescent="0.3">
      <c r="A108" s="224">
        <f t="shared" si="29"/>
        <v>9.01</v>
      </c>
      <c r="B108" s="225" t="s">
        <v>517</v>
      </c>
      <c r="C108" s="216" t="s">
        <v>515</v>
      </c>
      <c r="D108" s="261">
        <v>6.3</v>
      </c>
      <c r="E108" s="363"/>
      <c r="F108" s="262">
        <f t="shared" ref="F108:F109" si="32">ROUND(D108*E108,0)</f>
        <v>0</v>
      </c>
      <c r="G108" s="214"/>
      <c r="H108" s="217"/>
    </row>
    <row r="109" spans="1:8" outlineLevel="1" x14ac:dyDescent="0.3">
      <c r="A109" s="224">
        <f t="shared" si="29"/>
        <v>9.02</v>
      </c>
      <c r="B109" s="225" t="s">
        <v>581</v>
      </c>
      <c r="C109" s="216" t="s">
        <v>93</v>
      </c>
      <c r="D109" s="261">
        <v>30</v>
      </c>
      <c r="E109" s="363"/>
      <c r="F109" s="262">
        <f t="shared" si="32"/>
        <v>0</v>
      </c>
      <c r="G109" s="214"/>
      <c r="H109" s="217"/>
    </row>
    <row r="110" spans="1:8" outlineLevel="1" x14ac:dyDescent="0.3">
      <c r="A110" s="221">
        <v>9</v>
      </c>
      <c r="B110" s="237" t="s">
        <v>97</v>
      </c>
      <c r="C110" s="222"/>
      <c r="D110" s="259"/>
      <c r="E110" s="360"/>
      <c r="F110" s="260">
        <f>SUM(F111:F114)</f>
        <v>0</v>
      </c>
      <c r="G110" s="223"/>
      <c r="H110" s="217"/>
    </row>
    <row r="111" spans="1:8" ht="31.2" outlineLevel="1" x14ac:dyDescent="0.3">
      <c r="A111" s="224">
        <f t="shared" ref="A111:A114" si="33">A110+0.01</f>
        <v>9.01</v>
      </c>
      <c r="B111" s="225" t="s">
        <v>98</v>
      </c>
      <c r="C111" s="226" t="s">
        <v>33</v>
      </c>
      <c r="D111" s="263">
        <v>1</v>
      </c>
      <c r="E111" s="361"/>
      <c r="F111" s="262">
        <f t="shared" ref="F111:F114" si="34">ROUND(D111*E111,0)</f>
        <v>0</v>
      </c>
      <c r="G111" s="214"/>
      <c r="H111" s="217"/>
    </row>
    <row r="112" spans="1:8" ht="31.2" outlineLevel="1" x14ac:dyDescent="0.3">
      <c r="A112" s="224">
        <f t="shared" si="33"/>
        <v>9.02</v>
      </c>
      <c r="B112" s="225" t="s">
        <v>498</v>
      </c>
      <c r="C112" s="226" t="s">
        <v>33</v>
      </c>
      <c r="D112" s="263">
        <v>1</v>
      </c>
      <c r="E112" s="361"/>
      <c r="F112" s="262">
        <f t="shared" si="34"/>
        <v>0</v>
      </c>
      <c r="G112" s="214"/>
      <c r="H112" s="217"/>
    </row>
    <row r="113" spans="1:8" ht="31.2" outlineLevel="1" x14ac:dyDescent="0.3">
      <c r="A113" s="224">
        <f t="shared" si="33"/>
        <v>9.0299999999999994</v>
      </c>
      <c r="B113" s="225" t="s">
        <v>499</v>
      </c>
      <c r="C113" s="226" t="s">
        <v>33</v>
      </c>
      <c r="D113" s="263">
        <v>1</v>
      </c>
      <c r="E113" s="361"/>
      <c r="F113" s="262">
        <f t="shared" si="34"/>
        <v>0</v>
      </c>
      <c r="G113" s="214"/>
      <c r="H113" s="217"/>
    </row>
    <row r="114" spans="1:8" outlineLevel="1" x14ac:dyDescent="0.3">
      <c r="A114" s="224">
        <f t="shared" si="33"/>
        <v>9.0399999999999991</v>
      </c>
      <c r="B114" s="225" t="s">
        <v>532</v>
      </c>
      <c r="C114" s="226" t="s">
        <v>90</v>
      </c>
      <c r="D114" s="263">
        <v>3.24</v>
      </c>
      <c r="E114" s="361"/>
      <c r="F114" s="262">
        <f t="shared" si="34"/>
        <v>0</v>
      </c>
      <c r="G114" s="214"/>
      <c r="H114" s="217"/>
    </row>
    <row r="115" spans="1:8" outlineLevel="1" x14ac:dyDescent="0.3">
      <c r="A115" s="221">
        <v>10</v>
      </c>
      <c r="B115" s="208" t="s">
        <v>99</v>
      </c>
      <c r="C115" s="222"/>
      <c r="D115" s="259"/>
      <c r="E115" s="360"/>
      <c r="F115" s="260">
        <f>SUM(F116:F125)</f>
        <v>0</v>
      </c>
      <c r="G115" s="223"/>
      <c r="H115" s="217"/>
    </row>
    <row r="116" spans="1:8" ht="46.8" outlineLevel="1" x14ac:dyDescent="0.3">
      <c r="A116" s="224">
        <f t="shared" ref="A116:A125" si="35">A115+0.01</f>
        <v>10.01</v>
      </c>
      <c r="B116" s="225" t="s">
        <v>100</v>
      </c>
      <c r="C116" s="226" t="s">
        <v>33</v>
      </c>
      <c r="D116" s="263">
        <v>1</v>
      </c>
      <c r="E116" s="361"/>
      <c r="F116" s="262">
        <f t="shared" ref="F116:F125" si="36">ROUND(D116*E116,0)</f>
        <v>0</v>
      </c>
      <c r="G116" s="214"/>
      <c r="H116" s="217">
        <v>0</v>
      </c>
    </row>
    <row r="117" spans="1:8" ht="62.4" outlineLevel="1" x14ac:dyDescent="0.3">
      <c r="A117" s="224">
        <f t="shared" si="35"/>
        <v>10.02</v>
      </c>
      <c r="B117" s="225" t="s">
        <v>565</v>
      </c>
      <c r="C117" s="226" t="s">
        <v>33</v>
      </c>
      <c r="D117" s="263">
        <v>14</v>
      </c>
      <c r="E117" s="361"/>
      <c r="F117" s="262">
        <f t="shared" si="36"/>
        <v>0</v>
      </c>
      <c r="G117" s="214"/>
      <c r="H117" s="217">
        <v>0</v>
      </c>
    </row>
    <row r="118" spans="1:8" ht="62.4" outlineLevel="1" x14ac:dyDescent="0.3">
      <c r="A118" s="224">
        <f t="shared" si="35"/>
        <v>10.029999999999999</v>
      </c>
      <c r="B118" s="225" t="s">
        <v>564</v>
      </c>
      <c r="C118" s="226" t="s">
        <v>33</v>
      </c>
      <c r="D118" s="263">
        <v>2</v>
      </c>
      <c r="E118" s="361"/>
      <c r="F118" s="262">
        <f t="shared" si="36"/>
        <v>0</v>
      </c>
      <c r="G118" s="214"/>
      <c r="H118" s="217">
        <v>0.05</v>
      </c>
    </row>
    <row r="119" spans="1:8" ht="62.4" outlineLevel="1" x14ac:dyDescent="0.3">
      <c r="A119" s="224">
        <f t="shared" si="35"/>
        <v>10.039999999999999</v>
      </c>
      <c r="B119" s="225" t="s">
        <v>563</v>
      </c>
      <c r="C119" s="226" t="s">
        <v>33</v>
      </c>
      <c r="D119" s="263">
        <v>10</v>
      </c>
      <c r="E119" s="361"/>
      <c r="F119" s="262">
        <f t="shared" si="36"/>
        <v>0</v>
      </c>
      <c r="G119" s="214"/>
      <c r="H119" s="217">
        <v>0.05</v>
      </c>
    </row>
    <row r="120" spans="1:8" ht="62.4" outlineLevel="1" x14ac:dyDescent="0.3">
      <c r="A120" s="224">
        <f t="shared" si="35"/>
        <v>10.049999999999999</v>
      </c>
      <c r="B120" s="225" t="s">
        <v>562</v>
      </c>
      <c r="C120" s="226" t="s">
        <v>33</v>
      </c>
      <c r="D120" s="263">
        <v>6</v>
      </c>
      <c r="E120" s="361"/>
      <c r="F120" s="262">
        <f t="shared" si="36"/>
        <v>0</v>
      </c>
      <c r="G120" s="214"/>
      <c r="H120" s="217">
        <v>0.05</v>
      </c>
    </row>
    <row r="121" spans="1:8" ht="62.4" outlineLevel="1" x14ac:dyDescent="0.3">
      <c r="A121" s="224">
        <f t="shared" si="35"/>
        <v>10.059999999999999</v>
      </c>
      <c r="B121" s="225" t="s">
        <v>561</v>
      </c>
      <c r="C121" s="226" t="s">
        <v>33</v>
      </c>
      <c r="D121" s="263">
        <v>3</v>
      </c>
      <c r="E121" s="361"/>
      <c r="F121" s="262">
        <f t="shared" si="36"/>
        <v>0</v>
      </c>
      <c r="G121" s="214"/>
      <c r="H121" s="217">
        <v>0</v>
      </c>
    </row>
    <row r="122" spans="1:8" ht="62.4" outlineLevel="1" x14ac:dyDescent="0.3">
      <c r="A122" s="224">
        <f t="shared" si="35"/>
        <v>10.069999999999999</v>
      </c>
      <c r="B122" s="225" t="s">
        <v>560</v>
      </c>
      <c r="C122" s="226" t="s">
        <v>33</v>
      </c>
      <c r="D122" s="263">
        <v>6</v>
      </c>
      <c r="E122" s="361"/>
      <c r="F122" s="262">
        <f t="shared" si="36"/>
        <v>0</v>
      </c>
      <c r="G122" s="214"/>
      <c r="H122" s="217">
        <v>0</v>
      </c>
    </row>
    <row r="123" spans="1:8" outlineLevel="1" x14ac:dyDescent="0.3">
      <c r="A123" s="224">
        <f t="shared" si="35"/>
        <v>10.079999999999998</v>
      </c>
      <c r="B123" s="225" t="s">
        <v>557</v>
      </c>
      <c r="C123" s="226" t="s">
        <v>33</v>
      </c>
      <c r="D123" s="263">
        <v>4</v>
      </c>
      <c r="E123" s="361"/>
      <c r="F123" s="262">
        <f t="shared" si="36"/>
        <v>0</v>
      </c>
      <c r="G123" s="214"/>
      <c r="H123" s="217"/>
    </row>
    <row r="124" spans="1:8" ht="62.4" outlineLevel="1" x14ac:dyDescent="0.3">
      <c r="A124" s="224">
        <f t="shared" si="35"/>
        <v>10.089999999999998</v>
      </c>
      <c r="B124" s="225" t="s">
        <v>734</v>
      </c>
      <c r="C124" s="226" t="s">
        <v>93</v>
      </c>
      <c r="D124" s="263">
        <v>30</v>
      </c>
      <c r="E124" s="361"/>
      <c r="F124" s="262">
        <f t="shared" si="36"/>
        <v>0</v>
      </c>
      <c r="G124" s="214"/>
      <c r="H124" s="217"/>
    </row>
    <row r="125" spans="1:8" ht="62.4" outlineLevel="1" x14ac:dyDescent="0.3">
      <c r="A125" s="224">
        <f t="shared" si="35"/>
        <v>10.099999999999998</v>
      </c>
      <c r="B125" s="225" t="s">
        <v>555</v>
      </c>
      <c r="C125" s="226" t="s">
        <v>102</v>
      </c>
      <c r="D125" s="263">
        <v>1</v>
      </c>
      <c r="E125" s="361"/>
      <c r="F125" s="262">
        <f t="shared" si="36"/>
        <v>0</v>
      </c>
      <c r="G125" s="214"/>
      <c r="H125" s="217"/>
    </row>
    <row r="126" spans="1:8" outlineLevel="1" x14ac:dyDescent="0.3">
      <c r="A126" s="228">
        <v>12</v>
      </c>
      <c r="B126" s="229" t="s">
        <v>502</v>
      </c>
      <c r="C126" s="230"/>
      <c r="D126" s="264"/>
      <c r="E126" s="362"/>
      <c r="F126" s="265">
        <f>SUM(F127:F127)</f>
        <v>0</v>
      </c>
      <c r="G126" s="214"/>
      <c r="H126" s="217"/>
    </row>
    <row r="127" spans="1:8" outlineLevel="1" x14ac:dyDescent="0.3">
      <c r="A127" s="231">
        <v>12.01</v>
      </c>
      <c r="B127" s="232" t="s">
        <v>503</v>
      </c>
      <c r="C127" s="233" t="s">
        <v>102</v>
      </c>
      <c r="D127" s="261">
        <v>1</v>
      </c>
      <c r="E127" s="363"/>
      <c r="F127" s="266">
        <f t="shared" ref="F127" si="37">ROUND(D127*E127,0)</f>
        <v>0</v>
      </c>
      <c r="G127" s="214"/>
      <c r="H127" s="217"/>
    </row>
    <row r="128" spans="1:8" x14ac:dyDescent="0.3">
      <c r="A128" s="390" t="s">
        <v>593</v>
      </c>
      <c r="B128" s="391"/>
      <c r="C128" s="391"/>
      <c r="D128" s="391"/>
      <c r="E128" s="392"/>
      <c r="F128" s="258">
        <f>+F129+F133+F135+F139+F143+F145+F157</f>
        <v>0</v>
      </c>
      <c r="G128" s="214"/>
      <c r="H128" s="217"/>
    </row>
    <row r="129" spans="1:8" outlineLevel="1" x14ac:dyDescent="0.3">
      <c r="A129" s="221">
        <v>1</v>
      </c>
      <c r="B129" s="208" t="s">
        <v>89</v>
      </c>
      <c r="C129" s="222"/>
      <c r="D129" s="259"/>
      <c r="E129" s="360"/>
      <c r="F129" s="260">
        <f>SUM(F132:F132)</f>
        <v>0</v>
      </c>
      <c r="G129" s="223"/>
      <c r="H129" s="217"/>
    </row>
    <row r="130" spans="1:8" outlineLevel="1" x14ac:dyDescent="0.3">
      <c r="A130" s="224">
        <f t="shared" ref="A130:A132" si="38">A129+0.01</f>
        <v>1.01</v>
      </c>
      <c r="B130" s="225" t="s">
        <v>504</v>
      </c>
      <c r="C130" s="226" t="s">
        <v>33</v>
      </c>
      <c r="D130" s="263">
        <v>4</v>
      </c>
      <c r="E130" s="361"/>
      <c r="F130" s="262">
        <f t="shared" ref="F130" si="39">ROUND(D130*E130,0)</f>
        <v>0</v>
      </c>
      <c r="G130" s="214"/>
      <c r="H130" s="217"/>
    </row>
    <row r="131" spans="1:8" outlineLevel="1" x14ac:dyDescent="0.3">
      <c r="A131" s="224">
        <f t="shared" si="38"/>
        <v>1.02</v>
      </c>
      <c r="B131" s="225" t="s">
        <v>582</v>
      </c>
      <c r="C131" s="226" t="s">
        <v>33</v>
      </c>
      <c r="D131" s="263">
        <v>11</v>
      </c>
      <c r="E131" s="361"/>
      <c r="F131" s="262">
        <f t="shared" ref="F131" si="40">ROUND(D131*E131,0)</f>
        <v>0</v>
      </c>
      <c r="G131" s="214"/>
      <c r="H131" s="217"/>
    </row>
    <row r="132" spans="1:8" outlineLevel="1" x14ac:dyDescent="0.3">
      <c r="A132" s="224">
        <f t="shared" si="38"/>
        <v>1.03</v>
      </c>
      <c r="B132" s="225" t="s">
        <v>519</v>
      </c>
      <c r="C132" s="226" t="s">
        <v>90</v>
      </c>
      <c r="D132" s="263">
        <v>47.6</v>
      </c>
      <c r="E132" s="361"/>
      <c r="F132" s="262">
        <f t="shared" ref="F132" si="41">ROUND(D132*E132,0)</f>
        <v>0</v>
      </c>
      <c r="G132" s="214"/>
      <c r="H132" s="217">
        <f>5*D132/1000</f>
        <v>0.23799999999999999</v>
      </c>
    </row>
    <row r="133" spans="1:8" outlineLevel="1" x14ac:dyDescent="0.3">
      <c r="A133" s="221">
        <v>2</v>
      </c>
      <c r="B133" s="208" t="s">
        <v>493</v>
      </c>
      <c r="C133" s="222"/>
      <c r="D133" s="259"/>
      <c r="E133" s="360"/>
      <c r="F133" s="260">
        <f>SUM(F134:F134)</f>
        <v>0</v>
      </c>
      <c r="G133" s="223"/>
      <c r="H133" s="217"/>
    </row>
    <row r="134" spans="1:8" ht="46.8" outlineLevel="1" x14ac:dyDescent="0.3">
      <c r="A134" s="224">
        <f t="shared" ref="A134" si="42">A133+0.01</f>
        <v>2.0099999999999998</v>
      </c>
      <c r="B134" s="225" t="s">
        <v>574</v>
      </c>
      <c r="C134" s="226" t="s">
        <v>93</v>
      </c>
      <c r="D134" s="263">
        <v>117.84</v>
      </c>
      <c r="E134" s="361"/>
      <c r="F134" s="262">
        <f t="shared" ref="F134" si="43">ROUND(D134*E134,0)</f>
        <v>0</v>
      </c>
      <c r="G134" s="227"/>
      <c r="H134" s="217"/>
    </row>
    <row r="135" spans="1:8" outlineLevel="1" x14ac:dyDescent="0.3">
      <c r="A135" s="221">
        <v>3</v>
      </c>
      <c r="B135" s="208" t="s">
        <v>575</v>
      </c>
      <c r="C135" s="222"/>
      <c r="D135" s="259"/>
      <c r="E135" s="360"/>
      <c r="F135" s="260">
        <f>SUM(F136:F138)</f>
        <v>0</v>
      </c>
      <c r="G135" s="223"/>
      <c r="H135" s="217"/>
    </row>
    <row r="136" spans="1:8" ht="46.8" outlineLevel="1" x14ac:dyDescent="0.3">
      <c r="A136" s="224">
        <f t="shared" ref="A136:A138" si="44">A135+0.01</f>
        <v>3.01</v>
      </c>
      <c r="B136" s="225" t="s">
        <v>596</v>
      </c>
      <c r="C136" s="226" t="s">
        <v>90</v>
      </c>
      <c r="D136" s="263">
        <v>12.51</v>
      </c>
      <c r="E136" s="361"/>
      <c r="F136" s="262">
        <f>ROUND(D136*E136,0)</f>
        <v>0</v>
      </c>
      <c r="G136" s="214"/>
      <c r="H136" s="217">
        <f>4*D136/1000</f>
        <v>5.0040000000000001E-2</v>
      </c>
    </row>
    <row r="137" spans="1:8" ht="31.2" outlineLevel="1" x14ac:dyDescent="0.3">
      <c r="A137" s="224">
        <f t="shared" si="44"/>
        <v>3.0199999999999996</v>
      </c>
      <c r="B137" s="225" t="s">
        <v>520</v>
      </c>
      <c r="C137" s="226" t="s">
        <v>33</v>
      </c>
      <c r="D137" s="263">
        <v>4</v>
      </c>
      <c r="E137" s="361"/>
      <c r="F137" s="262">
        <f t="shared" ref="F137:F138" si="45">ROUND(D137*E137,0)</f>
        <v>0</v>
      </c>
      <c r="G137" s="214"/>
      <c r="H137" s="217">
        <f>6*D137/1000</f>
        <v>2.4E-2</v>
      </c>
    </row>
    <row r="138" spans="1:8" outlineLevel="1" x14ac:dyDescent="0.3">
      <c r="A138" s="224">
        <f t="shared" si="44"/>
        <v>3.0299999999999994</v>
      </c>
      <c r="B138" s="225" t="s">
        <v>495</v>
      </c>
      <c r="C138" s="226" t="s">
        <v>90</v>
      </c>
      <c r="D138" s="263">
        <v>24.19</v>
      </c>
      <c r="E138" s="361"/>
      <c r="F138" s="262">
        <f t="shared" si="45"/>
        <v>0</v>
      </c>
      <c r="G138" s="214"/>
      <c r="H138" s="217">
        <f>0.5*D138/1000</f>
        <v>1.2095E-2</v>
      </c>
    </row>
    <row r="139" spans="1:8" outlineLevel="1" x14ac:dyDescent="0.3">
      <c r="A139" s="221">
        <v>4</v>
      </c>
      <c r="B139" s="237" t="s">
        <v>533</v>
      </c>
      <c r="C139" s="222"/>
      <c r="D139" s="259"/>
      <c r="E139" s="360"/>
      <c r="F139" s="260">
        <f>SUM(F140:F142)</f>
        <v>0</v>
      </c>
      <c r="G139" s="223"/>
      <c r="H139" s="217"/>
    </row>
    <row r="140" spans="1:8" ht="46.8" outlineLevel="1" x14ac:dyDescent="0.3">
      <c r="A140" s="224">
        <f>A139+0.01</f>
        <v>4.01</v>
      </c>
      <c r="B140" s="225" t="s">
        <v>552</v>
      </c>
      <c r="C140" s="226" t="s">
        <v>90</v>
      </c>
      <c r="D140" s="263">
        <v>118.04</v>
      </c>
      <c r="E140" s="361"/>
      <c r="F140" s="262">
        <f t="shared" ref="F140:F142" si="46">ROUND(D140*E140,0)</f>
        <v>0</v>
      </c>
      <c r="G140" s="214"/>
      <c r="H140" s="217">
        <f>8*D140/1000</f>
        <v>0.94432000000000005</v>
      </c>
    </row>
    <row r="141" spans="1:8" outlineLevel="1" x14ac:dyDescent="0.3">
      <c r="A141" s="224">
        <f t="shared" ref="A141:A142" si="47">A140+0.01</f>
        <v>4.0199999999999996</v>
      </c>
      <c r="B141" s="225" t="s">
        <v>496</v>
      </c>
      <c r="C141" s="226" t="s">
        <v>93</v>
      </c>
      <c r="D141" s="263">
        <v>25.8</v>
      </c>
      <c r="E141" s="361"/>
      <c r="F141" s="262">
        <f t="shared" si="46"/>
        <v>0</v>
      </c>
      <c r="G141" s="214"/>
      <c r="H141" s="217"/>
    </row>
    <row r="142" spans="1:8" outlineLevel="1" x14ac:dyDescent="0.3">
      <c r="A142" s="224">
        <f t="shared" si="47"/>
        <v>4.0299999999999994</v>
      </c>
      <c r="B142" s="225" t="s">
        <v>497</v>
      </c>
      <c r="C142" s="226" t="s">
        <v>93</v>
      </c>
      <c r="D142" s="263">
        <v>14</v>
      </c>
      <c r="E142" s="361"/>
      <c r="F142" s="262">
        <f t="shared" si="46"/>
        <v>0</v>
      </c>
      <c r="G142" s="214"/>
      <c r="H142" s="217"/>
    </row>
    <row r="143" spans="1:8" outlineLevel="1" x14ac:dyDescent="0.3">
      <c r="A143" s="221">
        <v>5</v>
      </c>
      <c r="B143" s="237" t="s">
        <v>500</v>
      </c>
      <c r="C143" s="222"/>
      <c r="D143" s="259"/>
      <c r="E143" s="360"/>
      <c r="F143" s="260">
        <f>SUM(F144:F144)</f>
        <v>0</v>
      </c>
      <c r="G143" s="223"/>
      <c r="H143" s="217"/>
    </row>
    <row r="144" spans="1:8" outlineLevel="1" x14ac:dyDescent="0.3">
      <c r="A144" s="224">
        <f t="shared" ref="A144" si="48">A143+0.01</f>
        <v>5.01</v>
      </c>
      <c r="B144" s="225" t="s">
        <v>584</v>
      </c>
      <c r="C144" s="226" t="s">
        <v>90</v>
      </c>
      <c r="D144" s="263">
        <v>193.77</v>
      </c>
      <c r="E144" s="361"/>
      <c r="F144" s="262">
        <f t="shared" ref="F144" si="49">ROUND(D144*E144,0)</f>
        <v>0</v>
      </c>
      <c r="G144" s="214"/>
      <c r="H144" s="217">
        <f>0.2*D144/1000</f>
        <v>3.8754000000000004E-2</v>
      </c>
    </row>
    <row r="145" spans="1:8" outlineLevel="1" x14ac:dyDescent="0.3">
      <c r="A145" s="221">
        <v>6</v>
      </c>
      <c r="B145" s="208" t="s">
        <v>491</v>
      </c>
      <c r="C145" s="222"/>
      <c r="D145" s="259"/>
      <c r="E145" s="360"/>
      <c r="F145" s="260">
        <f>SUM(F146:F156)</f>
        <v>0</v>
      </c>
      <c r="G145" s="223"/>
      <c r="H145" s="217">
        <v>0</v>
      </c>
    </row>
    <row r="146" spans="1:8" ht="31.2" outlineLevel="1" x14ac:dyDescent="0.3">
      <c r="A146" s="224">
        <f t="shared" ref="A146:A156" si="50">A145+0.01</f>
        <v>6.01</v>
      </c>
      <c r="B146" s="225" t="s">
        <v>567</v>
      </c>
      <c r="C146" s="226" t="s">
        <v>33</v>
      </c>
      <c r="D146" s="263">
        <v>1</v>
      </c>
      <c r="E146" s="361"/>
      <c r="F146" s="262">
        <f t="shared" ref="F146:F156" si="51">ROUND(D146*E146,0)</f>
        <v>0</v>
      </c>
      <c r="G146" s="214"/>
      <c r="H146" s="217">
        <v>0.1</v>
      </c>
    </row>
    <row r="147" spans="1:8" ht="62.4" outlineLevel="1" x14ac:dyDescent="0.3">
      <c r="A147" s="224">
        <f t="shared" si="50"/>
        <v>6.02</v>
      </c>
      <c r="B147" s="225" t="s">
        <v>565</v>
      </c>
      <c r="C147" s="226" t="s">
        <v>33</v>
      </c>
      <c r="D147" s="263">
        <v>10</v>
      </c>
      <c r="E147" s="361"/>
      <c r="F147" s="262">
        <f t="shared" si="51"/>
        <v>0</v>
      </c>
      <c r="G147" s="214"/>
      <c r="H147" s="217">
        <v>0</v>
      </c>
    </row>
    <row r="148" spans="1:8" ht="62.4" outlineLevel="1" x14ac:dyDescent="0.3">
      <c r="A148" s="224">
        <f t="shared" si="50"/>
        <v>6.0299999999999994</v>
      </c>
      <c r="B148" s="225" t="s">
        <v>564</v>
      </c>
      <c r="C148" s="226" t="s">
        <v>33</v>
      </c>
      <c r="D148" s="263">
        <v>2</v>
      </c>
      <c r="E148" s="361"/>
      <c r="F148" s="262">
        <f t="shared" si="51"/>
        <v>0</v>
      </c>
      <c r="G148" s="214"/>
      <c r="H148" s="217">
        <v>0.05</v>
      </c>
    </row>
    <row r="149" spans="1:8" ht="62.4" outlineLevel="1" x14ac:dyDescent="0.3">
      <c r="A149" s="224">
        <f t="shared" si="50"/>
        <v>6.0399999999999991</v>
      </c>
      <c r="B149" s="225" t="s">
        <v>568</v>
      </c>
      <c r="C149" s="226" t="s">
        <v>33</v>
      </c>
      <c r="D149" s="263">
        <v>12</v>
      </c>
      <c r="E149" s="361"/>
      <c r="F149" s="262">
        <f t="shared" si="51"/>
        <v>0</v>
      </c>
      <c r="G149" s="214"/>
      <c r="H149" s="217">
        <v>0.05</v>
      </c>
    </row>
    <row r="150" spans="1:8" ht="62.4" outlineLevel="1" x14ac:dyDescent="0.3">
      <c r="A150" s="224">
        <f t="shared" si="50"/>
        <v>6.0499999999999989</v>
      </c>
      <c r="B150" s="225" t="s">
        <v>562</v>
      </c>
      <c r="C150" s="226" t="s">
        <v>33</v>
      </c>
      <c r="D150" s="263">
        <v>6</v>
      </c>
      <c r="E150" s="361"/>
      <c r="F150" s="262">
        <f t="shared" si="51"/>
        <v>0</v>
      </c>
      <c r="G150" s="214"/>
      <c r="H150" s="217">
        <v>0.05</v>
      </c>
    </row>
    <row r="151" spans="1:8" ht="62.4" outlineLevel="1" x14ac:dyDescent="0.3">
      <c r="A151" s="224">
        <f t="shared" si="50"/>
        <v>6.0599999999999987</v>
      </c>
      <c r="B151" s="225" t="s">
        <v>561</v>
      </c>
      <c r="C151" s="226" t="s">
        <v>33</v>
      </c>
      <c r="D151" s="263">
        <v>2</v>
      </c>
      <c r="E151" s="361"/>
      <c r="F151" s="262">
        <f t="shared" si="51"/>
        <v>0</v>
      </c>
      <c r="G151" s="214"/>
      <c r="H151" s="217">
        <v>0</v>
      </c>
    </row>
    <row r="152" spans="1:8" ht="62.4" outlineLevel="1" x14ac:dyDescent="0.3">
      <c r="A152" s="224">
        <f t="shared" si="50"/>
        <v>6.0699999999999985</v>
      </c>
      <c r="B152" s="225" t="s">
        <v>560</v>
      </c>
      <c r="C152" s="226" t="s">
        <v>33</v>
      </c>
      <c r="D152" s="263">
        <v>4</v>
      </c>
      <c r="E152" s="361"/>
      <c r="F152" s="262">
        <f t="shared" si="51"/>
        <v>0</v>
      </c>
      <c r="G152" s="214"/>
      <c r="H152" s="217">
        <v>0</v>
      </c>
    </row>
    <row r="153" spans="1:8" ht="78" outlineLevel="1" x14ac:dyDescent="0.3">
      <c r="A153" s="224">
        <f t="shared" si="50"/>
        <v>6.0799999999999983</v>
      </c>
      <c r="B153" s="225" t="s">
        <v>559</v>
      </c>
      <c r="C153" s="226" t="s">
        <v>33</v>
      </c>
      <c r="D153" s="263">
        <v>2</v>
      </c>
      <c r="E153" s="361"/>
      <c r="F153" s="262">
        <f t="shared" si="51"/>
        <v>0</v>
      </c>
      <c r="G153" s="214"/>
      <c r="H153" s="217">
        <v>0</v>
      </c>
    </row>
    <row r="154" spans="1:8" outlineLevel="1" x14ac:dyDescent="0.3">
      <c r="A154" s="224">
        <f t="shared" si="50"/>
        <v>6.0899999999999981</v>
      </c>
      <c r="B154" s="225" t="s">
        <v>557</v>
      </c>
      <c r="C154" s="226" t="s">
        <v>33</v>
      </c>
      <c r="D154" s="263">
        <v>4</v>
      </c>
      <c r="E154" s="361"/>
      <c r="F154" s="262">
        <f t="shared" si="51"/>
        <v>0</v>
      </c>
      <c r="G154" s="214"/>
      <c r="H154" s="217">
        <v>0</v>
      </c>
    </row>
    <row r="155" spans="1:8" ht="62.4" outlineLevel="1" x14ac:dyDescent="0.3">
      <c r="A155" s="224">
        <f t="shared" si="50"/>
        <v>6.0999999999999979</v>
      </c>
      <c r="B155" s="225" t="s">
        <v>101</v>
      </c>
      <c r="C155" s="226" t="s">
        <v>93</v>
      </c>
      <c r="D155" s="263">
        <v>30</v>
      </c>
      <c r="E155" s="361"/>
      <c r="F155" s="262">
        <f t="shared" si="51"/>
        <v>0</v>
      </c>
      <c r="G155" s="214"/>
      <c r="H155" s="217">
        <v>0</v>
      </c>
    </row>
    <row r="156" spans="1:8" ht="62.4" outlineLevel="1" x14ac:dyDescent="0.3">
      <c r="A156" s="224">
        <f t="shared" si="50"/>
        <v>6.1099999999999977</v>
      </c>
      <c r="B156" s="225" t="s">
        <v>555</v>
      </c>
      <c r="C156" s="226" t="s">
        <v>102</v>
      </c>
      <c r="D156" s="263">
        <v>1</v>
      </c>
      <c r="E156" s="361"/>
      <c r="F156" s="262">
        <f t="shared" si="51"/>
        <v>0</v>
      </c>
      <c r="G156" s="214"/>
      <c r="H156" s="217">
        <v>0.02</v>
      </c>
    </row>
    <row r="157" spans="1:8" outlineLevel="1" x14ac:dyDescent="0.3">
      <c r="A157" s="228">
        <v>7</v>
      </c>
      <c r="B157" s="229" t="s">
        <v>502</v>
      </c>
      <c r="C157" s="230"/>
      <c r="D157" s="264"/>
      <c r="E157" s="362"/>
      <c r="F157" s="265">
        <f>SUM(F158:F158)</f>
        <v>0</v>
      </c>
      <c r="G157" s="214"/>
      <c r="H157" s="217"/>
    </row>
    <row r="158" spans="1:8" outlineLevel="1" x14ac:dyDescent="0.3">
      <c r="A158" s="224">
        <f t="shared" ref="A158" si="52">A157+0.01</f>
        <v>7.01</v>
      </c>
      <c r="B158" s="232" t="s">
        <v>503</v>
      </c>
      <c r="C158" s="233" t="s">
        <v>102</v>
      </c>
      <c r="D158" s="261">
        <v>1</v>
      </c>
      <c r="E158" s="363"/>
      <c r="F158" s="266">
        <f t="shared" ref="F158" si="53">ROUND(D158*E158,0)</f>
        <v>0</v>
      </c>
      <c r="G158" s="214"/>
      <c r="H158" s="217"/>
    </row>
    <row r="159" spans="1:8" customFormat="1" x14ac:dyDescent="0.3">
      <c r="A159" s="390" t="s">
        <v>512</v>
      </c>
      <c r="B159" s="397"/>
      <c r="C159" s="397"/>
      <c r="D159" s="397"/>
      <c r="E159" s="397"/>
      <c r="F159" s="258">
        <f>+F160+F162+F164+F168+F170+F174+F177+F189</f>
        <v>0</v>
      </c>
    </row>
    <row r="160" spans="1:8" customFormat="1" outlineLevel="1" x14ac:dyDescent="0.3">
      <c r="A160" s="221">
        <v>1</v>
      </c>
      <c r="B160" s="208" t="s">
        <v>89</v>
      </c>
      <c r="C160" s="222"/>
      <c r="D160" s="259"/>
      <c r="E160" s="360"/>
      <c r="F160" s="260">
        <f>SUM(F161:F161)</f>
        <v>0</v>
      </c>
    </row>
    <row r="161" spans="1:6" customFormat="1" outlineLevel="1" x14ac:dyDescent="0.3">
      <c r="A161" s="224">
        <f t="shared" ref="A161:A163" si="54">A160+0.01</f>
        <v>1.01</v>
      </c>
      <c r="B161" s="225" t="s">
        <v>519</v>
      </c>
      <c r="C161" s="226" t="s">
        <v>90</v>
      </c>
      <c r="D161" s="263">
        <v>47.6</v>
      </c>
      <c r="E161" s="361"/>
      <c r="F161" s="262">
        <f t="shared" ref="F161" si="55">ROUND(D161*E161,0)</f>
        <v>0</v>
      </c>
    </row>
    <row r="162" spans="1:6" customFormat="1" outlineLevel="1" x14ac:dyDescent="0.3">
      <c r="A162" s="221">
        <v>2</v>
      </c>
      <c r="B162" s="208" t="s">
        <v>493</v>
      </c>
      <c r="C162" s="222"/>
      <c r="D162" s="259"/>
      <c r="E162" s="360"/>
      <c r="F162" s="260">
        <f>SUM(F163:F163)</f>
        <v>0</v>
      </c>
    </row>
    <row r="163" spans="1:6" customFormat="1" ht="46.8" outlineLevel="1" x14ac:dyDescent="0.3">
      <c r="A163" s="224">
        <f t="shared" si="54"/>
        <v>2.0099999999999998</v>
      </c>
      <c r="B163" s="225" t="s">
        <v>525</v>
      </c>
      <c r="C163" s="226" t="s">
        <v>93</v>
      </c>
      <c r="D163" s="263">
        <v>117.84</v>
      </c>
      <c r="E163" s="361"/>
      <c r="F163" s="262">
        <f t="shared" ref="F163" si="56">ROUND(D163*E163,0)</f>
        <v>0</v>
      </c>
    </row>
    <row r="164" spans="1:6" customFormat="1" outlineLevel="1" x14ac:dyDescent="0.3">
      <c r="A164" s="221">
        <v>3</v>
      </c>
      <c r="B164" s="208" t="s">
        <v>595</v>
      </c>
      <c r="C164" s="222"/>
      <c r="D164" s="259"/>
      <c r="E164" s="360"/>
      <c r="F164" s="260">
        <f>SUM(F165:F167)</f>
        <v>0</v>
      </c>
    </row>
    <row r="165" spans="1:6" customFormat="1" ht="46.8" outlineLevel="1" x14ac:dyDescent="0.3">
      <c r="A165" s="224">
        <f t="shared" ref="A165:A167" si="57">A164+0.01</f>
        <v>3.01</v>
      </c>
      <c r="B165" s="225" t="s">
        <v>596</v>
      </c>
      <c r="C165" s="226" t="s">
        <v>90</v>
      </c>
      <c r="D165" s="263">
        <v>12.51</v>
      </c>
      <c r="E165" s="361"/>
      <c r="F165" s="262">
        <f>ROUND(D165*E165,0)</f>
        <v>0</v>
      </c>
    </row>
    <row r="166" spans="1:6" customFormat="1" ht="31.2" outlineLevel="1" x14ac:dyDescent="0.3">
      <c r="A166" s="224">
        <f t="shared" si="57"/>
        <v>3.0199999999999996</v>
      </c>
      <c r="B166" s="225" t="s">
        <v>520</v>
      </c>
      <c r="C166" s="226" t="s">
        <v>33</v>
      </c>
      <c r="D166" s="263">
        <v>4</v>
      </c>
      <c r="E166" s="361"/>
      <c r="F166" s="262">
        <f t="shared" ref="F166:F167" si="58">ROUND(D166*E166,0)</f>
        <v>0</v>
      </c>
    </row>
    <row r="167" spans="1:6" customFormat="1" outlineLevel="1" x14ac:dyDescent="0.3">
      <c r="A167" s="224">
        <f t="shared" si="57"/>
        <v>3.0299999999999994</v>
      </c>
      <c r="B167" s="225" t="s">
        <v>495</v>
      </c>
      <c r="C167" s="226" t="s">
        <v>90</v>
      </c>
      <c r="D167" s="263">
        <v>24.19</v>
      </c>
      <c r="E167" s="361"/>
      <c r="F167" s="262">
        <f t="shared" si="58"/>
        <v>0</v>
      </c>
    </row>
    <row r="168" spans="1:6" customFormat="1" outlineLevel="1" x14ac:dyDescent="0.3">
      <c r="A168" s="221">
        <v>4</v>
      </c>
      <c r="B168" s="208" t="s">
        <v>507</v>
      </c>
      <c r="C168" s="222"/>
      <c r="D168" s="259"/>
      <c r="E168" s="360"/>
      <c r="F168" s="260">
        <f>SUM(F169)</f>
        <v>0</v>
      </c>
    </row>
    <row r="169" spans="1:6" customFormat="1" ht="31.2" outlineLevel="1" x14ac:dyDescent="0.3">
      <c r="A169" s="224">
        <f t="shared" ref="A169:A176" si="59">A168+0.01</f>
        <v>4.01</v>
      </c>
      <c r="B169" s="225" t="s">
        <v>609</v>
      </c>
      <c r="C169" s="226" t="s">
        <v>60</v>
      </c>
      <c r="D169" s="263">
        <v>140</v>
      </c>
      <c r="E169" s="361"/>
      <c r="F169" s="262">
        <f t="shared" ref="F169" si="60">ROUND(D169*E169,0)</f>
        <v>0</v>
      </c>
    </row>
    <row r="170" spans="1:6" customFormat="1" outlineLevel="1" x14ac:dyDescent="0.3">
      <c r="A170" s="221">
        <v>5</v>
      </c>
      <c r="B170" s="237" t="s">
        <v>533</v>
      </c>
      <c r="C170" s="222"/>
      <c r="D170" s="259"/>
      <c r="E170" s="360"/>
      <c r="F170" s="260">
        <f>SUM(F171:F173)</f>
        <v>0</v>
      </c>
    </row>
    <row r="171" spans="1:6" customFormat="1" ht="46.8" outlineLevel="1" x14ac:dyDescent="0.3">
      <c r="A171" s="224">
        <f>A170+0.01</f>
        <v>5.01</v>
      </c>
      <c r="B171" s="225" t="s">
        <v>552</v>
      </c>
      <c r="C171" s="226" t="s">
        <v>90</v>
      </c>
      <c r="D171" s="263">
        <v>118.04</v>
      </c>
      <c r="E171" s="361"/>
      <c r="F171" s="262">
        <f t="shared" ref="F171:F173" si="61">ROUND(D171*E171,0)</f>
        <v>0</v>
      </c>
    </row>
    <row r="172" spans="1:6" customFormat="1" outlineLevel="1" x14ac:dyDescent="0.3">
      <c r="A172" s="224">
        <f t="shared" ref="A172:A173" si="62">A171+0.01</f>
        <v>5.0199999999999996</v>
      </c>
      <c r="B172" s="225" t="s">
        <v>496</v>
      </c>
      <c r="C172" s="226" t="s">
        <v>93</v>
      </c>
      <c r="D172" s="263">
        <v>25.8</v>
      </c>
      <c r="E172" s="361"/>
      <c r="F172" s="262">
        <f t="shared" si="61"/>
        <v>0</v>
      </c>
    </row>
    <row r="173" spans="1:6" customFormat="1" outlineLevel="1" x14ac:dyDescent="0.3">
      <c r="A173" s="224">
        <f t="shared" si="62"/>
        <v>5.0299999999999994</v>
      </c>
      <c r="B173" s="225" t="s">
        <v>497</v>
      </c>
      <c r="C173" s="226" t="s">
        <v>93</v>
      </c>
      <c r="D173" s="263">
        <v>14</v>
      </c>
      <c r="E173" s="361"/>
      <c r="F173" s="262">
        <f t="shared" si="61"/>
        <v>0</v>
      </c>
    </row>
    <row r="174" spans="1:6" customFormat="1" outlineLevel="1" x14ac:dyDescent="0.3">
      <c r="A174" s="221">
        <v>6</v>
      </c>
      <c r="B174" s="237" t="s">
        <v>500</v>
      </c>
      <c r="C174" s="222"/>
      <c r="D174" s="259"/>
      <c r="E174" s="360"/>
      <c r="F174" s="260">
        <f>SUM(F175:F176)</f>
        <v>0</v>
      </c>
    </row>
    <row r="175" spans="1:6" customFormat="1" ht="31.2" outlineLevel="1" x14ac:dyDescent="0.3">
      <c r="A175" s="224">
        <f t="shared" si="59"/>
        <v>6.01</v>
      </c>
      <c r="B175" s="225" t="s">
        <v>531</v>
      </c>
      <c r="C175" s="226" t="s">
        <v>90</v>
      </c>
      <c r="D175" s="263">
        <v>103.4</v>
      </c>
      <c r="E175" s="361"/>
      <c r="F175" s="262">
        <f t="shared" ref="F175:F176" si="63">ROUND(D175*E175,0)</f>
        <v>0</v>
      </c>
    </row>
    <row r="176" spans="1:6" customFormat="1" outlineLevel="1" x14ac:dyDescent="0.3">
      <c r="A176" s="224">
        <f t="shared" si="59"/>
        <v>6.02</v>
      </c>
      <c r="B176" s="225" t="s">
        <v>584</v>
      </c>
      <c r="C176" s="226" t="s">
        <v>90</v>
      </c>
      <c r="D176" s="263">
        <v>90.33</v>
      </c>
      <c r="E176" s="361"/>
      <c r="F176" s="262">
        <f t="shared" si="63"/>
        <v>0</v>
      </c>
    </row>
    <row r="177" spans="1:8" customFormat="1" outlineLevel="1" x14ac:dyDescent="0.3">
      <c r="A177" s="221">
        <v>7</v>
      </c>
      <c r="B177" s="208" t="s">
        <v>491</v>
      </c>
      <c r="C177" s="222"/>
      <c r="D177" s="259"/>
      <c r="E177" s="360"/>
      <c r="F177" s="260">
        <f>SUM(F178:F188)</f>
        <v>0</v>
      </c>
    </row>
    <row r="178" spans="1:8" customFormat="1" ht="31.2" outlineLevel="1" x14ac:dyDescent="0.3">
      <c r="A178" s="224">
        <f t="shared" ref="A178:A188" si="64">A177+0.01</f>
        <v>7.01</v>
      </c>
      <c r="B178" s="225" t="s">
        <v>567</v>
      </c>
      <c r="C178" s="226" t="s">
        <v>33</v>
      </c>
      <c r="D178" s="263">
        <v>1</v>
      </c>
      <c r="E178" s="361"/>
      <c r="F178" s="262">
        <f t="shared" ref="F178:F188" si="65">ROUND(D178*E178,0)</f>
        <v>0</v>
      </c>
    </row>
    <row r="179" spans="1:8" customFormat="1" ht="62.4" outlineLevel="1" x14ac:dyDescent="0.3">
      <c r="A179" s="224">
        <f t="shared" si="64"/>
        <v>7.02</v>
      </c>
      <c r="B179" s="225" t="s">
        <v>565</v>
      </c>
      <c r="C179" s="226" t="s">
        <v>33</v>
      </c>
      <c r="D179" s="263">
        <v>10</v>
      </c>
      <c r="E179" s="361"/>
      <c r="F179" s="262">
        <f t="shared" si="65"/>
        <v>0</v>
      </c>
    </row>
    <row r="180" spans="1:8" customFormat="1" ht="62.4" outlineLevel="1" x14ac:dyDescent="0.3">
      <c r="A180" s="224">
        <f t="shared" si="64"/>
        <v>7.0299999999999994</v>
      </c>
      <c r="B180" s="225" t="s">
        <v>564</v>
      </c>
      <c r="C180" s="226" t="s">
        <v>33</v>
      </c>
      <c r="D180" s="263">
        <v>2</v>
      </c>
      <c r="E180" s="361"/>
      <c r="F180" s="262">
        <f t="shared" si="65"/>
        <v>0</v>
      </c>
    </row>
    <row r="181" spans="1:8" customFormat="1" ht="62.4" outlineLevel="1" x14ac:dyDescent="0.3">
      <c r="A181" s="224">
        <f t="shared" si="64"/>
        <v>7.0399999999999991</v>
      </c>
      <c r="B181" s="225" t="s">
        <v>568</v>
      </c>
      <c r="C181" s="226" t="s">
        <v>33</v>
      </c>
      <c r="D181" s="263">
        <v>12</v>
      </c>
      <c r="E181" s="361"/>
      <c r="F181" s="262">
        <f t="shared" si="65"/>
        <v>0</v>
      </c>
    </row>
    <row r="182" spans="1:8" customFormat="1" ht="62.4" outlineLevel="1" x14ac:dyDescent="0.3">
      <c r="A182" s="224">
        <f t="shared" si="64"/>
        <v>7.0499999999999989</v>
      </c>
      <c r="B182" s="225" t="s">
        <v>562</v>
      </c>
      <c r="C182" s="226" t="s">
        <v>33</v>
      </c>
      <c r="D182" s="263">
        <v>6</v>
      </c>
      <c r="E182" s="361"/>
      <c r="F182" s="262">
        <f t="shared" si="65"/>
        <v>0</v>
      </c>
    </row>
    <row r="183" spans="1:8" customFormat="1" ht="62.4" outlineLevel="1" x14ac:dyDescent="0.3">
      <c r="A183" s="224">
        <f t="shared" si="64"/>
        <v>7.0599999999999987</v>
      </c>
      <c r="B183" s="225" t="s">
        <v>561</v>
      </c>
      <c r="C183" s="226" t="s">
        <v>33</v>
      </c>
      <c r="D183" s="263">
        <v>2</v>
      </c>
      <c r="E183" s="361"/>
      <c r="F183" s="262">
        <f t="shared" si="65"/>
        <v>0</v>
      </c>
    </row>
    <row r="184" spans="1:8" customFormat="1" ht="62.4" outlineLevel="1" x14ac:dyDescent="0.3">
      <c r="A184" s="224">
        <f t="shared" si="64"/>
        <v>7.0699999999999985</v>
      </c>
      <c r="B184" s="225" t="s">
        <v>560</v>
      </c>
      <c r="C184" s="226" t="s">
        <v>33</v>
      </c>
      <c r="D184" s="263">
        <v>4</v>
      </c>
      <c r="E184" s="361"/>
      <c r="F184" s="262">
        <f t="shared" si="65"/>
        <v>0</v>
      </c>
    </row>
    <row r="185" spans="1:8" customFormat="1" ht="78" outlineLevel="1" x14ac:dyDescent="0.3">
      <c r="A185" s="224">
        <f t="shared" si="64"/>
        <v>7.0799999999999983</v>
      </c>
      <c r="B185" s="225" t="s">
        <v>559</v>
      </c>
      <c r="C185" s="226" t="s">
        <v>33</v>
      </c>
      <c r="D185" s="263">
        <v>2</v>
      </c>
      <c r="E185" s="361"/>
      <c r="F185" s="262">
        <f t="shared" si="65"/>
        <v>0</v>
      </c>
    </row>
    <row r="186" spans="1:8" customFormat="1" outlineLevel="1" x14ac:dyDescent="0.3">
      <c r="A186" s="224">
        <f t="shared" si="64"/>
        <v>7.0899999999999981</v>
      </c>
      <c r="B186" s="225" t="s">
        <v>557</v>
      </c>
      <c r="C186" s="226" t="s">
        <v>33</v>
      </c>
      <c r="D186" s="263">
        <v>4</v>
      </c>
      <c r="E186" s="361"/>
      <c r="F186" s="262">
        <f t="shared" si="65"/>
        <v>0</v>
      </c>
    </row>
    <row r="187" spans="1:8" customFormat="1" ht="62.4" outlineLevel="1" x14ac:dyDescent="0.3">
      <c r="A187" s="224">
        <f t="shared" si="64"/>
        <v>7.0999999999999979</v>
      </c>
      <c r="B187" s="225" t="s">
        <v>101</v>
      </c>
      <c r="C187" s="226" t="s">
        <v>93</v>
      </c>
      <c r="D187" s="263">
        <v>30</v>
      </c>
      <c r="E187" s="361"/>
      <c r="F187" s="262">
        <f t="shared" si="65"/>
        <v>0</v>
      </c>
    </row>
    <row r="188" spans="1:8" customFormat="1" ht="62.4" outlineLevel="1" x14ac:dyDescent="0.3">
      <c r="A188" s="224">
        <f t="shared" si="64"/>
        <v>7.1099999999999977</v>
      </c>
      <c r="B188" s="225" t="s">
        <v>555</v>
      </c>
      <c r="C188" s="226" t="s">
        <v>102</v>
      </c>
      <c r="D188" s="263">
        <v>1</v>
      </c>
      <c r="E188" s="361"/>
      <c r="F188" s="262">
        <f t="shared" si="65"/>
        <v>0</v>
      </c>
    </row>
    <row r="189" spans="1:8" customFormat="1" outlineLevel="1" x14ac:dyDescent="0.3">
      <c r="A189" s="228">
        <v>8</v>
      </c>
      <c r="B189" s="229" t="s">
        <v>502</v>
      </c>
      <c r="C189" s="230"/>
      <c r="D189" s="264"/>
      <c r="E189" s="362"/>
      <c r="F189" s="265">
        <f>SUM(F190:F190)</f>
        <v>0</v>
      </c>
    </row>
    <row r="190" spans="1:8" customFormat="1" outlineLevel="1" x14ac:dyDescent="0.3">
      <c r="A190" s="224">
        <f t="shared" ref="A190" si="66">A189+0.01</f>
        <v>8.01</v>
      </c>
      <c r="B190" s="232" t="s">
        <v>503</v>
      </c>
      <c r="C190" s="233" t="s">
        <v>102</v>
      </c>
      <c r="D190" s="261">
        <v>1</v>
      </c>
      <c r="E190" s="363"/>
      <c r="F190" s="266">
        <f t="shared" ref="F190" si="67">ROUND(D190*E190,0)</f>
        <v>0</v>
      </c>
    </row>
    <row r="191" spans="1:8" x14ac:dyDescent="0.3">
      <c r="A191" s="390" t="s">
        <v>513</v>
      </c>
      <c r="B191" s="391"/>
      <c r="C191" s="391"/>
      <c r="D191" s="391"/>
      <c r="E191" s="392"/>
      <c r="F191" s="258">
        <f>+F192+F194+F199+F202+F204+F206+F210+F215+F217+F197</f>
        <v>0</v>
      </c>
      <c r="G191" s="214"/>
      <c r="H191" s="217"/>
    </row>
    <row r="192" spans="1:8" outlineLevel="1" x14ac:dyDescent="0.3">
      <c r="A192" s="221">
        <v>1</v>
      </c>
      <c r="B192" s="208" t="s">
        <v>89</v>
      </c>
      <c r="C192" s="222"/>
      <c r="D192" s="259"/>
      <c r="E192" s="360"/>
      <c r="F192" s="260">
        <f>SUM(F193:F193)</f>
        <v>0</v>
      </c>
      <c r="G192" s="223"/>
      <c r="H192" s="217"/>
    </row>
    <row r="193" spans="1:8" outlineLevel="1" x14ac:dyDescent="0.3">
      <c r="A193" s="224">
        <f t="shared" ref="A193" si="68">A192+0.01</f>
        <v>1.01</v>
      </c>
      <c r="B193" s="225" t="s">
        <v>524</v>
      </c>
      <c r="C193" s="226" t="s">
        <v>90</v>
      </c>
      <c r="D193" s="263">
        <v>33.92</v>
      </c>
      <c r="E193" s="361"/>
      <c r="F193" s="262">
        <f t="shared" ref="F193" si="69">ROUND(D193*E193,0)</f>
        <v>0</v>
      </c>
      <c r="G193" s="214"/>
      <c r="H193" s="217">
        <f>12*D193/1000</f>
        <v>0.40704000000000001</v>
      </c>
    </row>
    <row r="194" spans="1:8" outlineLevel="1" x14ac:dyDescent="0.3">
      <c r="A194" s="221">
        <v>2</v>
      </c>
      <c r="B194" s="208" t="s">
        <v>493</v>
      </c>
      <c r="C194" s="222"/>
      <c r="D194" s="259"/>
      <c r="E194" s="360"/>
      <c r="F194" s="260">
        <f>SUM(F195:F196)</f>
        <v>0</v>
      </c>
      <c r="G194" s="223"/>
      <c r="H194" s="217"/>
    </row>
    <row r="195" spans="1:8" ht="46.8" outlineLevel="1" x14ac:dyDescent="0.3">
      <c r="A195" s="224">
        <f t="shared" ref="A195:A196" si="70">A194+0.01</f>
        <v>2.0099999999999998</v>
      </c>
      <c r="B195" s="225" t="s">
        <v>525</v>
      </c>
      <c r="C195" s="226" t="s">
        <v>93</v>
      </c>
      <c r="D195" s="263">
        <v>49</v>
      </c>
      <c r="E195" s="361"/>
      <c r="F195" s="262">
        <f t="shared" ref="F195:F196" si="71">ROUND(D195*E195,0)</f>
        <v>0</v>
      </c>
      <c r="G195" s="227"/>
      <c r="H195" s="217"/>
    </row>
    <row r="196" spans="1:8" ht="46.8" outlineLevel="1" x14ac:dyDescent="0.3">
      <c r="A196" s="224">
        <f t="shared" si="70"/>
        <v>2.0199999999999996</v>
      </c>
      <c r="B196" s="225" t="s">
        <v>610</v>
      </c>
      <c r="C196" s="226" t="s">
        <v>33</v>
      </c>
      <c r="D196" s="263">
        <v>5</v>
      </c>
      <c r="E196" s="361"/>
      <c r="F196" s="262">
        <f t="shared" si="71"/>
        <v>0</v>
      </c>
      <c r="G196" s="227"/>
      <c r="H196" s="217"/>
    </row>
    <row r="197" spans="1:8" outlineLevel="1" x14ac:dyDescent="0.3">
      <c r="A197" s="221">
        <v>3</v>
      </c>
      <c r="B197" s="208" t="s">
        <v>575</v>
      </c>
      <c r="C197" s="222"/>
      <c r="D197" s="259"/>
      <c r="E197" s="360"/>
      <c r="F197" s="260">
        <f>SUM(F198)</f>
        <v>0</v>
      </c>
      <c r="G197" s="227"/>
      <c r="H197" s="217"/>
    </row>
    <row r="198" spans="1:8" ht="31.2" outlineLevel="1" x14ac:dyDescent="0.3">
      <c r="A198" s="224">
        <f t="shared" ref="A198" si="72">A197+0.01</f>
        <v>3.01</v>
      </c>
      <c r="B198" s="225" t="s">
        <v>602</v>
      </c>
      <c r="C198" s="226" t="s">
        <v>33</v>
      </c>
      <c r="D198" s="263">
        <v>4</v>
      </c>
      <c r="E198" s="361"/>
      <c r="F198" s="262">
        <f>ROUND(D198*E198,0)</f>
        <v>0</v>
      </c>
      <c r="G198" s="227"/>
      <c r="H198" s="217">
        <f>6*D198/1000</f>
        <v>2.4E-2</v>
      </c>
    </row>
    <row r="199" spans="1:8" outlineLevel="1" x14ac:dyDescent="0.3">
      <c r="A199" s="221">
        <v>3</v>
      </c>
      <c r="B199" s="208" t="s">
        <v>509</v>
      </c>
      <c r="C199" s="222"/>
      <c r="D199" s="259"/>
      <c r="E199" s="360"/>
      <c r="F199" s="260">
        <f>SUM(F200:F201)</f>
        <v>0</v>
      </c>
      <c r="G199" s="223"/>
      <c r="H199" s="217"/>
    </row>
    <row r="200" spans="1:8" ht="62.4" outlineLevel="1" x14ac:dyDescent="0.3">
      <c r="A200" s="224">
        <f t="shared" ref="A200:A201" si="73">A199+0.01</f>
        <v>3.01</v>
      </c>
      <c r="B200" s="225" t="s">
        <v>603</v>
      </c>
      <c r="C200" s="226" t="s">
        <v>33</v>
      </c>
      <c r="D200" s="263">
        <v>4</v>
      </c>
      <c r="E200" s="361"/>
      <c r="F200" s="262">
        <f>ROUND(D200*E200,0)</f>
        <v>0</v>
      </c>
      <c r="G200" s="214"/>
      <c r="H200" s="217">
        <f>4*D200/1000</f>
        <v>1.6E-2</v>
      </c>
    </row>
    <row r="201" spans="1:8" outlineLevel="1" x14ac:dyDescent="0.3">
      <c r="A201" s="224">
        <f t="shared" si="73"/>
        <v>3.0199999999999996</v>
      </c>
      <c r="B201" s="225" t="s">
        <v>604</v>
      </c>
      <c r="C201" s="226" t="s">
        <v>33</v>
      </c>
      <c r="D201" s="263">
        <v>4</v>
      </c>
      <c r="E201" s="361"/>
      <c r="F201" s="262">
        <f>ROUND(D201*E201,0)</f>
        <v>0</v>
      </c>
      <c r="G201" s="214"/>
      <c r="H201" s="217">
        <f>4*D201/1000</f>
        <v>1.6E-2</v>
      </c>
    </row>
    <row r="202" spans="1:8" outlineLevel="1" x14ac:dyDescent="0.3">
      <c r="A202" s="228">
        <v>4</v>
      </c>
      <c r="B202" s="209" t="s">
        <v>507</v>
      </c>
      <c r="C202" s="230"/>
      <c r="D202" s="264"/>
      <c r="E202" s="362"/>
      <c r="F202" s="265">
        <f>SUM(F203:F203)</f>
        <v>0</v>
      </c>
      <c r="G202" s="223"/>
      <c r="H202" s="217"/>
    </row>
    <row r="203" spans="1:8" ht="31.2" outlineLevel="1" x14ac:dyDescent="0.3">
      <c r="A203" s="231">
        <v>4.01</v>
      </c>
      <c r="B203" s="239" t="s">
        <v>609</v>
      </c>
      <c r="C203" s="226" t="s">
        <v>90</v>
      </c>
      <c r="D203" s="261">
        <v>26</v>
      </c>
      <c r="E203" s="363"/>
      <c r="F203" s="266">
        <f>ROUND(D203*E203,0)</f>
        <v>0</v>
      </c>
      <c r="G203" s="214"/>
      <c r="H203" s="218">
        <f>((24.72*2)/(2.44*1.22))*D203/1000*1</f>
        <v>0.43181940338618652</v>
      </c>
    </row>
    <row r="204" spans="1:8" outlineLevel="1" x14ac:dyDescent="0.3">
      <c r="A204" s="228">
        <v>5</v>
      </c>
      <c r="B204" s="209" t="s">
        <v>94</v>
      </c>
      <c r="C204" s="230"/>
      <c r="D204" s="264"/>
      <c r="E204" s="362"/>
      <c r="F204" s="265">
        <f>SUM(F205:F205)</f>
        <v>0</v>
      </c>
      <c r="G204" s="223"/>
      <c r="H204" s="217"/>
    </row>
    <row r="205" spans="1:8" ht="46.8" outlineLevel="1" x14ac:dyDescent="0.3">
      <c r="A205" s="231">
        <v>5.01</v>
      </c>
      <c r="B205" s="232" t="s">
        <v>552</v>
      </c>
      <c r="C205" s="216" t="s">
        <v>90</v>
      </c>
      <c r="D205" s="261">
        <v>33.92</v>
      </c>
      <c r="E205" s="363"/>
      <c r="F205" s="266">
        <f t="shared" ref="F205" si="74">ROUND(D205*E205,0)</f>
        <v>0</v>
      </c>
      <c r="G205" s="214"/>
      <c r="H205" s="217">
        <f>8*D205/1000</f>
        <v>0.27135999999999999</v>
      </c>
    </row>
    <row r="206" spans="1:8" outlineLevel="1" x14ac:dyDescent="0.3">
      <c r="A206" s="221">
        <v>6</v>
      </c>
      <c r="B206" s="209" t="s">
        <v>96</v>
      </c>
      <c r="C206" s="230"/>
      <c r="D206" s="264"/>
      <c r="E206" s="362"/>
      <c r="F206" s="260">
        <f>SUM(F207:F209)</f>
        <v>0</v>
      </c>
      <c r="G206" s="223"/>
      <c r="H206" s="217">
        <v>0.5</v>
      </c>
    </row>
    <row r="207" spans="1:8" ht="31.2" outlineLevel="1" x14ac:dyDescent="0.3">
      <c r="A207" s="224">
        <f t="shared" ref="A207:A209" si="75">A206+0.01</f>
        <v>6.01</v>
      </c>
      <c r="B207" s="232" t="s">
        <v>516</v>
      </c>
      <c r="C207" s="233" t="s">
        <v>33</v>
      </c>
      <c r="D207" s="261">
        <v>1</v>
      </c>
      <c r="E207" s="363"/>
      <c r="F207" s="262">
        <f t="shared" ref="F207:F209" si="76">ROUND(D207*E207,0)</f>
        <v>0</v>
      </c>
      <c r="G207" s="214"/>
      <c r="H207" s="217"/>
    </row>
    <row r="208" spans="1:8" outlineLevel="1" x14ac:dyDescent="0.3">
      <c r="A208" s="224">
        <f t="shared" si="75"/>
        <v>6.02</v>
      </c>
      <c r="B208" s="232" t="s">
        <v>523</v>
      </c>
      <c r="C208" s="216" t="s">
        <v>515</v>
      </c>
      <c r="D208" s="261">
        <v>6.3</v>
      </c>
      <c r="E208" s="363"/>
      <c r="F208" s="262">
        <f t="shared" si="76"/>
        <v>0</v>
      </c>
      <c r="G208" s="214"/>
      <c r="H208" s="217"/>
    </row>
    <row r="209" spans="1:8" outlineLevel="1" x14ac:dyDescent="0.3">
      <c r="A209" s="224">
        <f t="shared" si="75"/>
        <v>6.0299999999999994</v>
      </c>
      <c r="B209" s="232" t="s">
        <v>518</v>
      </c>
      <c r="C209" s="216" t="s">
        <v>93</v>
      </c>
      <c r="D209" s="261">
        <v>30</v>
      </c>
      <c r="E209" s="363"/>
      <c r="F209" s="262">
        <f t="shared" si="76"/>
        <v>0</v>
      </c>
      <c r="G209" s="214"/>
      <c r="H209" s="217"/>
    </row>
    <row r="210" spans="1:8" outlineLevel="1" x14ac:dyDescent="0.3">
      <c r="A210" s="221">
        <v>7</v>
      </c>
      <c r="B210" s="208" t="s">
        <v>601</v>
      </c>
      <c r="C210" s="222"/>
      <c r="D210" s="259"/>
      <c r="E210" s="360"/>
      <c r="F210" s="260">
        <f>SUM(F211:F214)</f>
        <v>0</v>
      </c>
      <c r="G210" s="223"/>
      <c r="H210" s="217"/>
    </row>
    <row r="211" spans="1:8" ht="31.2" outlineLevel="1" x14ac:dyDescent="0.3">
      <c r="A211" s="224">
        <f t="shared" ref="A211:A218" si="77">A210+0.01</f>
        <v>7.01</v>
      </c>
      <c r="B211" s="225" t="s">
        <v>98</v>
      </c>
      <c r="C211" s="226" t="s">
        <v>33</v>
      </c>
      <c r="D211" s="263">
        <v>4</v>
      </c>
      <c r="E211" s="365"/>
      <c r="F211" s="262">
        <f t="shared" ref="F211:F214" si="78">ROUND(D211*E211,0)</f>
        <v>0</v>
      </c>
      <c r="G211" s="214"/>
      <c r="H211" s="217"/>
    </row>
    <row r="212" spans="1:8" ht="31.2" outlineLevel="1" x14ac:dyDescent="0.3">
      <c r="A212" s="224">
        <f t="shared" si="77"/>
        <v>7.02</v>
      </c>
      <c r="B212" s="225" t="s">
        <v>498</v>
      </c>
      <c r="C212" s="226" t="s">
        <v>33</v>
      </c>
      <c r="D212" s="263">
        <v>4</v>
      </c>
      <c r="E212" s="365"/>
      <c r="F212" s="262">
        <f t="shared" si="78"/>
        <v>0</v>
      </c>
      <c r="G212" s="214"/>
      <c r="H212" s="217"/>
    </row>
    <row r="213" spans="1:8" outlineLevel="1" x14ac:dyDescent="0.3">
      <c r="A213" s="224">
        <f t="shared" si="77"/>
        <v>7.0299999999999994</v>
      </c>
      <c r="B213" s="225" t="s">
        <v>611</v>
      </c>
      <c r="C213" s="226" t="s">
        <v>90</v>
      </c>
      <c r="D213" s="263">
        <v>12</v>
      </c>
      <c r="E213" s="361"/>
      <c r="F213" s="262">
        <f t="shared" si="78"/>
        <v>0</v>
      </c>
      <c r="G213" s="223"/>
      <c r="H213" s="217">
        <f>20/1.5*D213/1000</f>
        <v>0.16</v>
      </c>
    </row>
    <row r="214" spans="1:8" ht="31.2" outlineLevel="1" x14ac:dyDescent="0.3">
      <c r="A214" s="224">
        <f t="shared" si="77"/>
        <v>7.0399999999999991</v>
      </c>
      <c r="B214" s="225" t="s">
        <v>508</v>
      </c>
      <c r="C214" s="226" t="s">
        <v>33</v>
      </c>
      <c r="D214" s="263">
        <v>4</v>
      </c>
      <c r="E214" s="365"/>
      <c r="F214" s="262">
        <f t="shared" si="78"/>
        <v>0</v>
      </c>
      <c r="G214" s="214"/>
      <c r="H214" s="217"/>
    </row>
    <row r="215" spans="1:8" outlineLevel="1" x14ac:dyDescent="0.3">
      <c r="A215" s="221">
        <v>8</v>
      </c>
      <c r="B215" s="209" t="s">
        <v>500</v>
      </c>
      <c r="C215" s="230"/>
      <c r="D215" s="264"/>
      <c r="E215" s="362"/>
      <c r="F215" s="260">
        <f>SUM(F216:F216)</f>
        <v>0</v>
      </c>
      <c r="G215" s="223"/>
      <c r="H215" s="217"/>
    </row>
    <row r="216" spans="1:8" ht="31.2" outlineLevel="1" x14ac:dyDescent="0.3">
      <c r="A216" s="224">
        <f t="shared" ref="A216" si="79">A215+0.01</f>
        <v>8.01</v>
      </c>
      <c r="B216" s="225" t="s">
        <v>501</v>
      </c>
      <c r="C216" s="236" t="s">
        <v>90</v>
      </c>
      <c r="D216" s="263">
        <v>14</v>
      </c>
      <c r="E216" s="361"/>
      <c r="F216" s="262">
        <f t="shared" ref="F216" si="80">ROUND(D216*E216,0)</f>
        <v>0</v>
      </c>
      <c r="G216" s="214"/>
      <c r="H216" s="217">
        <f>0.2*D216/1000</f>
        <v>2.8000000000000004E-3</v>
      </c>
    </row>
    <row r="217" spans="1:8" outlineLevel="1" x14ac:dyDescent="0.3">
      <c r="A217" s="228">
        <v>9</v>
      </c>
      <c r="B217" s="229" t="s">
        <v>502</v>
      </c>
      <c r="C217" s="230"/>
      <c r="D217" s="264"/>
      <c r="E217" s="362"/>
      <c r="F217" s="265">
        <f>SUM(F218:F218)</f>
        <v>0</v>
      </c>
      <c r="G217" s="214"/>
      <c r="H217" s="217"/>
    </row>
    <row r="218" spans="1:8" outlineLevel="1" x14ac:dyDescent="0.3">
      <c r="A218" s="224">
        <f t="shared" si="77"/>
        <v>9.01</v>
      </c>
      <c r="B218" s="232" t="s">
        <v>503</v>
      </c>
      <c r="C218" s="233" t="s">
        <v>102</v>
      </c>
      <c r="D218" s="261">
        <v>1</v>
      </c>
      <c r="E218" s="363"/>
      <c r="F218" s="266">
        <f t="shared" ref="F218" si="81">ROUND(D218*E218,0)</f>
        <v>0</v>
      </c>
      <c r="G218" s="214"/>
      <c r="H218" s="217"/>
    </row>
    <row r="219" spans="1:8" x14ac:dyDescent="0.3">
      <c r="A219" s="390" t="s">
        <v>535</v>
      </c>
      <c r="B219" s="391"/>
      <c r="C219" s="391"/>
      <c r="D219" s="391"/>
      <c r="E219" s="392"/>
      <c r="F219" s="258">
        <f>+F220</f>
        <v>0</v>
      </c>
      <c r="G219" s="214"/>
      <c r="H219" s="217"/>
    </row>
    <row r="220" spans="1:8" outlineLevel="1" x14ac:dyDescent="0.3">
      <c r="A220" s="221">
        <v>1</v>
      </c>
      <c r="B220" s="208" t="s">
        <v>96</v>
      </c>
      <c r="C220" s="222"/>
      <c r="D220" s="259"/>
      <c r="E220" s="360"/>
      <c r="F220" s="260">
        <f>SUM(F221:F224)</f>
        <v>0</v>
      </c>
      <c r="G220" s="223"/>
      <c r="H220" s="217"/>
    </row>
    <row r="221" spans="1:8" ht="31.2" outlineLevel="1" x14ac:dyDescent="0.3">
      <c r="A221" s="224">
        <f t="shared" ref="A221:A224" si="82">A220+0.01</f>
        <v>1.01</v>
      </c>
      <c r="B221" s="225" t="s">
        <v>516</v>
      </c>
      <c r="C221" s="236" t="s">
        <v>33</v>
      </c>
      <c r="D221" s="263">
        <v>1</v>
      </c>
      <c r="E221" s="361"/>
      <c r="F221" s="262">
        <f t="shared" ref="F221" si="83">ROUND(D221*E221,0)</f>
        <v>0</v>
      </c>
      <c r="G221" s="214"/>
      <c r="H221" s="217">
        <v>0.1</v>
      </c>
    </row>
    <row r="222" spans="1:8" ht="31.2" outlineLevel="1" x14ac:dyDescent="0.3">
      <c r="A222" s="224">
        <f t="shared" si="82"/>
        <v>1.02</v>
      </c>
      <c r="B222" s="225" t="s">
        <v>522</v>
      </c>
      <c r="C222" s="226" t="s">
        <v>33</v>
      </c>
      <c r="D222" s="263">
        <v>1</v>
      </c>
      <c r="E222" s="361"/>
      <c r="F222" s="262">
        <f t="shared" ref="F222:F224" si="84">ROUND(D222*E222,0)</f>
        <v>0</v>
      </c>
      <c r="G222" s="214"/>
      <c r="H222" s="217">
        <v>0.1</v>
      </c>
    </row>
    <row r="223" spans="1:8" ht="31.2" outlineLevel="1" x14ac:dyDescent="0.3">
      <c r="A223" s="224">
        <f t="shared" si="82"/>
        <v>1.03</v>
      </c>
      <c r="B223" s="225" t="s">
        <v>536</v>
      </c>
      <c r="C223" s="226" t="s">
        <v>33</v>
      </c>
      <c r="D223" s="263">
        <v>1</v>
      </c>
      <c r="E223" s="361"/>
      <c r="F223" s="262">
        <f t="shared" si="84"/>
        <v>0</v>
      </c>
      <c r="G223" s="214"/>
      <c r="H223" s="217">
        <v>0.5</v>
      </c>
    </row>
    <row r="224" spans="1:8" ht="31.2" outlineLevel="1" x14ac:dyDescent="0.3">
      <c r="A224" s="224">
        <f t="shared" si="82"/>
        <v>1.04</v>
      </c>
      <c r="B224" s="225" t="s">
        <v>537</v>
      </c>
      <c r="C224" s="226" t="s">
        <v>33</v>
      </c>
      <c r="D224" s="263">
        <v>1</v>
      </c>
      <c r="E224" s="361"/>
      <c r="F224" s="262">
        <f t="shared" si="84"/>
        <v>0</v>
      </c>
      <c r="G224" s="214"/>
      <c r="H224" s="217">
        <v>0.5</v>
      </c>
    </row>
    <row r="225" spans="1:8" x14ac:dyDescent="0.3">
      <c r="A225" s="240"/>
      <c r="B225" s="210"/>
      <c r="C225" s="241"/>
      <c r="D225" s="268"/>
      <c r="E225" s="269"/>
      <c r="F225" s="270"/>
      <c r="G225" s="227"/>
      <c r="H225" s="218"/>
    </row>
    <row r="226" spans="1:8" x14ac:dyDescent="0.3">
      <c r="A226" s="409" t="s">
        <v>104</v>
      </c>
      <c r="B226" s="405"/>
      <c r="C226" s="388"/>
      <c r="D226" s="410"/>
      <c r="E226" s="271"/>
      <c r="F226" s="313">
        <f>+F8+F80+F159+F128+F191+F219</f>
        <v>0</v>
      </c>
      <c r="G226" s="223"/>
      <c r="H226" s="242"/>
    </row>
    <row r="227" spans="1:8" ht="17.399999999999999" customHeight="1" x14ac:dyDescent="0.3">
      <c r="A227" s="359"/>
      <c r="B227" s="400" t="s">
        <v>807</v>
      </c>
      <c r="C227" s="398" t="s">
        <v>105</v>
      </c>
      <c r="D227" s="399"/>
      <c r="E227" s="366"/>
      <c r="F227" s="315">
        <f>ROUND(F226*E227,0)</f>
        <v>0</v>
      </c>
      <c r="G227" s="214"/>
      <c r="H227" s="218"/>
    </row>
    <row r="228" spans="1:8" ht="17.399999999999999" customHeight="1" x14ac:dyDescent="0.3">
      <c r="A228" s="359"/>
      <c r="B228" s="400"/>
      <c r="C228" s="398" t="s">
        <v>106</v>
      </c>
      <c r="D228" s="399"/>
      <c r="E228" s="366"/>
      <c r="F228" s="315">
        <f>ROUND(F226*E228,0)</f>
        <v>0</v>
      </c>
      <c r="G228" s="214"/>
      <c r="H228" s="218"/>
    </row>
    <row r="229" spans="1:8" ht="17.399999999999999" customHeight="1" x14ac:dyDescent="0.3">
      <c r="A229" s="359"/>
      <c r="B229" s="400"/>
      <c r="C229" s="398" t="s">
        <v>107</v>
      </c>
      <c r="D229" s="399"/>
      <c r="E229" s="366"/>
      <c r="F229" s="315">
        <f>ROUND(F226*E229,0)</f>
        <v>0</v>
      </c>
      <c r="G229" s="234"/>
      <c r="H229" s="218"/>
    </row>
    <row r="230" spans="1:8" x14ac:dyDescent="0.3">
      <c r="A230" s="393" t="s">
        <v>108</v>
      </c>
      <c r="B230" s="394"/>
      <c r="C230" s="391"/>
      <c r="D230" s="395"/>
      <c r="E230" s="272">
        <f>SUM(E227:E229)</f>
        <v>0</v>
      </c>
      <c r="F230" s="313">
        <f>SUM(F227:F229)</f>
        <v>0</v>
      </c>
      <c r="G230" s="214"/>
      <c r="H230" s="218"/>
    </row>
    <row r="231" spans="1:8" x14ac:dyDescent="0.3">
      <c r="A231" s="396" t="s">
        <v>109</v>
      </c>
      <c r="B231" s="391"/>
      <c r="C231" s="391"/>
      <c r="D231" s="395"/>
      <c r="E231" s="273">
        <v>0.19</v>
      </c>
      <c r="F231" s="315">
        <f>ROUND(F229*E231,0)</f>
        <v>0</v>
      </c>
      <c r="G231" s="214"/>
      <c r="H231" s="218"/>
    </row>
    <row r="232" spans="1:8" x14ac:dyDescent="0.3">
      <c r="A232" s="243"/>
      <c r="B232" s="244"/>
      <c r="C232" s="245"/>
      <c r="D232" s="274"/>
      <c r="E232" s="275"/>
      <c r="F232" s="315"/>
      <c r="G232" s="214"/>
      <c r="H232" s="218"/>
    </row>
    <row r="233" spans="1:8" x14ac:dyDescent="0.3">
      <c r="A233" s="401" t="s">
        <v>616</v>
      </c>
      <c r="B233" s="402"/>
      <c r="C233" s="402"/>
      <c r="D233" s="402"/>
      <c r="E233" s="403"/>
      <c r="F233" s="313">
        <f>F226+F230+F231</f>
        <v>0</v>
      </c>
      <c r="G233" s="214"/>
      <c r="H233" s="218"/>
    </row>
    <row r="234" spans="1:8" x14ac:dyDescent="0.3">
      <c r="A234" s="240"/>
      <c r="B234" s="210"/>
      <c r="C234" s="241"/>
      <c r="D234" s="268"/>
      <c r="E234" s="269"/>
      <c r="F234" s="270"/>
      <c r="G234" s="214"/>
      <c r="H234" s="218"/>
    </row>
    <row r="235" spans="1:8" x14ac:dyDescent="0.3">
      <c r="A235" s="219"/>
      <c r="B235" s="207" t="s">
        <v>110</v>
      </c>
      <c r="C235" s="207"/>
      <c r="D235" s="255"/>
      <c r="E235" s="256"/>
      <c r="F235" s="313">
        <f>SUM(F236:F239)</f>
        <v>0</v>
      </c>
      <c r="G235" s="214"/>
      <c r="H235" s="218"/>
    </row>
    <row r="236" spans="1:8" x14ac:dyDescent="0.3">
      <c r="A236" s="411" t="s">
        <v>569</v>
      </c>
      <c r="B236" s="412"/>
      <c r="C236" s="246" t="s">
        <v>111</v>
      </c>
      <c r="D236" s="276">
        <v>14</v>
      </c>
      <c r="E236" s="367"/>
      <c r="F236" s="314">
        <f>ROUND(D236*E236,0)</f>
        <v>0</v>
      </c>
      <c r="G236" s="247"/>
      <c r="H236" s="218"/>
    </row>
    <row r="237" spans="1:8" x14ac:dyDescent="0.3">
      <c r="A237" s="411" t="s">
        <v>570</v>
      </c>
      <c r="B237" s="412"/>
      <c r="C237" s="246" t="s">
        <v>111</v>
      </c>
      <c r="D237" s="276">
        <v>14</v>
      </c>
      <c r="E237" s="367"/>
      <c r="F237" s="314">
        <f>ROUND(D237*E237,0)</f>
        <v>0</v>
      </c>
      <c r="G237" s="247"/>
      <c r="H237" s="218"/>
    </row>
    <row r="238" spans="1:8" x14ac:dyDescent="0.3">
      <c r="A238" s="411" t="s">
        <v>583</v>
      </c>
      <c r="B238" s="412"/>
      <c r="C238" s="246" t="s">
        <v>111</v>
      </c>
      <c r="D238" s="276">
        <v>2</v>
      </c>
      <c r="E238" s="367"/>
      <c r="F238" s="314">
        <f>ROUND(D238*E238,0)</f>
        <v>0</v>
      </c>
      <c r="G238" s="247"/>
      <c r="H238" s="218"/>
    </row>
    <row r="239" spans="1:8" x14ac:dyDescent="0.3">
      <c r="A239" s="411" t="s">
        <v>587</v>
      </c>
      <c r="B239" s="412"/>
      <c r="C239" s="246" t="s">
        <v>111</v>
      </c>
      <c r="D239" s="276">
        <v>2</v>
      </c>
      <c r="E239" s="367"/>
      <c r="F239" s="314">
        <f>ROUND(D239*E239,0)</f>
        <v>0</v>
      </c>
      <c r="G239" s="247"/>
      <c r="H239" s="218"/>
    </row>
    <row r="240" spans="1:8" ht="17.25" customHeight="1" x14ac:dyDescent="0.35">
      <c r="A240" s="404" t="s">
        <v>534</v>
      </c>
      <c r="B240" s="405"/>
      <c r="C240" s="405"/>
      <c r="D240" s="405"/>
      <c r="E240" s="406">
        <f>+F233+F235</f>
        <v>0</v>
      </c>
      <c r="F240" s="407"/>
      <c r="G240" s="326"/>
      <c r="H240" s="218"/>
    </row>
    <row r="241" spans="1:8" x14ac:dyDescent="0.3">
      <c r="A241" s="248"/>
      <c r="B241" s="211"/>
      <c r="C241" s="249"/>
      <c r="D241" s="277"/>
      <c r="E241" s="277"/>
      <c r="F241" s="278"/>
      <c r="G241" s="326"/>
      <c r="H241" s="218"/>
    </row>
    <row r="242" spans="1:8" x14ac:dyDescent="0.3">
      <c r="A242" s="248"/>
      <c r="B242" s="212"/>
      <c r="C242" s="250"/>
      <c r="D242" s="279"/>
      <c r="E242" s="279"/>
      <c r="F242" s="278"/>
      <c r="G242" s="214"/>
      <c r="H242" s="218"/>
    </row>
    <row r="243" spans="1:8" x14ac:dyDescent="0.3">
      <c r="A243" s="248"/>
      <c r="B243" s="212"/>
      <c r="C243" s="250"/>
      <c r="D243" s="279"/>
      <c r="E243" s="279"/>
      <c r="F243" s="278"/>
      <c r="G243" s="214"/>
      <c r="H243" s="218"/>
    </row>
    <row r="244" spans="1:8" x14ac:dyDescent="0.3">
      <c r="A244" s="248"/>
      <c r="B244" s="212"/>
      <c r="C244" s="250"/>
      <c r="D244" s="279"/>
      <c r="E244" s="279"/>
      <c r="F244" s="278"/>
      <c r="G244" s="214"/>
      <c r="H244" s="218"/>
    </row>
    <row r="245" spans="1:8" ht="18" thickBot="1" x14ac:dyDescent="0.35">
      <c r="A245" s="408" t="s">
        <v>112</v>
      </c>
      <c r="B245" s="379"/>
      <c r="C245" s="251"/>
      <c r="D245" s="280"/>
      <c r="E245" s="281"/>
      <c r="F245" s="282"/>
      <c r="G245" s="214"/>
      <c r="H245" s="218"/>
    </row>
    <row r="246" spans="1:8" x14ac:dyDescent="0.3">
      <c r="A246" s="213"/>
      <c r="B246" s="214"/>
      <c r="C246" s="252"/>
      <c r="D246" s="283"/>
      <c r="E246" s="284"/>
      <c r="F246" s="284"/>
      <c r="G246" s="214"/>
      <c r="H246" s="218"/>
    </row>
    <row r="247" spans="1:8" x14ac:dyDescent="0.3">
      <c r="A247" s="213"/>
      <c r="B247" s="214"/>
      <c r="C247" s="252"/>
      <c r="D247" s="283"/>
      <c r="E247" s="284"/>
      <c r="F247" s="284"/>
      <c r="G247" s="214"/>
      <c r="H247" s="218"/>
    </row>
    <row r="248" spans="1:8" x14ac:dyDescent="0.3">
      <c r="A248" s="213"/>
      <c r="B248" s="214"/>
      <c r="C248" s="252"/>
      <c r="D248" s="283"/>
      <c r="E248" s="294"/>
      <c r="F248" s="284"/>
      <c r="G248" s="214"/>
      <c r="H248" s="218"/>
    </row>
    <row r="249" spans="1:8" x14ac:dyDescent="0.3">
      <c r="A249" s="213"/>
      <c r="B249" s="214"/>
      <c r="C249" s="252"/>
      <c r="D249" s="283"/>
      <c r="E249" s="285"/>
      <c r="F249" s="285"/>
      <c r="G249" s="214"/>
      <c r="H249" s="218"/>
    </row>
    <row r="250" spans="1:8" x14ac:dyDescent="0.3">
      <c r="A250" s="213"/>
      <c r="B250" s="214"/>
      <c r="C250" s="252"/>
      <c r="D250" s="283"/>
      <c r="E250" s="285"/>
      <c r="F250" s="284"/>
      <c r="G250" s="214"/>
      <c r="H250" s="218"/>
    </row>
    <row r="251" spans="1:8" x14ac:dyDescent="0.3">
      <c r="A251" s="213"/>
      <c r="B251" s="214"/>
      <c r="C251" s="252"/>
      <c r="D251" s="283"/>
      <c r="E251" s="285"/>
      <c r="F251" s="284"/>
      <c r="G251" s="214"/>
      <c r="H251" s="218"/>
    </row>
    <row r="252" spans="1:8" x14ac:dyDescent="0.3">
      <c r="A252" s="213"/>
      <c r="B252" s="214"/>
      <c r="C252" s="252"/>
      <c r="D252" s="283"/>
      <c r="E252" s="286"/>
      <c r="F252" s="284"/>
      <c r="G252" s="214"/>
      <c r="H252" s="218"/>
    </row>
    <row r="253" spans="1:8" x14ac:dyDescent="0.3">
      <c r="A253" s="213"/>
      <c r="B253" s="214"/>
      <c r="C253" s="252"/>
      <c r="D253" s="283"/>
      <c r="E253" s="284"/>
      <c r="F253" s="284"/>
      <c r="G253" s="214"/>
      <c r="H253" s="218"/>
    </row>
    <row r="254" spans="1:8" x14ac:dyDescent="0.3">
      <c r="A254" s="213"/>
      <c r="B254" s="214"/>
      <c r="C254" s="252"/>
      <c r="D254" s="283"/>
      <c r="E254" s="284"/>
      <c r="F254" s="284"/>
      <c r="G254" s="214"/>
      <c r="H254" s="218"/>
    </row>
    <row r="255" spans="1:8" x14ac:dyDescent="0.3">
      <c r="A255" s="213"/>
      <c r="B255" s="214"/>
      <c r="C255" s="252"/>
      <c r="D255" s="283"/>
      <c r="E255" s="284"/>
      <c r="F255" s="284"/>
      <c r="G255" s="214"/>
      <c r="H255" s="218"/>
    </row>
    <row r="256" spans="1:8" x14ac:dyDescent="0.3">
      <c r="A256" s="213"/>
      <c r="B256" s="214"/>
      <c r="C256" s="252"/>
      <c r="D256" s="283"/>
      <c r="E256" s="284"/>
      <c r="F256" s="284"/>
      <c r="G256" s="214"/>
      <c r="H256" s="218"/>
    </row>
    <row r="257" spans="1:8" x14ac:dyDescent="0.3">
      <c r="A257" s="213"/>
      <c r="B257" s="214"/>
      <c r="C257" s="252"/>
      <c r="D257" s="283"/>
      <c r="E257" s="284"/>
      <c r="F257" s="284"/>
      <c r="G257" s="214"/>
      <c r="H257" s="218"/>
    </row>
    <row r="258" spans="1:8" x14ac:dyDescent="0.3">
      <c r="A258" s="213"/>
      <c r="B258" s="214"/>
      <c r="C258" s="252"/>
      <c r="D258" s="283"/>
      <c r="E258" s="284"/>
      <c r="F258" s="284"/>
      <c r="G258" s="214"/>
      <c r="H258" s="218"/>
    </row>
    <row r="259" spans="1:8" x14ac:dyDescent="0.3">
      <c r="A259" s="213"/>
      <c r="B259" s="214"/>
      <c r="C259" s="252"/>
      <c r="D259" s="283"/>
      <c r="E259" s="284"/>
      <c r="F259" s="284"/>
      <c r="G259" s="214"/>
      <c r="H259" s="218"/>
    </row>
    <row r="260" spans="1:8" x14ac:dyDescent="0.3">
      <c r="A260" s="213"/>
      <c r="B260" s="214"/>
      <c r="C260" s="252"/>
      <c r="D260" s="283"/>
      <c r="E260" s="284"/>
      <c r="F260" s="284"/>
      <c r="G260" s="214"/>
      <c r="H260" s="218"/>
    </row>
    <row r="261" spans="1:8" x14ac:dyDescent="0.3">
      <c r="A261" s="213"/>
      <c r="B261" s="214"/>
      <c r="C261" s="252"/>
      <c r="D261" s="283"/>
      <c r="E261" s="284"/>
      <c r="F261" s="284"/>
      <c r="G261" s="214"/>
      <c r="H261" s="218"/>
    </row>
    <row r="262" spans="1:8" x14ac:dyDescent="0.3">
      <c r="A262" s="213"/>
      <c r="B262" s="214"/>
      <c r="C262" s="252"/>
      <c r="D262" s="283"/>
      <c r="E262" s="284"/>
      <c r="F262" s="284"/>
      <c r="G262" s="214"/>
      <c r="H262" s="218"/>
    </row>
    <row r="263" spans="1:8" x14ac:dyDescent="0.3">
      <c r="A263" s="213"/>
      <c r="B263" s="214"/>
      <c r="C263" s="252"/>
      <c r="D263" s="283"/>
      <c r="E263" s="284"/>
      <c r="F263" s="284"/>
      <c r="G263" s="214"/>
      <c r="H263" s="218"/>
    </row>
    <row r="264" spans="1:8" x14ac:dyDescent="0.3">
      <c r="A264" s="213"/>
      <c r="B264" s="214"/>
      <c r="C264" s="252"/>
      <c r="D264" s="283"/>
      <c r="E264" s="284"/>
      <c r="F264" s="284"/>
      <c r="G264" s="214"/>
      <c r="H264" s="218"/>
    </row>
    <row r="265" spans="1:8" x14ac:dyDescent="0.3">
      <c r="A265" s="213"/>
      <c r="B265" s="214"/>
      <c r="C265" s="252"/>
      <c r="D265" s="283"/>
      <c r="E265" s="284"/>
      <c r="F265" s="284"/>
      <c r="G265" s="214"/>
      <c r="H265" s="218"/>
    </row>
    <row r="266" spans="1:8" x14ac:dyDescent="0.3">
      <c r="A266" s="213"/>
      <c r="B266" s="214"/>
      <c r="C266" s="252"/>
      <c r="D266" s="283"/>
      <c r="E266" s="284"/>
      <c r="F266" s="284"/>
      <c r="G266" s="214"/>
      <c r="H266" s="218"/>
    </row>
    <row r="267" spans="1:8" x14ac:dyDescent="0.3">
      <c r="A267" s="213"/>
      <c r="B267" s="214"/>
      <c r="C267" s="252"/>
      <c r="D267" s="283"/>
      <c r="E267" s="284"/>
      <c r="F267" s="284"/>
      <c r="G267" s="214"/>
      <c r="H267" s="218"/>
    </row>
    <row r="268" spans="1:8" x14ac:dyDescent="0.3">
      <c r="A268" s="213"/>
      <c r="B268" s="214"/>
      <c r="C268" s="252"/>
      <c r="D268" s="283"/>
      <c r="E268" s="284"/>
      <c r="F268" s="284"/>
      <c r="G268" s="214"/>
      <c r="H268" s="218"/>
    </row>
    <row r="269" spans="1:8" x14ac:dyDescent="0.3">
      <c r="A269" s="213"/>
      <c r="B269" s="214"/>
      <c r="C269" s="252"/>
      <c r="D269" s="283"/>
      <c r="E269" s="284"/>
      <c r="F269" s="284"/>
      <c r="G269" s="214"/>
      <c r="H269" s="218"/>
    </row>
    <row r="270" spans="1:8" x14ac:dyDescent="0.3">
      <c r="A270" s="213"/>
      <c r="B270" s="214"/>
      <c r="C270" s="252"/>
      <c r="D270" s="283"/>
      <c r="E270" s="284"/>
      <c r="F270" s="284"/>
      <c r="G270" s="214"/>
      <c r="H270" s="218"/>
    </row>
    <row r="271" spans="1:8" x14ac:dyDescent="0.3">
      <c r="A271" s="213"/>
      <c r="B271" s="214"/>
      <c r="C271" s="252"/>
      <c r="D271" s="283"/>
      <c r="E271" s="284"/>
      <c r="F271" s="284"/>
      <c r="G271" s="214"/>
      <c r="H271" s="218"/>
    </row>
    <row r="272" spans="1:8" x14ac:dyDescent="0.3">
      <c r="A272" s="213"/>
      <c r="B272" s="214"/>
      <c r="C272" s="252"/>
      <c r="D272" s="283"/>
      <c r="E272" s="284"/>
      <c r="F272" s="284"/>
      <c r="G272" s="214"/>
      <c r="H272" s="218"/>
    </row>
    <row r="273" spans="1:8" x14ac:dyDescent="0.3">
      <c r="A273" s="213"/>
      <c r="B273" s="214"/>
      <c r="C273" s="252"/>
      <c r="D273" s="283"/>
      <c r="E273" s="284"/>
      <c r="F273" s="284"/>
      <c r="G273" s="214"/>
      <c r="H273" s="218"/>
    </row>
    <row r="274" spans="1:8" x14ac:dyDescent="0.3">
      <c r="A274" s="213"/>
      <c r="B274" s="214"/>
      <c r="C274" s="252"/>
      <c r="D274" s="283"/>
      <c r="E274" s="284"/>
      <c r="F274" s="284"/>
      <c r="G274" s="214"/>
      <c r="H274" s="218"/>
    </row>
    <row r="275" spans="1:8" x14ac:dyDescent="0.3">
      <c r="A275" s="213"/>
      <c r="B275" s="214"/>
      <c r="C275" s="252"/>
      <c r="D275" s="283"/>
      <c r="E275" s="284"/>
      <c r="F275" s="284"/>
      <c r="G275" s="214"/>
      <c r="H275" s="218"/>
    </row>
    <row r="276" spans="1:8" x14ac:dyDescent="0.3">
      <c r="A276" s="213"/>
      <c r="B276" s="214"/>
      <c r="C276" s="252"/>
      <c r="D276" s="283"/>
      <c r="E276" s="284"/>
      <c r="F276" s="284"/>
      <c r="G276" s="214"/>
      <c r="H276" s="218"/>
    </row>
    <row r="277" spans="1:8" x14ac:dyDescent="0.3">
      <c r="A277" s="213"/>
      <c r="B277" s="214"/>
      <c r="C277" s="252"/>
      <c r="D277" s="283"/>
      <c r="E277" s="284"/>
      <c r="F277" s="284"/>
      <c r="G277" s="214"/>
      <c r="H277" s="218"/>
    </row>
    <row r="278" spans="1:8" x14ac:dyDescent="0.3">
      <c r="A278" s="213"/>
      <c r="B278" s="214"/>
      <c r="C278" s="252"/>
      <c r="D278" s="283"/>
      <c r="E278" s="284"/>
      <c r="F278" s="284"/>
      <c r="G278" s="214"/>
      <c r="H278" s="218"/>
    </row>
    <row r="279" spans="1:8" x14ac:dyDescent="0.3">
      <c r="A279" s="213"/>
      <c r="B279" s="214"/>
      <c r="C279" s="252"/>
      <c r="D279" s="283"/>
      <c r="E279" s="284"/>
      <c r="F279" s="284"/>
      <c r="G279" s="214"/>
      <c r="H279" s="218"/>
    </row>
    <row r="280" spans="1:8" x14ac:dyDescent="0.3">
      <c r="A280" s="213"/>
      <c r="B280" s="214"/>
      <c r="C280" s="252"/>
      <c r="D280" s="283"/>
      <c r="E280" s="284"/>
      <c r="F280" s="284"/>
      <c r="G280" s="214"/>
      <c r="H280" s="218"/>
    </row>
    <row r="281" spans="1:8" x14ac:dyDescent="0.3">
      <c r="A281" s="213"/>
      <c r="B281" s="214"/>
      <c r="C281" s="252"/>
      <c r="D281" s="283"/>
      <c r="E281" s="284"/>
      <c r="F281" s="284"/>
      <c r="G281" s="214"/>
      <c r="H281" s="218"/>
    </row>
    <row r="282" spans="1:8" x14ac:dyDescent="0.3">
      <c r="A282" s="213"/>
      <c r="B282" s="214"/>
      <c r="C282" s="252"/>
      <c r="D282" s="283"/>
      <c r="E282" s="284"/>
      <c r="F282" s="284"/>
      <c r="G282" s="214"/>
      <c r="H282" s="218"/>
    </row>
    <row r="283" spans="1:8" x14ac:dyDescent="0.3">
      <c r="A283" s="213"/>
      <c r="B283" s="214"/>
      <c r="C283" s="252"/>
      <c r="D283" s="283"/>
      <c r="E283" s="284"/>
      <c r="F283" s="284"/>
      <c r="G283" s="214"/>
      <c r="H283" s="218"/>
    </row>
    <row r="284" spans="1:8" x14ac:dyDescent="0.3">
      <c r="A284" s="213"/>
      <c r="B284" s="214"/>
      <c r="C284" s="252"/>
      <c r="D284" s="283"/>
      <c r="E284" s="284"/>
      <c r="F284" s="284"/>
      <c r="G284" s="214"/>
      <c r="H284" s="218"/>
    </row>
    <row r="285" spans="1:8" x14ac:dyDescent="0.3">
      <c r="A285" s="213"/>
      <c r="B285" s="214"/>
      <c r="C285" s="252"/>
      <c r="D285" s="283"/>
      <c r="E285" s="284"/>
      <c r="F285" s="284"/>
      <c r="G285" s="214"/>
      <c r="H285" s="218"/>
    </row>
    <row r="286" spans="1:8" x14ac:dyDescent="0.3">
      <c r="A286" s="213"/>
      <c r="B286" s="214"/>
      <c r="C286" s="252"/>
      <c r="D286" s="283"/>
      <c r="E286" s="284"/>
      <c r="F286" s="284"/>
      <c r="G286" s="214"/>
      <c r="H286" s="218"/>
    </row>
    <row r="287" spans="1:8" x14ac:dyDescent="0.3">
      <c r="A287" s="213"/>
      <c r="B287" s="214"/>
      <c r="C287" s="252"/>
      <c r="D287" s="283"/>
      <c r="E287" s="284"/>
      <c r="F287" s="284"/>
      <c r="G287" s="214"/>
      <c r="H287" s="218"/>
    </row>
    <row r="288" spans="1:8" x14ac:dyDescent="0.3">
      <c r="A288" s="213"/>
      <c r="B288" s="214"/>
      <c r="C288" s="252"/>
      <c r="D288" s="283"/>
      <c r="E288" s="284"/>
      <c r="F288" s="284"/>
      <c r="G288" s="214"/>
      <c r="H288" s="218"/>
    </row>
    <row r="289" spans="1:8" x14ac:dyDescent="0.3">
      <c r="A289" s="213"/>
      <c r="B289" s="214"/>
      <c r="C289" s="252"/>
      <c r="D289" s="283"/>
      <c r="E289" s="284"/>
      <c r="F289" s="284"/>
      <c r="G289" s="214"/>
      <c r="H289" s="218"/>
    </row>
    <row r="290" spans="1:8" x14ac:dyDescent="0.3">
      <c r="A290" s="213"/>
      <c r="B290" s="214"/>
      <c r="C290" s="252"/>
      <c r="D290" s="283"/>
      <c r="E290" s="284"/>
      <c r="F290" s="284"/>
      <c r="G290" s="214"/>
      <c r="H290" s="218"/>
    </row>
    <row r="291" spans="1:8" x14ac:dyDescent="0.3">
      <c r="A291" s="213"/>
      <c r="B291" s="214"/>
      <c r="C291" s="252"/>
      <c r="D291" s="283"/>
      <c r="E291" s="284"/>
      <c r="F291" s="284"/>
      <c r="G291" s="214"/>
      <c r="H291" s="218"/>
    </row>
    <row r="292" spans="1:8" x14ac:dyDescent="0.3">
      <c r="A292" s="213"/>
      <c r="B292" s="214"/>
      <c r="C292" s="252"/>
      <c r="D292" s="283"/>
      <c r="E292" s="284"/>
      <c r="F292" s="284"/>
      <c r="G292" s="214"/>
      <c r="H292" s="218"/>
    </row>
    <row r="293" spans="1:8" x14ac:dyDescent="0.3">
      <c r="A293" s="213"/>
      <c r="B293" s="214"/>
      <c r="C293" s="252"/>
      <c r="D293" s="283"/>
      <c r="E293" s="284"/>
      <c r="F293" s="284"/>
      <c r="G293" s="214"/>
      <c r="H293" s="218"/>
    </row>
    <row r="294" spans="1:8" x14ac:dyDescent="0.3">
      <c r="A294" s="213"/>
      <c r="B294" s="214"/>
      <c r="C294" s="252"/>
      <c r="D294" s="283"/>
      <c r="E294" s="284"/>
      <c r="F294" s="284"/>
      <c r="G294" s="214"/>
      <c r="H294" s="218"/>
    </row>
    <row r="295" spans="1:8" x14ac:dyDescent="0.3">
      <c r="A295" s="213"/>
      <c r="B295" s="214"/>
      <c r="C295" s="252"/>
      <c r="D295" s="283"/>
      <c r="E295" s="284"/>
      <c r="F295" s="284"/>
      <c r="G295" s="214"/>
      <c r="H295" s="218"/>
    </row>
    <row r="296" spans="1:8" x14ac:dyDescent="0.3">
      <c r="A296" s="213"/>
      <c r="B296" s="214"/>
      <c r="C296" s="252"/>
      <c r="D296" s="283"/>
      <c r="E296" s="284"/>
      <c r="F296" s="284"/>
      <c r="G296" s="214"/>
      <c r="H296" s="218"/>
    </row>
    <row r="297" spans="1:8" x14ac:dyDescent="0.3">
      <c r="A297" s="213"/>
      <c r="B297" s="214"/>
      <c r="C297" s="252"/>
      <c r="D297" s="283"/>
      <c r="E297" s="284"/>
      <c r="F297" s="284"/>
      <c r="G297" s="214"/>
      <c r="H297" s="218"/>
    </row>
    <row r="298" spans="1:8" x14ac:dyDescent="0.3">
      <c r="A298" s="213"/>
      <c r="B298" s="214"/>
      <c r="C298" s="252"/>
      <c r="D298" s="283"/>
      <c r="E298" s="284"/>
      <c r="F298" s="284"/>
      <c r="G298" s="214"/>
      <c r="H298" s="218"/>
    </row>
    <row r="299" spans="1:8" x14ac:dyDescent="0.3">
      <c r="A299" s="213"/>
      <c r="B299" s="214"/>
      <c r="C299" s="252"/>
      <c r="D299" s="283"/>
      <c r="E299" s="284"/>
      <c r="F299" s="284"/>
      <c r="G299" s="214"/>
      <c r="H299" s="218"/>
    </row>
    <row r="300" spans="1:8" x14ac:dyDescent="0.3">
      <c r="A300" s="213"/>
      <c r="B300" s="214"/>
      <c r="C300" s="252"/>
      <c r="D300" s="283"/>
      <c r="E300" s="284"/>
      <c r="F300" s="284"/>
      <c r="G300" s="214"/>
      <c r="H300" s="218"/>
    </row>
    <row r="301" spans="1:8" x14ac:dyDescent="0.3">
      <c r="A301" s="213"/>
      <c r="B301" s="214"/>
      <c r="C301" s="252"/>
      <c r="D301" s="283"/>
      <c r="E301" s="284"/>
      <c r="F301" s="284"/>
      <c r="G301" s="214"/>
      <c r="H301" s="218"/>
    </row>
    <row r="302" spans="1:8" x14ac:dyDescent="0.3">
      <c r="A302" s="213"/>
      <c r="B302" s="214"/>
      <c r="C302" s="252"/>
      <c r="D302" s="283"/>
      <c r="E302" s="284"/>
      <c r="F302" s="284"/>
      <c r="G302" s="214"/>
      <c r="H302" s="218"/>
    </row>
    <row r="303" spans="1:8" x14ac:dyDescent="0.3">
      <c r="A303" s="213"/>
      <c r="B303" s="214"/>
      <c r="C303" s="252"/>
      <c r="D303" s="283"/>
      <c r="E303" s="284"/>
      <c r="F303" s="284"/>
      <c r="G303" s="214"/>
      <c r="H303" s="218"/>
    </row>
    <row r="304" spans="1:8" x14ac:dyDescent="0.3">
      <c r="A304" s="213"/>
      <c r="B304" s="214"/>
      <c r="C304" s="252"/>
      <c r="D304" s="283"/>
      <c r="E304" s="284"/>
      <c r="F304" s="284"/>
      <c r="G304" s="214"/>
      <c r="H304" s="218"/>
    </row>
    <row r="305" spans="1:8" x14ac:dyDescent="0.3">
      <c r="A305" s="213"/>
      <c r="B305" s="214"/>
      <c r="C305" s="252"/>
      <c r="D305" s="283"/>
      <c r="E305" s="284"/>
      <c r="F305" s="284"/>
      <c r="G305" s="214"/>
      <c r="H305" s="218"/>
    </row>
    <row r="306" spans="1:8" x14ac:dyDescent="0.3">
      <c r="A306" s="213"/>
      <c r="B306" s="214"/>
      <c r="C306" s="252"/>
      <c r="D306" s="283"/>
      <c r="E306" s="284"/>
      <c r="F306" s="284"/>
      <c r="G306" s="214"/>
      <c r="H306" s="218"/>
    </row>
    <row r="307" spans="1:8" x14ac:dyDescent="0.3">
      <c r="A307" s="213"/>
      <c r="B307" s="214"/>
      <c r="C307" s="252"/>
      <c r="D307" s="283"/>
      <c r="E307" s="284"/>
      <c r="F307" s="284"/>
      <c r="G307" s="214"/>
      <c r="H307" s="218"/>
    </row>
    <row r="308" spans="1:8" x14ac:dyDescent="0.3">
      <c r="A308" s="213"/>
      <c r="B308" s="214"/>
      <c r="C308" s="252"/>
      <c r="D308" s="283"/>
      <c r="E308" s="284"/>
      <c r="F308" s="284"/>
      <c r="G308" s="214"/>
      <c r="H308" s="218"/>
    </row>
    <row r="309" spans="1:8" x14ac:dyDescent="0.3">
      <c r="A309" s="213"/>
      <c r="B309" s="214"/>
      <c r="C309" s="252"/>
      <c r="D309" s="283"/>
      <c r="E309" s="284"/>
      <c r="F309" s="284"/>
      <c r="G309" s="214"/>
      <c r="H309" s="218"/>
    </row>
    <row r="310" spans="1:8" x14ac:dyDescent="0.3">
      <c r="A310" s="213"/>
      <c r="B310" s="214"/>
      <c r="C310" s="252"/>
      <c r="D310" s="283"/>
      <c r="E310" s="284"/>
      <c r="F310" s="284"/>
      <c r="G310" s="214"/>
      <c r="H310" s="218"/>
    </row>
    <row r="311" spans="1:8" x14ac:dyDescent="0.3">
      <c r="A311" s="213"/>
      <c r="B311" s="214"/>
      <c r="C311" s="252"/>
      <c r="D311" s="283"/>
      <c r="E311" s="284"/>
      <c r="F311" s="284"/>
      <c r="G311" s="214"/>
      <c r="H311" s="218"/>
    </row>
    <row r="312" spans="1:8" x14ac:dyDescent="0.3">
      <c r="A312" s="213"/>
      <c r="B312" s="214"/>
      <c r="C312" s="252"/>
      <c r="D312" s="283"/>
      <c r="E312" s="284"/>
      <c r="F312" s="284"/>
      <c r="G312" s="214"/>
      <c r="H312" s="218"/>
    </row>
    <row r="313" spans="1:8" x14ac:dyDescent="0.3">
      <c r="A313" s="213"/>
      <c r="B313" s="214"/>
      <c r="C313" s="252"/>
      <c r="D313" s="283"/>
      <c r="E313" s="284"/>
      <c r="F313" s="284"/>
      <c r="G313" s="214"/>
      <c r="H313" s="218"/>
    </row>
    <row r="314" spans="1:8" x14ac:dyDescent="0.3">
      <c r="A314" s="213"/>
      <c r="B314" s="214"/>
      <c r="C314" s="252"/>
      <c r="D314" s="283"/>
      <c r="E314" s="284"/>
      <c r="F314" s="284"/>
      <c r="G314" s="214"/>
      <c r="H314" s="218"/>
    </row>
    <row r="315" spans="1:8" x14ac:dyDescent="0.3">
      <c r="A315" s="213"/>
      <c r="B315" s="214"/>
      <c r="C315" s="252"/>
      <c r="D315" s="283"/>
      <c r="E315" s="284"/>
      <c r="F315" s="284"/>
      <c r="G315" s="214"/>
      <c r="H315" s="218"/>
    </row>
    <row r="316" spans="1:8" x14ac:dyDescent="0.3">
      <c r="A316" s="213"/>
      <c r="B316" s="214"/>
      <c r="C316" s="252"/>
      <c r="D316" s="283"/>
      <c r="E316" s="284"/>
      <c r="F316" s="284"/>
      <c r="G316" s="214"/>
      <c r="H316" s="218"/>
    </row>
    <row r="317" spans="1:8" x14ac:dyDescent="0.3">
      <c r="A317" s="213"/>
      <c r="B317" s="214"/>
      <c r="C317" s="252"/>
      <c r="D317" s="283"/>
      <c r="E317" s="284"/>
      <c r="F317" s="284"/>
      <c r="G317" s="214"/>
      <c r="H317" s="218"/>
    </row>
    <row r="318" spans="1:8" x14ac:dyDescent="0.3">
      <c r="A318" s="213"/>
      <c r="B318" s="214"/>
      <c r="C318" s="252"/>
      <c r="D318" s="283"/>
      <c r="E318" s="284"/>
      <c r="F318" s="284"/>
      <c r="G318" s="214"/>
      <c r="H318" s="218"/>
    </row>
    <row r="319" spans="1:8" x14ac:dyDescent="0.3">
      <c r="A319" s="213"/>
      <c r="B319" s="214"/>
      <c r="C319" s="252"/>
      <c r="D319" s="283"/>
      <c r="E319" s="284"/>
      <c r="F319" s="284"/>
      <c r="G319" s="214"/>
      <c r="H319" s="218"/>
    </row>
    <row r="320" spans="1:8" x14ac:dyDescent="0.3">
      <c r="A320" s="213"/>
      <c r="B320" s="214"/>
      <c r="C320" s="252"/>
      <c r="D320" s="283"/>
      <c r="E320" s="284"/>
      <c r="F320" s="284"/>
      <c r="G320" s="214"/>
      <c r="H320" s="218"/>
    </row>
    <row r="321" spans="1:8" x14ac:dyDescent="0.3">
      <c r="A321" s="213"/>
      <c r="B321" s="214"/>
      <c r="C321" s="252"/>
      <c r="D321" s="283"/>
      <c r="E321" s="284"/>
      <c r="F321" s="284"/>
      <c r="G321" s="214"/>
      <c r="H321" s="218"/>
    </row>
    <row r="322" spans="1:8" x14ac:dyDescent="0.3">
      <c r="A322" s="213"/>
      <c r="B322" s="214"/>
      <c r="C322" s="252"/>
      <c r="D322" s="283"/>
      <c r="E322" s="284"/>
      <c r="F322" s="284"/>
      <c r="G322" s="214"/>
      <c r="H322" s="218"/>
    </row>
    <row r="323" spans="1:8" x14ac:dyDescent="0.3">
      <c r="A323" s="213"/>
      <c r="B323" s="214"/>
      <c r="C323" s="252"/>
      <c r="D323" s="283"/>
      <c r="E323" s="284"/>
      <c r="F323" s="284"/>
      <c r="G323" s="214"/>
      <c r="H323" s="218"/>
    </row>
    <row r="324" spans="1:8" x14ac:dyDescent="0.3">
      <c r="A324" s="213"/>
      <c r="B324" s="214"/>
      <c r="C324" s="252"/>
      <c r="D324" s="283"/>
      <c r="E324" s="284"/>
      <c r="F324" s="284"/>
      <c r="G324" s="214"/>
      <c r="H324" s="218"/>
    </row>
    <row r="325" spans="1:8" x14ac:dyDescent="0.3">
      <c r="A325" s="213"/>
      <c r="B325" s="214"/>
      <c r="C325" s="252"/>
      <c r="D325" s="283"/>
      <c r="E325" s="284"/>
      <c r="F325" s="284"/>
      <c r="G325" s="214"/>
      <c r="H325" s="218"/>
    </row>
    <row r="326" spans="1:8" x14ac:dyDescent="0.3">
      <c r="A326" s="213"/>
      <c r="B326" s="214"/>
      <c r="C326" s="252"/>
      <c r="D326" s="283"/>
      <c r="E326" s="284"/>
      <c r="F326" s="284"/>
      <c r="G326" s="214"/>
      <c r="H326" s="218"/>
    </row>
    <row r="327" spans="1:8" x14ac:dyDescent="0.3">
      <c r="A327" s="213"/>
      <c r="B327" s="214"/>
      <c r="C327" s="252"/>
      <c r="D327" s="283"/>
      <c r="E327" s="284"/>
      <c r="F327" s="284"/>
      <c r="G327" s="214"/>
      <c r="H327" s="218"/>
    </row>
    <row r="328" spans="1:8" x14ac:dyDescent="0.3">
      <c r="A328" s="213"/>
      <c r="B328" s="214"/>
      <c r="C328" s="252"/>
      <c r="D328" s="283"/>
      <c r="E328" s="284"/>
      <c r="F328" s="284"/>
      <c r="G328" s="214"/>
      <c r="H328" s="218"/>
    </row>
    <row r="329" spans="1:8" x14ac:dyDescent="0.3">
      <c r="A329" s="213"/>
      <c r="B329" s="214"/>
      <c r="C329" s="252"/>
      <c r="D329" s="283"/>
      <c r="E329" s="284"/>
      <c r="F329" s="284"/>
      <c r="G329" s="214"/>
      <c r="H329" s="218"/>
    </row>
    <row r="330" spans="1:8" x14ac:dyDescent="0.3">
      <c r="A330" s="213"/>
      <c r="B330" s="214"/>
      <c r="C330" s="252"/>
      <c r="D330" s="283"/>
      <c r="E330" s="284"/>
      <c r="F330" s="284"/>
      <c r="G330" s="214"/>
      <c r="H330" s="218"/>
    </row>
    <row r="331" spans="1:8" x14ac:dyDescent="0.3">
      <c r="A331" s="213"/>
      <c r="B331" s="214"/>
      <c r="C331" s="252"/>
      <c r="D331" s="283"/>
      <c r="E331" s="284"/>
      <c r="F331" s="284"/>
      <c r="G331" s="214"/>
      <c r="H331" s="218"/>
    </row>
    <row r="332" spans="1:8" x14ac:dyDescent="0.3">
      <c r="A332" s="213"/>
      <c r="B332" s="214"/>
      <c r="C332" s="252"/>
      <c r="D332" s="283"/>
      <c r="E332" s="284"/>
      <c r="F332" s="284"/>
      <c r="G332" s="214"/>
      <c r="H332" s="218"/>
    </row>
    <row r="333" spans="1:8" x14ac:dyDescent="0.3">
      <c r="A333" s="213"/>
      <c r="B333" s="214"/>
      <c r="C333" s="252"/>
      <c r="D333" s="283"/>
      <c r="E333" s="284"/>
      <c r="F333" s="284"/>
      <c r="G333" s="214"/>
      <c r="H333" s="218"/>
    </row>
    <row r="334" spans="1:8" x14ac:dyDescent="0.3">
      <c r="A334" s="213"/>
      <c r="B334" s="214"/>
      <c r="C334" s="252"/>
      <c r="D334" s="283"/>
      <c r="E334" s="284"/>
      <c r="F334" s="284"/>
      <c r="G334" s="214"/>
      <c r="H334" s="218"/>
    </row>
    <row r="335" spans="1:8" x14ac:dyDescent="0.3">
      <c r="A335" s="213"/>
      <c r="B335" s="214"/>
      <c r="C335" s="252"/>
      <c r="D335" s="283"/>
      <c r="E335" s="284"/>
      <c r="F335" s="284"/>
      <c r="G335" s="214"/>
      <c r="H335" s="218"/>
    </row>
    <row r="336" spans="1:8" x14ac:dyDescent="0.3">
      <c r="A336" s="213"/>
      <c r="B336" s="214"/>
      <c r="C336" s="252"/>
      <c r="D336" s="283"/>
      <c r="E336" s="284"/>
      <c r="F336" s="284"/>
      <c r="G336" s="214"/>
      <c r="H336" s="218"/>
    </row>
    <row r="337" spans="1:8" x14ac:dyDescent="0.3">
      <c r="A337" s="213"/>
      <c r="B337" s="214"/>
      <c r="C337" s="252"/>
      <c r="D337" s="283"/>
      <c r="E337" s="284"/>
      <c r="F337" s="284"/>
      <c r="G337" s="214"/>
      <c r="H337" s="218"/>
    </row>
    <row r="338" spans="1:8" x14ac:dyDescent="0.3">
      <c r="A338" s="213"/>
      <c r="B338" s="214"/>
      <c r="C338" s="252"/>
      <c r="D338" s="283"/>
      <c r="E338" s="284"/>
      <c r="F338" s="284"/>
      <c r="G338" s="214"/>
      <c r="H338" s="218"/>
    </row>
    <row r="339" spans="1:8" x14ac:dyDescent="0.3">
      <c r="A339" s="213"/>
      <c r="B339" s="214"/>
      <c r="C339" s="252"/>
      <c r="D339" s="283"/>
      <c r="E339" s="284"/>
      <c r="F339" s="284"/>
      <c r="G339" s="214"/>
      <c r="H339" s="218"/>
    </row>
    <row r="340" spans="1:8" x14ac:dyDescent="0.3">
      <c r="A340" s="213"/>
      <c r="B340" s="214"/>
      <c r="C340" s="252"/>
      <c r="D340" s="283"/>
      <c r="E340" s="284"/>
      <c r="F340" s="284"/>
      <c r="G340" s="214"/>
      <c r="H340" s="218"/>
    </row>
    <row r="341" spans="1:8" x14ac:dyDescent="0.3">
      <c r="A341" s="213"/>
      <c r="B341" s="214"/>
      <c r="C341" s="252"/>
      <c r="D341" s="283"/>
      <c r="E341" s="284"/>
      <c r="F341" s="284"/>
      <c r="G341" s="214"/>
      <c r="H341" s="218"/>
    </row>
    <row r="342" spans="1:8" x14ac:dyDescent="0.3">
      <c r="A342" s="213"/>
      <c r="B342" s="214"/>
      <c r="C342" s="252"/>
      <c r="D342" s="283"/>
      <c r="E342" s="284"/>
      <c r="F342" s="284"/>
      <c r="G342" s="214"/>
      <c r="H342" s="218"/>
    </row>
    <row r="343" spans="1:8" x14ac:dyDescent="0.3">
      <c r="A343" s="213"/>
      <c r="B343" s="214"/>
      <c r="C343" s="252"/>
      <c r="D343" s="283"/>
      <c r="E343" s="284"/>
      <c r="F343" s="284"/>
      <c r="G343" s="214"/>
      <c r="H343" s="218"/>
    </row>
    <row r="344" spans="1:8" x14ac:dyDescent="0.3">
      <c r="A344" s="213"/>
      <c r="B344" s="214"/>
      <c r="C344" s="252"/>
      <c r="D344" s="283"/>
      <c r="E344" s="284"/>
      <c r="F344" s="284"/>
      <c r="G344" s="214"/>
      <c r="H344" s="218"/>
    </row>
    <row r="345" spans="1:8" x14ac:dyDescent="0.3">
      <c r="A345" s="213"/>
      <c r="B345" s="214"/>
      <c r="C345" s="252"/>
      <c r="D345" s="283"/>
      <c r="E345" s="284"/>
      <c r="F345" s="284"/>
      <c r="G345" s="214"/>
      <c r="H345" s="218"/>
    </row>
    <row r="346" spans="1:8" x14ac:dyDescent="0.3">
      <c r="A346" s="213"/>
      <c r="B346" s="214"/>
      <c r="C346" s="252"/>
      <c r="D346" s="283"/>
      <c r="E346" s="284"/>
      <c r="F346" s="284"/>
      <c r="G346" s="214"/>
      <c r="H346" s="218"/>
    </row>
    <row r="347" spans="1:8" x14ac:dyDescent="0.3">
      <c r="A347" s="213"/>
      <c r="B347" s="214"/>
      <c r="C347" s="252"/>
      <c r="D347" s="283"/>
      <c r="E347" s="284"/>
      <c r="F347" s="284"/>
      <c r="G347" s="214"/>
      <c r="H347" s="218"/>
    </row>
    <row r="348" spans="1:8" x14ac:dyDescent="0.3">
      <c r="A348" s="213"/>
      <c r="B348" s="214"/>
      <c r="C348" s="252"/>
      <c r="D348" s="283"/>
      <c r="E348" s="284"/>
      <c r="F348" s="284"/>
      <c r="G348" s="214"/>
      <c r="H348" s="218"/>
    </row>
    <row r="349" spans="1:8" x14ac:dyDescent="0.3">
      <c r="A349" s="213"/>
      <c r="B349" s="214"/>
      <c r="C349" s="252"/>
      <c r="D349" s="283"/>
      <c r="E349" s="284"/>
      <c r="F349" s="284"/>
      <c r="G349" s="214"/>
      <c r="H349" s="218"/>
    </row>
    <row r="350" spans="1:8" x14ac:dyDescent="0.3">
      <c r="A350" s="213"/>
      <c r="B350" s="214"/>
      <c r="C350" s="252"/>
      <c r="D350" s="283"/>
      <c r="E350" s="284"/>
      <c r="F350" s="284"/>
      <c r="G350" s="214"/>
      <c r="H350" s="218"/>
    </row>
    <row r="351" spans="1:8" x14ac:dyDescent="0.3">
      <c r="A351" s="213"/>
      <c r="B351" s="214"/>
      <c r="C351" s="252"/>
      <c r="D351" s="283"/>
      <c r="E351" s="284"/>
      <c r="F351" s="284"/>
      <c r="G351" s="214"/>
      <c r="H351" s="218"/>
    </row>
    <row r="352" spans="1:8" x14ac:dyDescent="0.3">
      <c r="A352" s="213"/>
      <c r="B352" s="214"/>
      <c r="C352" s="252"/>
      <c r="D352" s="283"/>
      <c r="E352" s="284"/>
      <c r="F352" s="284"/>
      <c r="G352" s="214"/>
      <c r="H352" s="218"/>
    </row>
    <row r="353" spans="1:8" x14ac:dyDescent="0.3">
      <c r="A353" s="213"/>
      <c r="B353" s="214"/>
      <c r="C353" s="252"/>
      <c r="D353" s="283"/>
      <c r="E353" s="284"/>
      <c r="F353" s="284"/>
      <c r="G353" s="214"/>
      <c r="H353" s="218"/>
    </row>
    <row r="354" spans="1:8" x14ac:dyDescent="0.3">
      <c r="A354" s="213"/>
      <c r="B354" s="214"/>
      <c r="C354" s="252"/>
      <c r="D354" s="283"/>
      <c r="E354" s="284"/>
      <c r="F354" s="284"/>
      <c r="G354" s="214"/>
      <c r="H354" s="218"/>
    </row>
    <row r="355" spans="1:8" x14ac:dyDescent="0.3">
      <c r="A355" s="213"/>
      <c r="B355" s="214"/>
      <c r="C355" s="252"/>
      <c r="D355" s="283"/>
      <c r="E355" s="284"/>
      <c r="F355" s="284"/>
      <c r="G355" s="214"/>
      <c r="H355" s="218"/>
    </row>
    <row r="356" spans="1:8" x14ac:dyDescent="0.3">
      <c r="A356" s="213"/>
      <c r="B356" s="214"/>
      <c r="C356" s="252"/>
      <c r="D356" s="283"/>
      <c r="E356" s="284"/>
      <c r="F356" s="284"/>
      <c r="G356" s="214"/>
      <c r="H356" s="218"/>
    </row>
    <row r="357" spans="1:8" x14ac:dyDescent="0.3">
      <c r="A357" s="213"/>
      <c r="B357" s="214"/>
      <c r="C357" s="252"/>
      <c r="D357" s="283"/>
      <c r="E357" s="284"/>
      <c r="F357" s="284"/>
      <c r="G357" s="214"/>
      <c r="H357" s="218"/>
    </row>
    <row r="358" spans="1:8" x14ac:dyDescent="0.3">
      <c r="A358" s="213"/>
      <c r="B358" s="214"/>
      <c r="C358" s="252"/>
      <c r="D358" s="283"/>
      <c r="E358" s="284"/>
      <c r="F358" s="284"/>
      <c r="G358" s="214"/>
      <c r="H358" s="218"/>
    </row>
    <row r="359" spans="1:8" x14ac:dyDescent="0.3">
      <c r="A359" s="213"/>
      <c r="B359" s="214"/>
      <c r="C359" s="252"/>
      <c r="D359" s="283"/>
      <c r="E359" s="284"/>
      <c r="F359" s="284"/>
      <c r="G359" s="214"/>
      <c r="H359" s="218"/>
    </row>
    <row r="360" spans="1:8" x14ac:dyDescent="0.3">
      <c r="A360" s="213"/>
      <c r="B360" s="214"/>
      <c r="C360" s="252"/>
      <c r="D360" s="283"/>
      <c r="E360" s="284"/>
      <c r="F360" s="284"/>
      <c r="G360" s="214"/>
      <c r="H360" s="218"/>
    </row>
    <row r="361" spans="1:8" x14ac:dyDescent="0.3">
      <c r="A361" s="213"/>
      <c r="B361" s="214"/>
      <c r="C361" s="252"/>
      <c r="D361" s="283"/>
      <c r="E361" s="284"/>
      <c r="F361" s="284"/>
      <c r="G361" s="214"/>
      <c r="H361" s="218"/>
    </row>
    <row r="362" spans="1:8" x14ac:dyDescent="0.3">
      <c r="A362" s="213"/>
      <c r="B362" s="214"/>
      <c r="C362" s="252"/>
      <c r="D362" s="283"/>
      <c r="E362" s="284"/>
      <c r="F362" s="284"/>
      <c r="G362" s="214"/>
      <c r="H362" s="218"/>
    </row>
    <row r="363" spans="1:8" x14ac:dyDescent="0.3">
      <c r="A363" s="213"/>
      <c r="B363" s="214"/>
      <c r="C363" s="252"/>
      <c r="D363" s="283"/>
      <c r="E363" s="284"/>
      <c r="F363" s="284"/>
      <c r="G363" s="214"/>
      <c r="H363" s="218"/>
    </row>
    <row r="364" spans="1:8" x14ac:dyDescent="0.3">
      <c r="A364" s="213"/>
      <c r="B364" s="214"/>
      <c r="C364" s="252"/>
      <c r="D364" s="283"/>
      <c r="E364" s="284"/>
      <c r="F364" s="284"/>
      <c r="G364" s="214"/>
      <c r="H364" s="218"/>
    </row>
    <row r="365" spans="1:8" x14ac:dyDescent="0.3">
      <c r="A365" s="213"/>
      <c r="B365" s="214"/>
      <c r="C365" s="252"/>
      <c r="D365" s="283"/>
      <c r="E365" s="284"/>
      <c r="F365" s="284"/>
      <c r="G365" s="214"/>
      <c r="H365" s="218"/>
    </row>
    <row r="366" spans="1:8" x14ac:dyDescent="0.3">
      <c r="A366" s="213"/>
      <c r="B366" s="214"/>
      <c r="C366" s="252"/>
      <c r="D366" s="283"/>
      <c r="E366" s="284"/>
      <c r="F366" s="284"/>
      <c r="G366" s="214"/>
      <c r="H366" s="218"/>
    </row>
    <row r="367" spans="1:8" x14ac:dyDescent="0.3">
      <c r="A367" s="213"/>
      <c r="B367" s="214"/>
      <c r="C367" s="252"/>
      <c r="D367" s="283"/>
      <c r="E367" s="284"/>
      <c r="F367" s="284"/>
      <c r="G367" s="214"/>
      <c r="H367" s="218"/>
    </row>
    <row r="368" spans="1:8" x14ac:dyDescent="0.3">
      <c r="A368" s="213"/>
      <c r="B368" s="214"/>
      <c r="C368" s="252"/>
      <c r="D368" s="283"/>
      <c r="E368" s="284"/>
      <c r="F368" s="284"/>
      <c r="G368" s="214"/>
      <c r="H368" s="218"/>
    </row>
    <row r="369" spans="1:8" x14ac:dyDescent="0.3">
      <c r="A369" s="213"/>
      <c r="B369" s="214"/>
      <c r="C369" s="252"/>
      <c r="D369" s="283"/>
      <c r="E369" s="284"/>
      <c r="F369" s="284"/>
      <c r="G369" s="214"/>
      <c r="H369" s="218"/>
    </row>
    <row r="370" spans="1:8" x14ac:dyDescent="0.3">
      <c r="A370" s="213"/>
      <c r="B370" s="214"/>
      <c r="C370" s="252"/>
      <c r="D370" s="283"/>
      <c r="E370" s="284"/>
      <c r="F370" s="284"/>
      <c r="G370" s="214"/>
      <c r="H370" s="218"/>
    </row>
    <row r="371" spans="1:8" x14ac:dyDescent="0.3">
      <c r="A371" s="213"/>
      <c r="B371" s="214"/>
      <c r="C371" s="252"/>
      <c r="D371" s="283"/>
      <c r="E371" s="284"/>
      <c r="F371" s="284"/>
      <c r="G371" s="214"/>
      <c r="H371" s="218"/>
    </row>
    <row r="372" spans="1:8" x14ac:dyDescent="0.3">
      <c r="A372" s="213"/>
      <c r="B372" s="214"/>
      <c r="C372" s="252"/>
      <c r="D372" s="283"/>
      <c r="E372" s="284"/>
      <c r="F372" s="284"/>
      <c r="G372" s="214"/>
      <c r="H372" s="218"/>
    </row>
    <row r="373" spans="1:8" x14ac:dyDescent="0.3">
      <c r="A373" s="213"/>
      <c r="B373" s="214"/>
      <c r="C373" s="252"/>
      <c r="D373" s="283"/>
      <c r="E373" s="284"/>
      <c r="F373" s="284"/>
      <c r="G373" s="214"/>
      <c r="H373" s="218"/>
    </row>
    <row r="374" spans="1:8" x14ac:dyDescent="0.3">
      <c r="A374" s="213"/>
      <c r="B374" s="214"/>
      <c r="C374" s="252"/>
      <c r="D374" s="283"/>
      <c r="E374" s="284"/>
      <c r="F374" s="284"/>
      <c r="G374" s="214"/>
      <c r="H374" s="218"/>
    </row>
    <row r="375" spans="1:8" x14ac:dyDescent="0.3">
      <c r="A375" s="213"/>
      <c r="B375" s="214"/>
      <c r="C375" s="252"/>
      <c r="D375" s="283"/>
      <c r="E375" s="284"/>
      <c r="F375" s="284"/>
      <c r="G375" s="214"/>
      <c r="H375" s="218"/>
    </row>
    <row r="376" spans="1:8" x14ac:dyDescent="0.3">
      <c r="A376" s="213"/>
      <c r="B376" s="214"/>
      <c r="C376" s="252"/>
      <c r="D376" s="283"/>
      <c r="E376" s="284"/>
      <c r="F376" s="284"/>
      <c r="G376" s="214"/>
      <c r="H376" s="218"/>
    </row>
    <row r="377" spans="1:8" x14ac:dyDescent="0.3">
      <c r="A377" s="213"/>
      <c r="B377" s="214"/>
      <c r="C377" s="252"/>
      <c r="D377" s="283"/>
      <c r="E377" s="284"/>
      <c r="F377" s="284"/>
      <c r="G377" s="214"/>
      <c r="H377" s="218"/>
    </row>
    <row r="378" spans="1:8" x14ac:dyDescent="0.3">
      <c r="A378" s="213"/>
      <c r="B378" s="214"/>
      <c r="C378" s="252"/>
      <c r="D378" s="283"/>
      <c r="E378" s="284"/>
      <c r="F378" s="284"/>
      <c r="G378" s="214"/>
      <c r="H378" s="218"/>
    </row>
    <row r="379" spans="1:8" x14ac:dyDescent="0.3">
      <c r="A379" s="213"/>
      <c r="B379" s="214"/>
      <c r="C379" s="252"/>
      <c r="D379" s="283"/>
      <c r="E379" s="284"/>
      <c r="F379" s="284"/>
      <c r="G379" s="214"/>
      <c r="H379" s="218"/>
    </row>
    <row r="380" spans="1:8" x14ac:dyDescent="0.3">
      <c r="A380" s="213"/>
      <c r="B380" s="214"/>
      <c r="C380" s="252"/>
      <c r="D380" s="283"/>
      <c r="E380" s="284"/>
      <c r="F380" s="284"/>
      <c r="G380" s="214"/>
      <c r="H380" s="218"/>
    </row>
    <row r="381" spans="1:8" x14ac:dyDescent="0.3">
      <c r="A381" s="213"/>
      <c r="B381" s="214"/>
      <c r="C381" s="252"/>
      <c r="D381" s="283"/>
      <c r="E381" s="284"/>
      <c r="F381" s="284"/>
      <c r="G381" s="214"/>
      <c r="H381" s="218"/>
    </row>
    <row r="382" spans="1:8" x14ac:dyDescent="0.3">
      <c r="A382" s="213"/>
      <c r="B382" s="214"/>
      <c r="C382" s="252"/>
      <c r="D382" s="283"/>
      <c r="E382" s="284"/>
      <c r="F382" s="284"/>
      <c r="G382" s="214"/>
      <c r="H382" s="218"/>
    </row>
    <row r="383" spans="1:8" x14ac:dyDescent="0.3">
      <c r="A383" s="213"/>
      <c r="B383" s="214"/>
      <c r="C383" s="252"/>
      <c r="D383" s="283"/>
      <c r="E383" s="284"/>
      <c r="F383" s="284"/>
      <c r="G383" s="214"/>
      <c r="H383" s="218"/>
    </row>
    <row r="384" spans="1:8" x14ac:dyDescent="0.3">
      <c r="A384" s="213"/>
      <c r="B384" s="214"/>
      <c r="C384" s="252"/>
      <c r="D384" s="283"/>
      <c r="E384" s="284"/>
      <c r="F384" s="284"/>
      <c r="G384" s="214"/>
      <c r="H384" s="218"/>
    </row>
    <row r="385" spans="1:8" x14ac:dyDescent="0.3">
      <c r="A385" s="213"/>
      <c r="B385" s="214"/>
      <c r="C385" s="252"/>
      <c r="D385" s="283"/>
      <c r="E385" s="284"/>
      <c r="F385" s="284"/>
      <c r="G385" s="214"/>
      <c r="H385" s="218"/>
    </row>
    <row r="386" spans="1:8" x14ac:dyDescent="0.3">
      <c r="A386" s="213"/>
      <c r="B386" s="214"/>
      <c r="C386" s="252"/>
      <c r="D386" s="283"/>
      <c r="E386" s="284"/>
      <c r="F386" s="284"/>
      <c r="G386" s="214"/>
      <c r="H386" s="218"/>
    </row>
    <row r="387" spans="1:8" x14ac:dyDescent="0.3">
      <c r="A387" s="213"/>
      <c r="B387" s="214"/>
      <c r="C387" s="252"/>
      <c r="D387" s="283"/>
      <c r="E387" s="284"/>
      <c r="F387" s="284"/>
      <c r="G387" s="214"/>
      <c r="H387" s="218"/>
    </row>
    <row r="388" spans="1:8" x14ac:dyDescent="0.3">
      <c r="A388" s="213"/>
      <c r="B388" s="214"/>
      <c r="C388" s="252"/>
      <c r="D388" s="283"/>
      <c r="E388" s="284"/>
      <c r="F388" s="284"/>
      <c r="G388" s="214"/>
      <c r="H388" s="218"/>
    </row>
    <row r="389" spans="1:8" x14ac:dyDescent="0.3">
      <c r="A389" s="213"/>
      <c r="B389" s="214"/>
      <c r="C389" s="252"/>
      <c r="D389" s="283"/>
      <c r="E389" s="284"/>
      <c r="F389" s="284"/>
      <c r="G389" s="214"/>
      <c r="H389" s="218"/>
    </row>
    <row r="390" spans="1:8" x14ac:dyDescent="0.3">
      <c r="A390" s="213"/>
      <c r="B390" s="214"/>
      <c r="C390" s="252"/>
      <c r="D390" s="283"/>
      <c r="E390" s="284"/>
      <c r="F390" s="284"/>
      <c r="G390" s="214"/>
      <c r="H390" s="218"/>
    </row>
    <row r="391" spans="1:8" x14ac:dyDescent="0.3">
      <c r="A391" s="213"/>
      <c r="B391" s="214"/>
      <c r="C391" s="252"/>
      <c r="D391" s="283"/>
      <c r="E391" s="284"/>
      <c r="F391" s="284"/>
      <c r="G391" s="214"/>
      <c r="H391" s="218"/>
    </row>
    <row r="392" spans="1:8" x14ac:dyDescent="0.3">
      <c r="A392" s="213"/>
      <c r="B392" s="214"/>
      <c r="C392" s="252"/>
      <c r="D392" s="283"/>
      <c r="E392" s="284"/>
      <c r="F392" s="284"/>
      <c r="G392" s="214"/>
      <c r="H392" s="218"/>
    </row>
    <row r="393" spans="1:8" x14ac:dyDescent="0.3">
      <c r="A393" s="213"/>
      <c r="B393" s="214"/>
      <c r="C393" s="252"/>
      <c r="D393" s="283"/>
      <c r="E393" s="284"/>
      <c r="F393" s="284"/>
      <c r="G393" s="214"/>
      <c r="H393" s="218"/>
    </row>
    <row r="394" spans="1:8" x14ac:dyDescent="0.3">
      <c r="A394" s="213"/>
      <c r="B394" s="214"/>
      <c r="C394" s="252"/>
      <c r="D394" s="283"/>
      <c r="E394" s="284"/>
      <c r="F394" s="284"/>
      <c r="G394" s="214"/>
      <c r="H394" s="218"/>
    </row>
    <row r="395" spans="1:8" x14ac:dyDescent="0.3">
      <c r="A395" s="213"/>
      <c r="B395" s="214"/>
      <c r="C395" s="252"/>
      <c r="D395" s="283"/>
      <c r="E395" s="284"/>
      <c r="F395" s="284"/>
      <c r="G395" s="214"/>
      <c r="H395" s="218"/>
    </row>
    <row r="396" spans="1:8" x14ac:dyDescent="0.3">
      <c r="A396" s="213"/>
      <c r="B396" s="214"/>
      <c r="C396" s="252"/>
      <c r="D396" s="283"/>
      <c r="E396" s="284"/>
      <c r="F396" s="284"/>
      <c r="G396" s="214"/>
      <c r="H396" s="218"/>
    </row>
    <row r="397" spans="1:8" x14ac:dyDescent="0.3">
      <c r="A397" s="213"/>
      <c r="B397" s="214"/>
      <c r="C397" s="252"/>
      <c r="D397" s="283"/>
      <c r="E397" s="284"/>
      <c r="F397" s="284"/>
      <c r="G397" s="214"/>
      <c r="H397" s="218"/>
    </row>
    <row r="398" spans="1:8" x14ac:dyDescent="0.3">
      <c r="A398" s="213"/>
      <c r="B398" s="214"/>
      <c r="C398" s="252"/>
      <c r="D398" s="283"/>
      <c r="E398" s="284"/>
      <c r="F398" s="284"/>
      <c r="G398" s="214"/>
      <c r="H398" s="218"/>
    </row>
    <row r="399" spans="1:8" x14ac:dyDescent="0.3">
      <c r="A399" s="213"/>
      <c r="B399" s="214"/>
      <c r="C399" s="252"/>
      <c r="D399" s="283"/>
      <c r="E399" s="284"/>
      <c r="F399" s="284"/>
      <c r="G399" s="214"/>
      <c r="H399" s="218"/>
    </row>
    <row r="400" spans="1:8" x14ac:dyDescent="0.3">
      <c r="A400" s="213"/>
      <c r="B400" s="214"/>
      <c r="C400" s="252"/>
      <c r="D400" s="283"/>
      <c r="E400" s="284"/>
      <c r="F400" s="284"/>
      <c r="G400" s="214"/>
      <c r="H400" s="218"/>
    </row>
    <row r="401" spans="1:8" x14ac:dyDescent="0.3">
      <c r="A401" s="213"/>
      <c r="B401" s="214"/>
      <c r="C401" s="252"/>
      <c r="D401" s="283"/>
      <c r="E401" s="284"/>
      <c r="F401" s="284"/>
      <c r="G401" s="214"/>
      <c r="H401" s="218"/>
    </row>
    <row r="402" spans="1:8" x14ac:dyDescent="0.3">
      <c r="A402" s="213"/>
      <c r="B402" s="214"/>
      <c r="C402" s="252"/>
      <c r="D402" s="283"/>
      <c r="E402" s="284"/>
      <c r="F402" s="284"/>
      <c r="G402" s="214"/>
      <c r="H402" s="218"/>
    </row>
    <row r="403" spans="1:8" x14ac:dyDescent="0.3">
      <c r="A403" s="213"/>
      <c r="B403" s="214"/>
      <c r="C403" s="252"/>
      <c r="D403" s="283"/>
      <c r="E403" s="284"/>
      <c r="F403" s="284"/>
      <c r="G403" s="214"/>
      <c r="H403" s="218"/>
    </row>
    <row r="404" spans="1:8" x14ac:dyDescent="0.3">
      <c r="A404" s="213"/>
      <c r="B404" s="214"/>
      <c r="C404" s="252"/>
      <c r="D404" s="283"/>
      <c r="E404" s="284"/>
      <c r="F404" s="284"/>
      <c r="G404" s="214"/>
      <c r="H404" s="218"/>
    </row>
    <row r="405" spans="1:8" x14ac:dyDescent="0.3">
      <c r="A405" s="213"/>
      <c r="B405" s="214"/>
      <c r="C405" s="252"/>
      <c r="D405" s="283"/>
      <c r="E405" s="284"/>
      <c r="F405" s="284"/>
      <c r="G405" s="214"/>
      <c r="H405" s="218"/>
    </row>
    <row r="406" spans="1:8" x14ac:dyDescent="0.3">
      <c r="A406" s="213"/>
      <c r="B406" s="214"/>
      <c r="C406" s="252"/>
      <c r="D406" s="283"/>
      <c r="E406" s="284"/>
      <c r="F406" s="284"/>
      <c r="G406" s="214"/>
      <c r="H406" s="218"/>
    </row>
    <row r="407" spans="1:8" x14ac:dyDescent="0.3">
      <c r="A407" s="213"/>
      <c r="B407" s="214"/>
      <c r="C407" s="252"/>
      <c r="D407" s="283"/>
      <c r="E407" s="284"/>
      <c r="F407" s="284"/>
      <c r="G407" s="214"/>
      <c r="H407" s="218"/>
    </row>
    <row r="408" spans="1:8" x14ac:dyDescent="0.3">
      <c r="A408" s="213"/>
      <c r="B408" s="214"/>
      <c r="C408" s="252"/>
      <c r="D408" s="283"/>
      <c r="E408" s="284"/>
      <c r="F408" s="284"/>
      <c r="G408" s="214"/>
      <c r="H408" s="218"/>
    </row>
    <row r="409" spans="1:8" x14ac:dyDescent="0.3">
      <c r="A409" s="213"/>
      <c r="B409" s="214"/>
      <c r="C409" s="252"/>
      <c r="D409" s="283"/>
      <c r="E409" s="284"/>
      <c r="F409" s="284"/>
      <c r="G409" s="214"/>
      <c r="H409" s="218"/>
    </row>
    <row r="410" spans="1:8" x14ac:dyDescent="0.3">
      <c r="A410" s="213"/>
      <c r="B410" s="214"/>
      <c r="C410" s="252"/>
      <c r="D410" s="283"/>
      <c r="E410" s="284"/>
      <c r="F410" s="284"/>
      <c r="G410" s="214"/>
      <c r="H410" s="218"/>
    </row>
    <row r="411" spans="1:8" x14ac:dyDescent="0.3">
      <c r="A411" s="213"/>
      <c r="B411" s="214"/>
      <c r="C411" s="252"/>
      <c r="D411" s="283"/>
      <c r="E411" s="284"/>
      <c r="F411" s="284"/>
      <c r="G411" s="214"/>
      <c r="H411" s="218"/>
    </row>
    <row r="412" spans="1:8" x14ac:dyDescent="0.3">
      <c r="A412" s="213"/>
      <c r="B412" s="214"/>
      <c r="C412" s="252"/>
      <c r="D412" s="283"/>
      <c r="E412" s="284"/>
      <c r="F412" s="284"/>
      <c r="G412" s="214"/>
      <c r="H412" s="218"/>
    </row>
    <row r="413" spans="1:8" x14ac:dyDescent="0.3">
      <c r="A413" s="213"/>
      <c r="B413" s="214"/>
      <c r="C413" s="252"/>
      <c r="D413" s="283"/>
      <c r="E413" s="284"/>
      <c r="F413" s="284"/>
      <c r="G413" s="214"/>
      <c r="H413" s="218"/>
    </row>
    <row r="414" spans="1:8" x14ac:dyDescent="0.3">
      <c r="A414" s="213"/>
      <c r="B414" s="214"/>
      <c r="C414" s="252"/>
      <c r="D414" s="283"/>
      <c r="E414" s="284"/>
      <c r="F414" s="284"/>
      <c r="G414" s="214"/>
      <c r="H414" s="218"/>
    </row>
    <row r="415" spans="1:8" x14ac:dyDescent="0.3">
      <c r="A415" s="213"/>
      <c r="B415" s="214"/>
      <c r="C415" s="252"/>
      <c r="D415" s="283"/>
      <c r="E415" s="284"/>
      <c r="F415" s="284"/>
      <c r="G415" s="214"/>
      <c r="H415" s="218"/>
    </row>
    <row r="416" spans="1:8" x14ac:dyDescent="0.3">
      <c r="A416" s="213"/>
      <c r="B416" s="214"/>
      <c r="C416" s="252"/>
      <c r="D416" s="283"/>
      <c r="E416" s="284"/>
      <c r="F416" s="284"/>
      <c r="G416" s="214"/>
      <c r="H416" s="218"/>
    </row>
    <row r="417" spans="1:8" x14ac:dyDescent="0.3">
      <c r="A417" s="213"/>
      <c r="B417" s="214"/>
      <c r="C417" s="252"/>
      <c r="D417" s="283"/>
      <c r="E417" s="284"/>
      <c r="F417" s="284"/>
      <c r="G417" s="214"/>
      <c r="H417" s="218"/>
    </row>
    <row r="418" spans="1:8" x14ac:dyDescent="0.3">
      <c r="A418" s="213"/>
      <c r="B418" s="214"/>
      <c r="C418" s="252"/>
      <c r="D418" s="283"/>
      <c r="E418" s="284"/>
      <c r="F418" s="284"/>
      <c r="G418" s="214"/>
      <c r="H418" s="218"/>
    </row>
    <row r="419" spans="1:8" x14ac:dyDescent="0.3">
      <c r="A419" s="213"/>
      <c r="B419" s="214"/>
      <c r="C419" s="252"/>
      <c r="D419" s="283"/>
      <c r="E419" s="284"/>
      <c r="F419" s="284"/>
      <c r="G419" s="214"/>
      <c r="H419" s="218"/>
    </row>
    <row r="420" spans="1:8" x14ac:dyDescent="0.3">
      <c r="A420" s="213"/>
      <c r="B420" s="214"/>
      <c r="C420" s="252"/>
      <c r="D420" s="283"/>
      <c r="E420" s="284"/>
      <c r="F420" s="284"/>
      <c r="G420" s="214"/>
      <c r="H420" s="218"/>
    </row>
    <row r="421" spans="1:8" x14ac:dyDescent="0.3">
      <c r="A421" s="213"/>
      <c r="B421" s="214"/>
      <c r="C421" s="252"/>
      <c r="D421" s="283"/>
      <c r="E421" s="284"/>
      <c r="F421" s="284"/>
      <c r="G421" s="214"/>
      <c r="H421" s="218"/>
    </row>
    <row r="422" spans="1:8" x14ac:dyDescent="0.3">
      <c r="A422" s="213"/>
      <c r="B422" s="214"/>
      <c r="C422" s="252"/>
      <c r="D422" s="283"/>
      <c r="E422" s="284"/>
      <c r="F422" s="284"/>
      <c r="G422" s="214"/>
      <c r="H422" s="218"/>
    </row>
    <row r="423" spans="1:8" x14ac:dyDescent="0.3">
      <c r="A423" s="213"/>
      <c r="B423" s="214"/>
      <c r="C423" s="252"/>
      <c r="D423" s="283"/>
      <c r="E423" s="284"/>
      <c r="F423" s="284"/>
      <c r="G423" s="214"/>
      <c r="H423" s="218"/>
    </row>
    <row r="424" spans="1:8" x14ac:dyDescent="0.3">
      <c r="A424" s="213"/>
      <c r="B424" s="214"/>
      <c r="C424" s="252"/>
      <c r="D424" s="283"/>
      <c r="E424" s="284"/>
      <c r="F424" s="284"/>
      <c r="G424" s="214"/>
      <c r="H424" s="218"/>
    </row>
    <row r="425" spans="1:8" x14ac:dyDescent="0.3">
      <c r="A425" s="213"/>
      <c r="B425" s="214"/>
      <c r="C425" s="252"/>
      <c r="D425" s="283"/>
      <c r="E425" s="284"/>
      <c r="F425" s="284"/>
      <c r="G425" s="214"/>
      <c r="H425" s="218"/>
    </row>
    <row r="426" spans="1:8" x14ac:dyDescent="0.3">
      <c r="A426" s="213"/>
      <c r="B426" s="214"/>
      <c r="C426" s="252"/>
      <c r="D426" s="283"/>
      <c r="E426" s="284"/>
      <c r="F426" s="284"/>
      <c r="G426" s="214"/>
      <c r="H426" s="218"/>
    </row>
    <row r="427" spans="1:8" x14ac:dyDescent="0.3">
      <c r="A427" s="213"/>
      <c r="B427" s="214"/>
      <c r="C427" s="252"/>
      <c r="D427" s="283"/>
      <c r="E427" s="284"/>
      <c r="F427" s="284"/>
      <c r="G427" s="214"/>
      <c r="H427" s="218"/>
    </row>
    <row r="428" spans="1:8" x14ac:dyDescent="0.3">
      <c r="A428" s="213"/>
      <c r="B428" s="214"/>
      <c r="C428" s="252"/>
      <c r="D428" s="283"/>
      <c r="E428" s="284"/>
      <c r="F428" s="284"/>
      <c r="G428" s="214"/>
      <c r="H428" s="218"/>
    </row>
    <row r="429" spans="1:8" x14ac:dyDescent="0.3">
      <c r="A429" s="213"/>
      <c r="B429" s="214"/>
      <c r="C429" s="252"/>
      <c r="D429" s="283"/>
      <c r="E429" s="284"/>
      <c r="F429" s="284"/>
      <c r="G429" s="214"/>
      <c r="H429" s="218"/>
    </row>
    <row r="430" spans="1:8" x14ac:dyDescent="0.3">
      <c r="A430" s="213"/>
      <c r="B430" s="214"/>
      <c r="C430" s="252"/>
      <c r="D430" s="283"/>
      <c r="E430" s="284"/>
      <c r="F430" s="284"/>
      <c r="G430" s="214"/>
      <c r="H430" s="218"/>
    </row>
    <row r="431" spans="1:8" x14ac:dyDescent="0.3">
      <c r="A431" s="213"/>
      <c r="B431" s="214"/>
      <c r="C431" s="252"/>
      <c r="D431" s="283"/>
      <c r="E431" s="284"/>
      <c r="F431" s="284"/>
      <c r="G431" s="214"/>
      <c r="H431" s="218"/>
    </row>
    <row r="432" spans="1:8" x14ac:dyDescent="0.3">
      <c r="A432" s="213"/>
      <c r="B432" s="214"/>
      <c r="C432" s="252"/>
      <c r="D432" s="283"/>
      <c r="E432" s="284"/>
      <c r="F432" s="284"/>
      <c r="G432" s="214"/>
      <c r="H432" s="218"/>
    </row>
    <row r="433" spans="1:8" x14ac:dyDescent="0.3">
      <c r="A433" s="213"/>
      <c r="B433" s="214"/>
      <c r="C433" s="252"/>
      <c r="D433" s="283"/>
      <c r="E433" s="284"/>
      <c r="F433" s="284"/>
      <c r="G433" s="214"/>
      <c r="H433" s="218"/>
    </row>
    <row r="434" spans="1:8" x14ac:dyDescent="0.3">
      <c r="A434" s="213"/>
      <c r="B434" s="214"/>
      <c r="C434" s="252"/>
      <c r="D434" s="283"/>
      <c r="E434" s="284"/>
      <c r="F434" s="284"/>
      <c r="G434" s="214"/>
      <c r="H434" s="218"/>
    </row>
    <row r="435" spans="1:8" x14ac:dyDescent="0.3">
      <c r="A435" s="213"/>
      <c r="B435" s="214"/>
      <c r="C435" s="252"/>
      <c r="D435" s="283"/>
      <c r="E435" s="284"/>
      <c r="F435" s="284"/>
      <c r="G435" s="214"/>
      <c r="H435" s="218"/>
    </row>
    <row r="436" spans="1:8" x14ac:dyDescent="0.3">
      <c r="A436" s="213"/>
      <c r="B436" s="214"/>
      <c r="C436" s="252"/>
      <c r="D436" s="283"/>
      <c r="E436" s="284"/>
      <c r="F436" s="284"/>
      <c r="G436" s="214"/>
      <c r="H436" s="218"/>
    </row>
    <row r="437" spans="1:8" x14ac:dyDescent="0.3">
      <c r="A437" s="213"/>
      <c r="B437" s="214"/>
      <c r="C437" s="252"/>
      <c r="D437" s="283"/>
      <c r="E437" s="284"/>
      <c r="F437" s="284"/>
      <c r="G437" s="214"/>
      <c r="H437" s="218"/>
    </row>
    <row r="438" spans="1:8" x14ac:dyDescent="0.3">
      <c r="A438" s="213"/>
      <c r="B438" s="214"/>
      <c r="C438" s="252"/>
      <c r="D438" s="283"/>
      <c r="E438" s="284"/>
      <c r="F438" s="284"/>
      <c r="G438" s="214"/>
      <c r="H438" s="218"/>
    </row>
    <row r="439" spans="1:8" x14ac:dyDescent="0.3">
      <c r="A439" s="213"/>
      <c r="B439" s="214"/>
      <c r="C439" s="252"/>
      <c r="D439" s="283"/>
      <c r="E439" s="284"/>
      <c r="F439" s="284"/>
      <c r="G439" s="214"/>
      <c r="H439" s="218"/>
    </row>
    <row r="440" spans="1:8" x14ac:dyDescent="0.3">
      <c r="A440" s="213"/>
      <c r="B440" s="214"/>
      <c r="C440" s="252"/>
      <c r="D440" s="283"/>
      <c r="E440" s="284"/>
      <c r="F440" s="284"/>
      <c r="G440" s="214"/>
      <c r="H440" s="218"/>
    </row>
    <row r="441" spans="1:8" x14ac:dyDescent="0.3">
      <c r="A441" s="213"/>
      <c r="B441" s="214"/>
      <c r="C441" s="252"/>
      <c r="D441" s="283"/>
      <c r="E441" s="284"/>
      <c r="F441" s="284"/>
      <c r="G441" s="214"/>
      <c r="H441" s="218"/>
    </row>
    <row r="442" spans="1:8" x14ac:dyDescent="0.3">
      <c r="A442" s="213"/>
      <c r="B442" s="214"/>
      <c r="C442" s="252"/>
      <c r="D442" s="283"/>
      <c r="E442" s="284"/>
      <c r="F442" s="284"/>
      <c r="G442" s="214"/>
      <c r="H442" s="218"/>
    </row>
    <row r="443" spans="1:8" x14ac:dyDescent="0.3">
      <c r="A443" s="213"/>
      <c r="B443" s="214"/>
      <c r="C443" s="252"/>
      <c r="D443" s="283"/>
      <c r="E443" s="284"/>
      <c r="F443" s="284"/>
      <c r="G443" s="214"/>
      <c r="H443" s="218"/>
    </row>
    <row r="444" spans="1:8" x14ac:dyDescent="0.3">
      <c r="A444" s="213"/>
      <c r="B444" s="214"/>
      <c r="C444" s="252"/>
      <c r="D444" s="283"/>
      <c r="E444" s="284"/>
      <c r="F444" s="284"/>
      <c r="G444" s="214"/>
      <c r="H444" s="218"/>
    </row>
    <row r="445" spans="1:8" x14ac:dyDescent="0.3">
      <c r="A445" s="213"/>
      <c r="B445" s="214"/>
      <c r="C445" s="252"/>
      <c r="D445" s="283"/>
      <c r="E445" s="284"/>
      <c r="F445" s="284"/>
      <c r="G445" s="214"/>
      <c r="H445" s="218"/>
    </row>
    <row r="446" spans="1:8" x14ac:dyDescent="0.3">
      <c r="A446" s="213"/>
      <c r="B446" s="214"/>
      <c r="C446" s="252"/>
      <c r="D446" s="283"/>
      <c r="E446" s="284"/>
      <c r="F446" s="284"/>
      <c r="G446" s="214"/>
      <c r="H446" s="218"/>
    </row>
    <row r="447" spans="1:8" x14ac:dyDescent="0.3">
      <c r="A447" s="213"/>
      <c r="B447" s="214"/>
      <c r="C447" s="252"/>
      <c r="D447" s="283"/>
      <c r="E447" s="284"/>
      <c r="F447" s="284"/>
      <c r="G447" s="214"/>
      <c r="H447" s="218"/>
    </row>
    <row r="448" spans="1:8" x14ac:dyDescent="0.3">
      <c r="A448" s="213"/>
      <c r="B448" s="214"/>
      <c r="C448" s="252"/>
      <c r="D448" s="283"/>
      <c r="E448" s="284"/>
      <c r="F448" s="284"/>
      <c r="G448" s="214"/>
      <c r="H448" s="218"/>
    </row>
    <row r="449" spans="1:8" x14ac:dyDescent="0.3">
      <c r="A449" s="213"/>
      <c r="B449" s="214"/>
      <c r="C449" s="252"/>
      <c r="D449" s="283"/>
      <c r="E449" s="284"/>
      <c r="F449" s="284"/>
      <c r="G449" s="214"/>
      <c r="H449" s="218"/>
    </row>
    <row r="450" spans="1:8" x14ac:dyDescent="0.3">
      <c r="A450" s="213"/>
      <c r="B450" s="214"/>
      <c r="C450" s="252"/>
      <c r="D450" s="283"/>
      <c r="E450" s="284"/>
      <c r="F450" s="284"/>
      <c r="G450" s="214"/>
      <c r="H450" s="218"/>
    </row>
    <row r="451" spans="1:8" x14ac:dyDescent="0.3">
      <c r="A451" s="213"/>
      <c r="B451" s="214"/>
      <c r="C451" s="252"/>
      <c r="D451" s="283"/>
      <c r="E451" s="284"/>
      <c r="F451" s="284"/>
      <c r="G451" s="214"/>
      <c r="H451" s="218"/>
    </row>
    <row r="452" spans="1:8" x14ac:dyDescent="0.3">
      <c r="A452" s="213"/>
      <c r="B452" s="214"/>
      <c r="C452" s="252"/>
      <c r="D452" s="283"/>
      <c r="E452" s="284"/>
      <c r="F452" s="284"/>
      <c r="G452" s="214"/>
      <c r="H452" s="218"/>
    </row>
    <row r="453" spans="1:8" x14ac:dyDescent="0.3">
      <c r="A453" s="213"/>
      <c r="B453" s="214"/>
      <c r="C453" s="252"/>
      <c r="D453" s="283"/>
      <c r="E453" s="284"/>
      <c r="F453" s="284"/>
      <c r="G453" s="214"/>
      <c r="H453" s="218"/>
    </row>
    <row r="454" spans="1:8" x14ac:dyDescent="0.3">
      <c r="A454" s="213"/>
      <c r="B454" s="214"/>
      <c r="C454" s="252"/>
      <c r="D454" s="283"/>
      <c r="E454" s="284"/>
      <c r="F454" s="284"/>
      <c r="G454" s="214"/>
      <c r="H454" s="218"/>
    </row>
    <row r="455" spans="1:8" x14ac:dyDescent="0.3">
      <c r="A455" s="213"/>
      <c r="B455" s="214"/>
      <c r="C455" s="252"/>
      <c r="D455" s="283"/>
      <c r="E455" s="284"/>
      <c r="F455" s="284"/>
      <c r="G455" s="214"/>
      <c r="H455" s="218"/>
    </row>
    <row r="456" spans="1:8" x14ac:dyDescent="0.3">
      <c r="A456" s="213"/>
      <c r="B456" s="214"/>
      <c r="C456" s="252"/>
      <c r="D456" s="283"/>
      <c r="E456" s="284"/>
      <c r="F456" s="284"/>
      <c r="G456" s="214"/>
      <c r="H456" s="218"/>
    </row>
    <row r="457" spans="1:8" x14ac:dyDescent="0.3">
      <c r="A457" s="213"/>
      <c r="B457" s="214"/>
      <c r="C457" s="252"/>
      <c r="D457" s="283"/>
      <c r="E457" s="284"/>
      <c r="F457" s="284"/>
      <c r="G457" s="214"/>
      <c r="H457" s="218"/>
    </row>
    <row r="458" spans="1:8" x14ac:dyDescent="0.3">
      <c r="A458" s="213"/>
      <c r="B458" s="214"/>
      <c r="C458" s="252"/>
      <c r="D458" s="283"/>
      <c r="E458" s="284"/>
      <c r="F458" s="284"/>
      <c r="G458" s="214"/>
      <c r="H458" s="218"/>
    </row>
    <row r="459" spans="1:8" x14ac:dyDescent="0.3">
      <c r="A459" s="213"/>
      <c r="B459" s="214"/>
      <c r="C459" s="252"/>
      <c r="D459" s="283"/>
      <c r="E459" s="284"/>
      <c r="F459" s="284"/>
      <c r="G459" s="214"/>
      <c r="H459" s="218"/>
    </row>
    <row r="460" spans="1:8" x14ac:dyDescent="0.3">
      <c r="A460" s="213"/>
      <c r="B460" s="214"/>
      <c r="C460" s="252"/>
      <c r="D460" s="283"/>
      <c r="E460" s="284"/>
      <c r="F460" s="284"/>
      <c r="G460" s="214"/>
      <c r="H460" s="218"/>
    </row>
    <row r="461" spans="1:8" x14ac:dyDescent="0.3">
      <c r="A461" s="213"/>
      <c r="B461" s="214"/>
      <c r="C461" s="252"/>
      <c r="D461" s="283"/>
      <c r="E461" s="284"/>
      <c r="F461" s="284"/>
      <c r="G461" s="214"/>
      <c r="H461" s="218"/>
    </row>
    <row r="462" spans="1:8" x14ac:dyDescent="0.3">
      <c r="A462" s="213"/>
      <c r="B462" s="214"/>
      <c r="C462" s="252"/>
      <c r="D462" s="283"/>
      <c r="E462" s="284"/>
      <c r="F462" s="284"/>
      <c r="G462" s="214"/>
      <c r="H462" s="218"/>
    </row>
    <row r="463" spans="1:8" x14ac:dyDescent="0.3">
      <c r="A463" s="213"/>
      <c r="B463" s="214"/>
      <c r="C463" s="252"/>
      <c r="D463" s="283"/>
      <c r="E463" s="284"/>
      <c r="F463" s="284"/>
      <c r="G463" s="214"/>
      <c r="H463" s="218"/>
    </row>
    <row r="464" spans="1:8" x14ac:dyDescent="0.3">
      <c r="A464" s="213"/>
      <c r="B464" s="214"/>
      <c r="C464" s="252"/>
      <c r="D464" s="283"/>
      <c r="E464" s="284"/>
      <c r="F464" s="284"/>
      <c r="G464" s="214"/>
      <c r="H464" s="218"/>
    </row>
    <row r="465" spans="1:8" x14ac:dyDescent="0.3">
      <c r="A465" s="213"/>
      <c r="B465" s="214"/>
      <c r="C465" s="252"/>
      <c r="D465" s="283"/>
      <c r="E465" s="284"/>
      <c r="F465" s="284"/>
      <c r="G465" s="214"/>
      <c r="H465" s="218"/>
    </row>
    <row r="466" spans="1:8" x14ac:dyDescent="0.3">
      <c r="A466" s="213"/>
      <c r="B466" s="214"/>
      <c r="C466" s="252"/>
      <c r="D466" s="283"/>
      <c r="E466" s="284"/>
      <c r="F466" s="284"/>
      <c r="G466" s="214"/>
      <c r="H466" s="218"/>
    </row>
    <row r="467" spans="1:8" x14ac:dyDescent="0.3">
      <c r="A467" s="213"/>
      <c r="B467" s="214"/>
      <c r="C467" s="252"/>
      <c r="D467" s="283"/>
      <c r="E467" s="284"/>
      <c r="F467" s="284"/>
      <c r="G467" s="214"/>
      <c r="H467" s="218"/>
    </row>
    <row r="468" spans="1:8" x14ac:dyDescent="0.3">
      <c r="A468" s="213"/>
      <c r="B468" s="214"/>
      <c r="C468" s="252"/>
      <c r="D468" s="283"/>
      <c r="E468" s="284"/>
      <c r="F468" s="284"/>
      <c r="G468" s="214"/>
      <c r="H468" s="218"/>
    </row>
    <row r="469" spans="1:8" x14ac:dyDescent="0.3">
      <c r="A469" s="213"/>
      <c r="B469" s="214"/>
      <c r="C469" s="252"/>
      <c r="D469" s="283"/>
      <c r="E469" s="284"/>
      <c r="F469" s="284"/>
      <c r="G469" s="214"/>
      <c r="H469" s="218"/>
    </row>
    <row r="470" spans="1:8" x14ac:dyDescent="0.3">
      <c r="A470" s="213"/>
      <c r="B470" s="214"/>
      <c r="C470" s="252"/>
      <c r="D470" s="283"/>
      <c r="E470" s="284"/>
      <c r="F470" s="284"/>
      <c r="G470" s="214"/>
      <c r="H470" s="218"/>
    </row>
    <row r="471" spans="1:8" x14ac:dyDescent="0.3">
      <c r="A471" s="213"/>
      <c r="B471" s="214"/>
      <c r="C471" s="252"/>
      <c r="D471" s="283"/>
      <c r="E471" s="284"/>
      <c r="F471" s="284"/>
      <c r="G471" s="214"/>
      <c r="H471" s="218"/>
    </row>
    <row r="472" spans="1:8" x14ac:dyDescent="0.3">
      <c r="A472" s="213"/>
      <c r="B472" s="214"/>
      <c r="C472" s="252"/>
      <c r="D472" s="283"/>
      <c r="E472" s="284"/>
      <c r="F472" s="284"/>
      <c r="G472" s="214"/>
      <c r="H472" s="218"/>
    </row>
    <row r="473" spans="1:8" x14ac:dyDescent="0.3">
      <c r="A473" s="213"/>
      <c r="B473" s="214"/>
      <c r="C473" s="252"/>
      <c r="D473" s="283"/>
      <c r="E473" s="284"/>
      <c r="F473" s="284"/>
      <c r="G473" s="214"/>
      <c r="H473" s="218"/>
    </row>
    <row r="474" spans="1:8" x14ac:dyDescent="0.3">
      <c r="A474" s="213"/>
      <c r="B474" s="214"/>
      <c r="C474" s="252"/>
      <c r="D474" s="283"/>
      <c r="E474" s="284"/>
      <c r="F474" s="284"/>
      <c r="G474" s="214"/>
      <c r="H474" s="218"/>
    </row>
    <row r="475" spans="1:8" x14ac:dyDescent="0.3">
      <c r="A475" s="213"/>
      <c r="B475" s="214"/>
      <c r="C475" s="252"/>
      <c r="D475" s="283"/>
      <c r="E475" s="284"/>
      <c r="F475" s="284"/>
      <c r="G475" s="214"/>
      <c r="H475" s="218"/>
    </row>
    <row r="476" spans="1:8" x14ac:dyDescent="0.3">
      <c r="A476" s="213"/>
      <c r="B476" s="214"/>
      <c r="C476" s="252"/>
      <c r="D476" s="283"/>
      <c r="E476" s="284"/>
      <c r="F476" s="284"/>
      <c r="G476" s="214"/>
      <c r="H476" s="218"/>
    </row>
    <row r="477" spans="1:8" x14ac:dyDescent="0.3">
      <c r="A477" s="213"/>
      <c r="B477" s="214"/>
      <c r="C477" s="252"/>
      <c r="D477" s="283"/>
      <c r="E477" s="284"/>
      <c r="F477" s="284"/>
      <c r="G477" s="214"/>
      <c r="H477" s="218"/>
    </row>
    <row r="478" spans="1:8" x14ac:dyDescent="0.3">
      <c r="A478" s="213"/>
      <c r="B478" s="214"/>
      <c r="C478" s="252"/>
      <c r="D478" s="283"/>
      <c r="E478" s="284"/>
      <c r="F478" s="284"/>
      <c r="G478" s="214"/>
      <c r="H478" s="218"/>
    </row>
    <row r="479" spans="1:8" x14ac:dyDescent="0.3">
      <c r="A479" s="213"/>
      <c r="B479" s="214"/>
      <c r="C479" s="252"/>
      <c r="D479" s="283"/>
      <c r="E479" s="284"/>
      <c r="F479" s="284"/>
      <c r="G479" s="214"/>
      <c r="H479" s="218"/>
    </row>
    <row r="480" spans="1:8" x14ac:dyDescent="0.3">
      <c r="A480" s="213"/>
      <c r="B480" s="214"/>
      <c r="C480" s="252"/>
      <c r="D480" s="283"/>
      <c r="E480" s="284"/>
      <c r="F480" s="284"/>
      <c r="G480" s="214"/>
      <c r="H480" s="218"/>
    </row>
    <row r="481" spans="1:8" x14ac:dyDescent="0.3">
      <c r="A481" s="213"/>
      <c r="B481" s="214"/>
      <c r="C481" s="252"/>
      <c r="D481" s="283"/>
      <c r="E481" s="284"/>
      <c r="F481" s="284"/>
      <c r="G481" s="214"/>
      <c r="H481" s="218"/>
    </row>
    <row r="482" spans="1:8" x14ac:dyDescent="0.3">
      <c r="A482" s="213"/>
      <c r="B482" s="214"/>
      <c r="C482" s="252"/>
      <c r="D482" s="283"/>
      <c r="E482" s="284"/>
      <c r="F482" s="284"/>
      <c r="G482" s="214"/>
      <c r="H482" s="218"/>
    </row>
    <row r="483" spans="1:8" x14ac:dyDescent="0.3">
      <c r="A483" s="213"/>
      <c r="B483" s="214"/>
      <c r="C483" s="252"/>
      <c r="D483" s="283"/>
      <c r="E483" s="284"/>
      <c r="F483" s="284"/>
      <c r="G483" s="214"/>
      <c r="H483" s="218"/>
    </row>
    <row r="484" spans="1:8" x14ac:dyDescent="0.3">
      <c r="A484" s="213"/>
      <c r="B484" s="214"/>
      <c r="C484" s="252"/>
      <c r="D484" s="283"/>
      <c r="E484" s="284"/>
      <c r="F484" s="284"/>
      <c r="G484" s="214"/>
      <c r="H484" s="218"/>
    </row>
    <row r="485" spans="1:8" x14ac:dyDescent="0.3">
      <c r="A485" s="213"/>
      <c r="B485" s="214"/>
      <c r="C485" s="252"/>
      <c r="D485" s="283"/>
      <c r="E485" s="284"/>
      <c r="F485" s="284"/>
      <c r="G485" s="214"/>
      <c r="H485" s="218"/>
    </row>
    <row r="486" spans="1:8" x14ac:dyDescent="0.3">
      <c r="A486" s="213"/>
      <c r="B486" s="214"/>
      <c r="C486" s="252"/>
      <c r="D486" s="283"/>
      <c r="E486" s="284"/>
      <c r="F486" s="284"/>
      <c r="G486" s="214"/>
      <c r="H486" s="218"/>
    </row>
    <row r="487" spans="1:8" x14ac:dyDescent="0.3">
      <c r="A487" s="213"/>
      <c r="B487" s="214"/>
      <c r="C487" s="252"/>
      <c r="D487" s="283"/>
      <c r="E487" s="284"/>
      <c r="F487" s="284"/>
      <c r="G487" s="214"/>
      <c r="H487" s="218"/>
    </row>
    <row r="488" spans="1:8" x14ac:dyDescent="0.3">
      <c r="A488" s="213"/>
      <c r="B488" s="214"/>
      <c r="C488" s="252"/>
      <c r="D488" s="283"/>
      <c r="E488" s="284"/>
      <c r="F488" s="284"/>
      <c r="G488" s="214"/>
      <c r="H488" s="218"/>
    </row>
    <row r="489" spans="1:8" x14ac:dyDescent="0.3">
      <c r="A489" s="213"/>
      <c r="B489" s="214"/>
      <c r="C489" s="252"/>
      <c r="D489" s="283"/>
      <c r="E489" s="284"/>
      <c r="F489" s="284"/>
      <c r="G489" s="214"/>
      <c r="H489" s="218"/>
    </row>
    <row r="490" spans="1:8" x14ac:dyDescent="0.3">
      <c r="A490" s="213"/>
      <c r="B490" s="214"/>
      <c r="C490" s="252"/>
      <c r="D490" s="283"/>
      <c r="E490" s="284"/>
      <c r="F490" s="284"/>
      <c r="G490" s="214"/>
      <c r="H490" s="218"/>
    </row>
    <row r="491" spans="1:8" x14ac:dyDescent="0.3">
      <c r="A491" s="213"/>
      <c r="B491" s="214"/>
      <c r="C491" s="252"/>
      <c r="D491" s="283"/>
      <c r="E491" s="284"/>
      <c r="F491" s="284"/>
      <c r="G491" s="214"/>
      <c r="H491" s="218"/>
    </row>
    <row r="492" spans="1:8" x14ac:dyDescent="0.3">
      <c r="A492" s="213"/>
      <c r="B492" s="214"/>
      <c r="C492" s="252"/>
      <c r="D492" s="283"/>
      <c r="E492" s="284"/>
      <c r="F492" s="284"/>
      <c r="G492" s="214"/>
      <c r="H492" s="218"/>
    </row>
    <row r="493" spans="1:8" x14ac:dyDescent="0.3">
      <c r="A493" s="213"/>
      <c r="B493" s="214"/>
      <c r="C493" s="252"/>
      <c r="D493" s="283"/>
      <c r="E493" s="284"/>
      <c r="F493" s="284"/>
      <c r="G493" s="214"/>
      <c r="H493" s="218"/>
    </row>
    <row r="494" spans="1:8" x14ac:dyDescent="0.3">
      <c r="A494" s="213"/>
      <c r="B494" s="214"/>
      <c r="C494" s="252"/>
      <c r="D494" s="283"/>
      <c r="E494" s="284"/>
      <c r="F494" s="284"/>
      <c r="G494" s="214"/>
      <c r="H494" s="218"/>
    </row>
    <row r="495" spans="1:8" x14ac:dyDescent="0.3">
      <c r="A495" s="213"/>
      <c r="B495" s="214"/>
      <c r="C495" s="252"/>
      <c r="D495" s="283"/>
      <c r="E495" s="284"/>
      <c r="F495" s="284"/>
      <c r="G495" s="214"/>
      <c r="H495" s="218"/>
    </row>
    <row r="496" spans="1:8" x14ac:dyDescent="0.3">
      <c r="A496" s="213"/>
      <c r="B496" s="214"/>
      <c r="C496" s="252"/>
      <c r="D496" s="283"/>
      <c r="E496" s="284"/>
      <c r="F496" s="284"/>
      <c r="G496" s="214"/>
      <c r="H496" s="218"/>
    </row>
    <row r="497" spans="1:8" x14ac:dyDescent="0.3">
      <c r="A497" s="213"/>
      <c r="B497" s="214"/>
      <c r="C497" s="252"/>
      <c r="D497" s="283"/>
      <c r="E497" s="284"/>
      <c r="F497" s="284"/>
      <c r="G497" s="214"/>
      <c r="H497" s="218"/>
    </row>
    <row r="498" spans="1:8" x14ac:dyDescent="0.3">
      <c r="A498" s="213"/>
      <c r="B498" s="214"/>
      <c r="C498" s="252"/>
      <c r="D498" s="283"/>
      <c r="E498" s="284"/>
      <c r="F498" s="284"/>
      <c r="G498" s="214"/>
      <c r="H498" s="218"/>
    </row>
    <row r="499" spans="1:8" x14ac:dyDescent="0.3">
      <c r="A499" s="213"/>
      <c r="B499" s="214"/>
      <c r="C499" s="252"/>
      <c r="D499" s="283"/>
      <c r="E499" s="284"/>
      <c r="F499" s="284"/>
      <c r="G499" s="214"/>
      <c r="H499" s="218"/>
    </row>
    <row r="500" spans="1:8" x14ac:dyDescent="0.3">
      <c r="A500" s="213"/>
      <c r="B500" s="214"/>
      <c r="C500" s="252"/>
      <c r="D500" s="283"/>
      <c r="E500" s="284"/>
      <c r="F500" s="284"/>
      <c r="G500" s="214"/>
      <c r="H500" s="218"/>
    </row>
    <row r="501" spans="1:8" x14ac:dyDescent="0.3">
      <c r="A501" s="213"/>
      <c r="B501" s="214"/>
      <c r="C501" s="252"/>
      <c r="D501" s="283"/>
      <c r="E501" s="284"/>
      <c r="F501" s="284"/>
      <c r="G501" s="214"/>
      <c r="H501" s="218"/>
    </row>
    <row r="502" spans="1:8" x14ac:dyDescent="0.3">
      <c r="A502" s="213"/>
      <c r="B502" s="214"/>
      <c r="C502" s="252"/>
      <c r="D502" s="283"/>
      <c r="E502" s="284"/>
      <c r="F502" s="284"/>
      <c r="G502" s="214"/>
      <c r="H502" s="218"/>
    </row>
    <row r="503" spans="1:8" x14ac:dyDescent="0.3">
      <c r="A503" s="213"/>
      <c r="B503" s="214"/>
      <c r="C503" s="252"/>
      <c r="D503" s="283"/>
      <c r="E503" s="284"/>
      <c r="F503" s="284"/>
      <c r="G503" s="214"/>
      <c r="H503" s="218"/>
    </row>
    <row r="504" spans="1:8" x14ac:dyDescent="0.3">
      <c r="A504" s="213"/>
      <c r="B504" s="214"/>
      <c r="C504" s="252"/>
      <c r="D504" s="283"/>
      <c r="E504" s="284"/>
      <c r="F504" s="284"/>
      <c r="G504" s="214"/>
      <c r="H504" s="218"/>
    </row>
    <row r="505" spans="1:8" x14ac:dyDescent="0.3">
      <c r="A505" s="213"/>
      <c r="B505" s="214"/>
      <c r="C505" s="252"/>
      <c r="D505" s="283"/>
      <c r="E505" s="284"/>
      <c r="F505" s="284"/>
      <c r="G505" s="214"/>
      <c r="H505" s="218"/>
    </row>
    <row r="506" spans="1:8" x14ac:dyDescent="0.3">
      <c r="A506" s="213"/>
      <c r="B506" s="214"/>
      <c r="C506" s="252"/>
      <c r="D506" s="283"/>
      <c r="E506" s="284"/>
      <c r="F506" s="284"/>
      <c r="G506" s="214"/>
      <c r="H506" s="218"/>
    </row>
    <row r="507" spans="1:8" x14ac:dyDescent="0.3">
      <c r="A507" s="213"/>
      <c r="B507" s="214"/>
      <c r="C507" s="252"/>
      <c r="D507" s="283"/>
      <c r="E507" s="284"/>
      <c r="F507" s="284"/>
      <c r="G507" s="214"/>
      <c r="H507" s="218"/>
    </row>
    <row r="508" spans="1:8" x14ac:dyDescent="0.3">
      <c r="A508" s="213"/>
      <c r="B508" s="214"/>
      <c r="C508" s="252"/>
      <c r="D508" s="283"/>
      <c r="E508" s="284"/>
      <c r="F508" s="284"/>
      <c r="G508" s="214"/>
      <c r="H508" s="218"/>
    </row>
    <row r="509" spans="1:8" x14ac:dyDescent="0.3">
      <c r="A509" s="213"/>
      <c r="B509" s="214"/>
      <c r="C509" s="252"/>
      <c r="D509" s="283"/>
      <c r="E509" s="284"/>
      <c r="F509" s="284"/>
      <c r="G509" s="214"/>
      <c r="H509" s="218"/>
    </row>
    <row r="510" spans="1:8" x14ac:dyDescent="0.3">
      <c r="A510" s="213"/>
      <c r="B510" s="214"/>
      <c r="C510" s="252"/>
      <c r="D510" s="283"/>
      <c r="E510" s="284"/>
      <c r="F510" s="284"/>
      <c r="G510" s="214"/>
      <c r="H510" s="218"/>
    </row>
    <row r="511" spans="1:8" x14ac:dyDescent="0.3">
      <c r="A511" s="213"/>
      <c r="B511" s="214"/>
      <c r="C511" s="252"/>
      <c r="D511" s="283"/>
      <c r="E511" s="284"/>
      <c r="F511" s="284"/>
      <c r="G511" s="214"/>
      <c r="H511" s="218"/>
    </row>
    <row r="512" spans="1:8" x14ac:dyDescent="0.3">
      <c r="A512" s="213"/>
      <c r="B512" s="214"/>
      <c r="C512" s="252"/>
      <c r="D512" s="283"/>
      <c r="E512" s="284"/>
      <c r="F512" s="284"/>
      <c r="G512" s="214"/>
      <c r="H512" s="218"/>
    </row>
    <row r="513" spans="1:8" x14ac:dyDescent="0.3">
      <c r="A513" s="213"/>
      <c r="B513" s="214"/>
      <c r="C513" s="252"/>
      <c r="D513" s="283"/>
      <c r="E513" s="284"/>
      <c r="F513" s="284"/>
      <c r="G513" s="214"/>
      <c r="H513" s="218"/>
    </row>
    <row r="514" spans="1:8" x14ac:dyDescent="0.3">
      <c r="A514" s="213"/>
      <c r="B514" s="214"/>
      <c r="C514" s="252"/>
      <c r="D514" s="283"/>
      <c r="E514" s="284"/>
      <c r="F514" s="284"/>
      <c r="G514" s="214"/>
      <c r="H514" s="218"/>
    </row>
    <row r="515" spans="1:8" x14ac:dyDescent="0.3">
      <c r="A515" s="213"/>
      <c r="B515" s="214"/>
      <c r="C515" s="252"/>
      <c r="D515" s="283"/>
      <c r="E515" s="284"/>
      <c r="F515" s="284"/>
      <c r="G515" s="214"/>
      <c r="H515" s="218"/>
    </row>
    <row r="516" spans="1:8" x14ac:dyDescent="0.3">
      <c r="A516" s="213"/>
      <c r="B516" s="214"/>
      <c r="C516" s="252"/>
      <c r="D516" s="283"/>
      <c r="E516" s="284"/>
      <c r="F516" s="284"/>
      <c r="G516" s="214"/>
      <c r="H516" s="218"/>
    </row>
    <row r="517" spans="1:8" x14ac:dyDescent="0.3">
      <c r="A517" s="213"/>
      <c r="B517" s="214"/>
      <c r="C517" s="252"/>
      <c r="D517" s="283"/>
      <c r="E517" s="284"/>
      <c r="F517" s="284"/>
      <c r="G517" s="214"/>
      <c r="H517" s="218"/>
    </row>
    <row r="518" spans="1:8" x14ac:dyDescent="0.3">
      <c r="A518" s="213"/>
      <c r="B518" s="214"/>
      <c r="C518" s="252"/>
      <c r="D518" s="283"/>
      <c r="E518" s="284"/>
      <c r="F518" s="284"/>
      <c r="G518" s="214"/>
      <c r="H518" s="218"/>
    </row>
    <row r="519" spans="1:8" x14ac:dyDescent="0.3">
      <c r="A519" s="213"/>
      <c r="B519" s="214"/>
      <c r="C519" s="252"/>
      <c r="D519" s="283"/>
      <c r="E519" s="284"/>
      <c r="F519" s="284"/>
      <c r="G519" s="214"/>
      <c r="H519" s="218"/>
    </row>
    <row r="520" spans="1:8" x14ac:dyDescent="0.3">
      <c r="A520" s="213"/>
      <c r="B520" s="214"/>
      <c r="C520" s="252"/>
      <c r="D520" s="283"/>
      <c r="E520" s="284"/>
      <c r="F520" s="284"/>
      <c r="G520" s="214"/>
      <c r="H520" s="218"/>
    </row>
    <row r="521" spans="1:8" x14ac:dyDescent="0.3">
      <c r="A521" s="213"/>
      <c r="B521" s="214"/>
      <c r="C521" s="252"/>
      <c r="D521" s="283"/>
      <c r="E521" s="284"/>
      <c r="F521" s="284"/>
      <c r="G521" s="214"/>
      <c r="H521" s="218"/>
    </row>
    <row r="522" spans="1:8" x14ac:dyDescent="0.3">
      <c r="A522" s="213"/>
      <c r="B522" s="214"/>
      <c r="C522" s="252"/>
      <c r="D522" s="283"/>
      <c r="E522" s="284"/>
      <c r="F522" s="284"/>
      <c r="G522" s="214"/>
      <c r="H522" s="218"/>
    </row>
    <row r="523" spans="1:8" x14ac:dyDescent="0.3">
      <c r="A523" s="213"/>
      <c r="B523" s="214"/>
      <c r="C523" s="252"/>
      <c r="D523" s="283"/>
      <c r="E523" s="284"/>
      <c r="F523" s="284"/>
      <c r="G523" s="214"/>
      <c r="H523" s="218"/>
    </row>
    <row r="524" spans="1:8" x14ac:dyDescent="0.3">
      <c r="A524" s="213"/>
      <c r="B524" s="214"/>
      <c r="C524" s="252"/>
      <c r="D524" s="283"/>
      <c r="E524" s="284"/>
      <c r="F524" s="284"/>
      <c r="G524" s="214"/>
      <c r="H524" s="218"/>
    </row>
    <row r="525" spans="1:8" x14ac:dyDescent="0.3">
      <c r="A525" s="213"/>
      <c r="B525" s="214"/>
      <c r="C525" s="252"/>
      <c r="D525" s="283"/>
      <c r="E525" s="284"/>
      <c r="F525" s="284"/>
      <c r="G525" s="214"/>
      <c r="H525" s="218"/>
    </row>
    <row r="526" spans="1:8" x14ac:dyDescent="0.3">
      <c r="A526" s="213"/>
      <c r="B526" s="214"/>
      <c r="C526" s="252"/>
      <c r="D526" s="283"/>
      <c r="E526" s="284"/>
      <c r="F526" s="284"/>
      <c r="G526" s="214"/>
      <c r="H526" s="218"/>
    </row>
    <row r="527" spans="1:8" x14ac:dyDescent="0.3">
      <c r="A527" s="213"/>
      <c r="B527" s="214"/>
      <c r="C527" s="252"/>
      <c r="D527" s="283"/>
      <c r="E527" s="284"/>
      <c r="F527" s="284"/>
      <c r="G527" s="214"/>
      <c r="H527" s="218"/>
    </row>
    <row r="528" spans="1:8" x14ac:dyDescent="0.3">
      <c r="A528" s="213"/>
      <c r="B528" s="214"/>
      <c r="C528" s="252"/>
      <c r="D528" s="283"/>
      <c r="E528" s="284"/>
      <c r="F528" s="284"/>
      <c r="G528" s="214"/>
      <c r="H528" s="218"/>
    </row>
    <row r="529" spans="1:8" x14ac:dyDescent="0.3">
      <c r="A529" s="213"/>
      <c r="B529" s="214"/>
      <c r="C529" s="252"/>
      <c r="D529" s="283"/>
      <c r="E529" s="284"/>
      <c r="F529" s="284"/>
      <c r="G529" s="214"/>
      <c r="H529" s="218"/>
    </row>
    <row r="530" spans="1:8" x14ac:dyDescent="0.3">
      <c r="A530" s="213"/>
      <c r="B530" s="214"/>
      <c r="C530" s="252"/>
      <c r="D530" s="283"/>
      <c r="E530" s="284"/>
      <c r="F530" s="284"/>
      <c r="G530" s="214"/>
      <c r="H530" s="218"/>
    </row>
    <row r="531" spans="1:8" x14ac:dyDescent="0.3">
      <c r="A531" s="213"/>
      <c r="B531" s="214"/>
      <c r="C531" s="252"/>
      <c r="D531" s="283"/>
      <c r="E531" s="284"/>
      <c r="F531" s="284"/>
      <c r="G531" s="214"/>
      <c r="H531" s="218"/>
    </row>
    <row r="532" spans="1:8" x14ac:dyDescent="0.3">
      <c r="A532" s="213"/>
      <c r="B532" s="214"/>
      <c r="C532" s="252"/>
      <c r="D532" s="283"/>
      <c r="E532" s="284"/>
      <c r="F532" s="284"/>
      <c r="G532" s="214"/>
      <c r="H532" s="218"/>
    </row>
    <row r="533" spans="1:8" x14ac:dyDescent="0.3">
      <c r="A533" s="213"/>
      <c r="B533" s="214"/>
      <c r="C533" s="252"/>
      <c r="D533" s="283"/>
      <c r="E533" s="284"/>
      <c r="F533" s="284"/>
      <c r="G533" s="214"/>
      <c r="H533" s="218"/>
    </row>
    <row r="534" spans="1:8" x14ac:dyDescent="0.3">
      <c r="A534" s="213"/>
      <c r="B534" s="214"/>
      <c r="C534" s="252"/>
      <c r="D534" s="283"/>
      <c r="E534" s="284"/>
      <c r="F534" s="284"/>
      <c r="G534" s="214"/>
      <c r="H534" s="218"/>
    </row>
    <row r="535" spans="1:8" x14ac:dyDescent="0.3">
      <c r="A535" s="213"/>
      <c r="B535" s="214"/>
      <c r="C535" s="252"/>
      <c r="D535" s="283"/>
      <c r="E535" s="284"/>
      <c r="F535" s="284"/>
      <c r="G535" s="214"/>
      <c r="H535" s="218"/>
    </row>
    <row r="536" spans="1:8" x14ac:dyDescent="0.3">
      <c r="A536" s="213"/>
      <c r="B536" s="214"/>
      <c r="C536" s="252"/>
      <c r="D536" s="283"/>
      <c r="E536" s="284"/>
      <c r="F536" s="284"/>
      <c r="G536" s="214"/>
      <c r="H536" s="218"/>
    </row>
    <row r="537" spans="1:8" x14ac:dyDescent="0.3">
      <c r="A537" s="213"/>
      <c r="B537" s="214"/>
      <c r="C537" s="252"/>
      <c r="D537" s="283"/>
      <c r="E537" s="284"/>
      <c r="F537" s="284"/>
      <c r="G537" s="214"/>
      <c r="H537" s="218"/>
    </row>
    <row r="538" spans="1:8" x14ac:dyDescent="0.3">
      <c r="A538" s="213"/>
      <c r="B538" s="214"/>
      <c r="C538" s="252"/>
      <c r="D538" s="283"/>
      <c r="E538" s="284"/>
      <c r="F538" s="284"/>
      <c r="G538" s="214"/>
      <c r="H538" s="218"/>
    </row>
    <row r="539" spans="1:8" x14ac:dyDescent="0.3">
      <c r="A539" s="213"/>
      <c r="B539" s="214"/>
      <c r="C539" s="252"/>
      <c r="D539" s="283"/>
      <c r="E539" s="284"/>
      <c r="F539" s="284"/>
      <c r="G539" s="214"/>
      <c r="H539" s="218"/>
    </row>
    <row r="540" spans="1:8" x14ac:dyDescent="0.3">
      <c r="A540" s="213"/>
      <c r="B540" s="214"/>
      <c r="C540" s="252"/>
      <c r="D540" s="283"/>
      <c r="E540" s="284"/>
      <c r="F540" s="284"/>
      <c r="G540" s="214"/>
      <c r="H540" s="218"/>
    </row>
    <row r="541" spans="1:8" x14ac:dyDescent="0.3">
      <c r="A541" s="213"/>
      <c r="B541" s="214"/>
      <c r="C541" s="252"/>
      <c r="D541" s="283"/>
      <c r="E541" s="284"/>
      <c r="F541" s="284"/>
      <c r="G541" s="214"/>
      <c r="H541" s="218"/>
    </row>
    <row r="542" spans="1:8" x14ac:dyDescent="0.3">
      <c r="A542" s="213"/>
      <c r="B542" s="214"/>
      <c r="C542" s="252"/>
      <c r="D542" s="283"/>
      <c r="E542" s="284"/>
      <c r="F542" s="284"/>
      <c r="G542" s="214"/>
      <c r="H542" s="218"/>
    </row>
    <row r="543" spans="1:8" x14ac:dyDescent="0.3">
      <c r="A543" s="213"/>
      <c r="B543" s="214"/>
      <c r="C543" s="252"/>
      <c r="D543" s="283"/>
      <c r="E543" s="284"/>
      <c r="F543" s="284"/>
      <c r="G543" s="214"/>
      <c r="H543" s="218"/>
    </row>
    <row r="544" spans="1:8" x14ac:dyDescent="0.3">
      <c r="A544" s="213"/>
      <c r="B544" s="214"/>
      <c r="C544" s="252"/>
      <c r="D544" s="283"/>
      <c r="E544" s="284"/>
      <c r="F544" s="284"/>
      <c r="G544" s="214"/>
      <c r="H544" s="218"/>
    </row>
    <row r="545" spans="1:8" x14ac:dyDescent="0.3">
      <c r="A545" s="213"/>
      <c r="B545" s="214"/>
      <c r="C545" s="252"/>
      <c r="D545" s="283"/>
      <c r="E545" s="284"/>
      <c r="F545" s="284"/>
      <c r="G545" s="214"/>
      <c r="H545" s="218"/>
    </row>
    <row r="546" spans="1:8" x14ac:dyDescent="0.3">
      <c r="A546" s="213"/>
      <c r="B546" s="214"/>
      <c r="C546" s="252"/>
      <c r="D546" s="283"/>
      <c r="E546" s="284"/>
      <c r="F546" s="284"/>
      <c r="G546" s="214"/>
      <c r="H546" s="218"/>
    </row>
    <row r="547" spans="1:8" x14ac:dyDescent="0.3">
      <c r="A547" s="213"/>
      <c r="B547" s="214"/>
      <c r="C547" s="252"/>
      <c r="D547" s="283"/>
      <c r="E547" s="284"/>
      <c r="F547" s="284"/>
      <c r="G547" s="214"/>
      <c r="H547" s="218"/>
    </row>
    <row r="548" spans="1:8" x14ac:dyDescent="0.3">
      <c r="A548" s="213"/>
      <c r="B548" s="214"/>
      <c r="C548" s="252"/>
      <c r="D548" s="283"/>
      <c r="E548" s="284"/>
      <c r="F548" s="284"/>
      <c r="G548" s="214"/>
      <c r="H548" s="218"/>
    </row>
    <row r="549" spans="1:8" x14ac:dyDescent="0.3">
      <c r="A549" s="213"/>
      <c r="B549" s="214"/>
      <c r="C549" s="252"/>
      <c r="D549" s="283"/>
      <c r="E549" s="284"/>
      <c r="F549" s="284"/>
      <c r="G549" s="214"/>
      <c r="H549" s="218"/>
    </row>
    <row r="550" spans="1:8" x14ac:dyDescent="0.3">
      <c r="A550" s="213"/>
      <c r="B550" s="214"/>
      <c r="C550" s="252"/>
      <c r="D550" s="283"/>
      <c r="E550" s="284"/>
      <c r="F550" s="284"/>
      <c r="G550" s="214"/>
      <c r="H550" s="218"/>
    </row>
    <row r="551" spans="1:8" x14ac:dyDescent="0.3">
      <c r="A551" s="213"/>
      <c r="B551" s="214"/>
      <c r="C551" s="252"/>
      <c r="D551" s="283"/>
      <c r="E551" s="284"/>
      <c r="F551" s="284"/>
      <c r="G551" s="214"/>
      <c r="H551" s="218"/>
    </row>
    <row r="552" spans="1:8" x14ac:dyDescent="0.3">
      <c r="A552" s="213"/>
      <c r="B552" s="214"/>
      <c r="C552" s="252"/>
      <c r="D552" s="283"/>
      <c r="E552" s="284"/>
      <c r="F552" s="284"/>
      <c r="G552" s="214"/>
      <c r="H552" s="218"/>
    </row>
    <row r="553" spans="1:8" x14ac:dyDescent="0.3">
      <c r="A553" s="213"/>
      <c r="B553" s="214"/>
      <c r="C553" s="252"/>
      <c r="D553" s="283"/>
      <c r="E553" s="284"/>
      <c r="F553" s="284"/>
      <c r="G553" s="214"/>
      <c r="H553" s="218"/>
    </row>
    <row r="554" spans="1:8" x14ac:dyDescent="0.3">
      <c r="A554" s="213"/>
      <c r="B554" s="214"/>
      <c r="C554" s="252"/>
      <c r="D554" s="283"/>
      <c r="E554" s="284"/>
      <c r="F554" s="284"/>
      <c r="G554" s="214"/>
      <c r="H554" s="218"/>
    </row>
    <row r="555" spans="1:8" x14ac:dyDescent="0.3">
      <c r="A555" s="213"/>
      <c r="B555" s="214"/>
      <c r="C555" s="252"/>
      <c r="D555" s="283"/>
      <c r="E555" s="284"/>
      <c r="F555" s="284"/>
      <c r="G555" s="214"/>
      <c r="H555" s="218"/>
    </row>
    <row r="556" spans="1:8" x14ac:dyDescent="0.3">
      <c r="A556" s="213"/>
      <c r="B556" s="214"/>
      <c r="C556" s="252"/>
      <c r="D556" s="283"/>
      <c r="E556" s="284"/>
      <c r="F556" s="284"/>
      <c r="G556" s="214"/>
      <c r="H556" s="218"/>
    </row>
    <row r="557" spans="1:8" x14ac:dyDescent="0.3">
      <c r="A557" s="213"/>
      <c r="B557" s="214"/>
      <c r="C557" s="252"/>
      <c r="D557" s="283"/>
      <c r="E557" s="284"/>
      <c r="F557" s="284"/>
      <c r="G557" s="214"/>
      <c r="H557" s="218"/>
    </row>
    <row r="558" spans="1:8" x14ac:dyDescent="0.3">
      <c r="A558" s="213"/>
      <c r="B558" s="214"/>
      <c r="C558" s="252"/>
      <c r="D558" s="283"/>
      <c r="E558" s="284"/>
      <c r="F558" s="284"/>
      <c r="G558" s="214"/>
      <c r="H558" s="218"/>
    </row>
    <row r="559" spans="1:8" x14ac:dyDescent="0.3">
      <c r="A559" s="213"/>
      <c r="B559" s="214"/>
      <c r="C559" s="252"/>
      <c r="D559" s="283"/>
      <c r="E559" s="284"/>
      <c r="F559" s="284"/>
      <c r="G559" s="214"/>
      <c r="H559" s="218"/>
    </row>
    <row r="560" spans="1:8" x14ac:dyDescent="0.3">
      <c r="A560" s="213"/>
      <c r="B560" s="214"/>
      <c r="C560" s="252"/>
      <c r="D560" s="283"/>
      <c r="E560" s="284"/>
      <c r="F560" s="284"/>
      <c r="G560" s="214"/>
      <c r="H560" s="218"/>
    </row>
    <row r="561" spans="1:8" x14ac:dyDescent="0.3">
      <c r="A561" s="213"/>
      <c r="B561" s="214"/>
      <c r="C561" s="252"/>
      <c r="D561" s="283"/>
      <c r="E561" s="284"/>
      <c r="F561" s="284"/>
      <c r="G561" s="214"/>
      <c r="H561" s="218"/>
    </row>
    <row r="562" spans="1:8" x14ac:dyDescent="0.3">
      <c r="A562" s="213"/>
      <c r="B562" s="214"/>
      <c r="C562" s="252"/>
      <c r="D562" s="283"/>
      <c r="E562" s="284"/>
      <c r="F562" s="284"/>
      <c r="G562" s="214"/>
      <c r="H562" s="218"/>
    </row>
    <row r="563" spans="1:8" x14ac:dyDescent="0.3">
      <c r="A563" s="213"/>
      <c r="B563" s="214"/>
      <c r="C563" s="252"/>
      <c r="D563" s="283"/>
      <c r="E563" s="284"/>
      <c r="F563" s="284"/>
      <c r="G563" s="214"/>
      <c r="H563" s="218"/>
    </row>
    <row r="564" spans="1:8" x14ac:dyDescent="0.3">
      <c r="A564" s="213"/>
      <c r="B564" s="214"/>
      <c r="C564" s="252"/>
      <c r="D564" s="283"/>
      <c r="E564" s="284"/>
      <c r="F564" s="284"/>
      <c r="G564" s="214"/>
      <c r="H564" s="218"/>
    </row>
    <row r="565" spans="1:8" x14ac:dyDescent="0.3">
      <c r="A565" s="213"/>
      <c r="B565" s="214"/>
      <c r="C565" s="252"/>
      <c r="D565" s="283"/>
      <c r="E565" s="284"/>
      <c r="F565" s="284"/>
      <c r="G565" s="214"/>
      <c r="H565" s="218"/>
    </row>
    <row r="566" spans="1:8" x14ac:dyDescent="0.3">
      <c r="A566" s="213"/>
      <c r="B566" s="214"/>
      <c r="C566" s="252"/>
      <c r="D566" s="283"/>
      <c r="E566" s="284"/>
      <c r="F566" s="284"/>
      <c r="G566" s="214"/>
      <c r="H566" s="218"/>
    </row>
    <row r="567" spans="1:8" x14ac:dyDescent="0.3">
      <c r="A567" s="213"/>
      <c r="B567" s="214"/>
      <c r="C567" s="252"/>
      <c r="D567" s="283"/>
      <c r="E567" s="284"/>
      <c r="F567" s="284"/>
      <c r="G567" s="214"/>
      <c r="H567" s="218"/>
    </row>
    <row r="568" spans="1:8" x14ac:dyDescent="0.3">
      <c r="A568" s="213"/>
      <c r="B568" s="214"/>
      <c r="C568" s="252"/>
      <c r="D568" s="283"/>
      <c r="E568" s="284"/>
      <c r="F568" s="284"/>
      <c r="G568" s="214"/>
      <c r="H568" s="218"/>
    </row>
    <row r="569" spans="1:8" x14ac:dyDescent="0.3">
      <c r="A569" s="213"/>
      <c r="B569" s="214"/>
      <c r="C569" s="252"/>
      <c r="D569" s="283"/>
      <c r="E569" s="284"/>
      <c r="F569" s="284"/>
      <c r="G569" s="214"/>
      <c r="H569" s="218"/>
    </row>
    <row r="570" spans="1:8" x14ac:dyDescent="0.3">
      <c r="A570" s="213"/>
      <c r="B570" s="214"/>
      <c r="C570" s="252"/>
      <c r="D570" s="283"/>
      <c r="E570" s="284"/>
      <c r="F570" s="284"/>
      <c r="G570" s="214"/>
      <c r="H570" s="218"/>
    </row>
    <row r="571" spans="1:8" x14ac:dyDescent="0.3">
      <c r="A571" s="213"/>
      <c r="B571" s="214"/>
      <c r="C571" s="252"/>
      <c r="D571" s="283"/>
      <c r="E571" s="284"/>
      <c r="F571" s="284"/>
      <c r="G571" s="214"/>
      <c r="H571" s="218"/>
    </row>
    <row r="572" spans="1:8" x14ac:dyDescent="0.3">
      <c r="A572" s="213"/>
      <c r="B572" s="214"/>
      <c r="C572" s="252"/>
      <c r="D572" s="283"/>
      <c r="E572" s="284"/>
      <c r="F572" s="284"/>
      <c r="G572" s="214"/>
      <c r="H572" s="218"/>
    </row>
    <row r="573" spans="1:8" x14ac:dyDescent="0.3">
      <c r="A573" s="213"/>
      <c r="B573" s="214"/>
      <c r="C573" s="252"/>
      <c r="D573" s="283"/>
      <c r="E573" s="284"/>
      <c r="F573" s="284"/>
      <c r="G573" s="214"/>
      <c r="H573" s="218"/>
    </row>
    <row r="574" spans="1:8" x14ac:dyDescent="0.3">
      <c r="A574" s="213"/>
      <c r="B574" s="214"/>
      <c r="C574" s="252"/>
      <c r="D574" s="283"/>
      <c r="E574" s="284"/>
      <c r="F574" s="284"/>
      <c r="G574" s="214"/>
      <c r="H574" s="218"/>
    </row>
    <row r="575" spans="1:8" x14ac:dyDescent="0.3">
      <c r="A575" s="213"/>
      <c r="B575" s="214"/>
      <c r="C575" s="252"/>
      <c r="D575" s="283"/>
      <c r="E575" s="284"/>
      <c r="F575" s="284"/>
      <c r="G575" s="214"/>
      <c r="H575" s="218"/>
    </row>
    <row r="576" spans="1:8" x14ac:dyDescent="0.3">
      <c r="A576" s="213"/>
      <c r="B576" s="214"/>
      <c r="C576" s="252"/>
      <c r="D576" s="283"/>
      <c r="E576" s="284"/>
      <c r="F576" s="284"/>
      <c r="G576" s="214"/>
      <c r="H576" s="218"/>
    </row>
    <row r="577" spans="1:8" x14ac:dyDescent="0.3">
      <c r="A577" s="213"/>
      <c r="B577" s="214"/>
      <c r="C577" s="252"/>
      <c r="D577" s="283"/>
      <c r="E577" s="284"/>
      <c r="F577" s="284"/>
      <c r="G577" s="214"/>
      <c r="H577" s="218"/>
    </row>
    <row r="578" spans="1:8" x14ac:dyDescent="0.3">
      <c r="A578" s="213"/>
      <c r="B578" s="214"/>
      <c r="C578" s="252"/>
      <c r="D578" s="283"/>
      <c r="E578" s="284"/>
      <c r="F578" s="284"/>
      <c r="G578" s="214"/>
      <c r="H578" s="218"/>
    </row>
    <row r="579" spans="1:8" x14ac:dyDescent="0.3">
      <c r="A579" s="213"/>
      <c r="B579" s="214"/>
      <c r="C579" s="252"/>
      <c r="D579" s="283"/>
      <c r="E579" s="284"/>
      <c r="F579" s="284"/>
      <c r="G579" s="214"/>
      <c r="H579" s="218"/>
    </row>
    <row r="580" spans="1:8" x14ac:dyDescent="0.3">
      <c r="A580" s="213"/>
      <c r="B580" s="214"/>
      <c r="C580" s="252"/>
      <c r="D580" s="283"/>
      <c r="E580" s="284"/>
      <c r="F580" s="284"/>
      <c r="G580" s="214"/>
      <c r="H580" s="218"/>
    </row>
    <row r="581" spans="1:8" x14ac:dyDescent="0.3">
      <c r="A581" s="213"/>
      <c r="B581" s="214"/>
      <c r="C581" s="252"/>
      <c r="D581" s="283"/>
      <c r="E581" s="284"/>
      <c r="F581" s="284"/>
      <c r="G581" s="214"/>
      <c r="H581" s="218"/>
    </row>
    <row r="582" spans="1:8" x14ac:dyDescent="0.3">
      <c r="A582" s="213"/>
      <c r="B582" s="214"/>
      <c r="C582" s="252"/>
      <c r="D582" s="283"/>
      <c r="E582" s="284"/>
      <c r="F582" s="284"/>
      <c r="G582" s="214"/>
      <c r="H582" s="218"/>
    </row>
    <row r="583" spans="1:8" x14ac:dyDescent="0.3">
      <c r="A583" s="213"/>
      <c r="B583" s="214"/>
      <c r="C583" s="252"/>
      <c r="D583" s="283"/>
      <c r="E583" s="284"/>
      <c r="F583" s="284"/>
      <c r="G583" s="214"/>
      <c r="H583" s="218"/>
    </row>
    <row r="584" spans="1:8" x14ac:dyDescent="0.3">
      <c r="A584" s="213"/>
      <c r="B584" s="214"/>
      <c r="C584" s="252"/>
      <c r="D584" s="283"/>
      <c r="E584" s="284"/>
      <c r="F584" s="284"/>
      <c r="G584" s="214"/>
      <c r="H584" s="218"/>
    </row>
    <row r="585" spans="1:8" x14ac:dyDescent="0.3">
      <c r="A585" s="213"/>
      <c r="B585" s="214"/>
      <c r="C585" s="252"/>
      <c r="D585" s="283"/>
      <c r="E585" s="284"/>
      <c r="F585" s="284"/>
      <c r="G585" s="214"/>
      <c r="H585" s="218"/>
    </row>
    <row r="586" spans="1:8" x14ac:dyDescent="0.3">
      <c r="A586" s="213"/>
      <c r="B586" s="214"/>
      <c r="C586" s="252"/>
      <c r="D586" s="283"/>
      <c r="E586" s="284"/>
      <c r="F586" s="284"/>
      <c r="G586" s="214"/>
      <c r="H586" s="218"/>
    </row>
    <row r="587" spans="1:8" x14ac:dyDescent="0.3">
      <c r="A587" s="213"/>
      <c r="B587" s="214"/>
      <c r="C587" s="252"/>
      <c r="D587" s="283"/>
      <c r="E587" s="284"/>
      <c r="F587" s="284"/>
      <c r="G587" s="214"/>
      <c r="H587" s="218"/>
    </row>
    <row r="588" spans="1:8" x14ac:dyDescent="0.3">
      <c r="A588" s="213"/>
      <c r="B588" s="214"/>
      <c r="C588" s="252"/>
      <c r="D588" s="283"/>
      <c r="E588" s="284"/>
      <c r="F588" s="284"/>
      <c r="G588" s="214"/>
      <c r="H588" s="218"/>
    </row>
    <row r="589" spans="1:8" x14ac:dyDescent="0.3">
      <c r="A589" s="213"/>
      <c r="B589" s="214"/>
      <c r="C589" s="252"/>
      <c r="D589" s="283"/>
      <c r="E589" s="284"/>
      <c r="F589" s="284"/>
      <c r="G589" s="214"/>
      <c r="H589" s="218"/>
    </row>
    <row r="590" spans="1:8" x14ac:dyDescent="0.3">
      <c r="A590" s="213"/>
      <c r="B590" s="214"/>
      <c r="C590" s="252"/>
      <c r="D590" s="283"/>
      <c r="E590" s="284"/>
      <c r="F590" s="284"/>
      <c r="G590" s="214"/>
      <c r="H590" s="218"/>
    </row>
    <row r="591" spans="1:8" x14ac:dyDescent="0.3">
      <c r="A591" s="213"/>
      <c r="B591" s="214"/>
      <c r="C591" s="252"/>
      <c r="D591" s="283"/>
      <c r="E591" s="284"/>
      <c r="F591" s="284"/>
      <c r="G591" s="214"/>
      <c r="H591" s="218"/>
    </row>
    <row r="592" spans="1:8" x14ac:dyDescent="0.3">
      <c r="A592" s="213"/>
      <c r="B592" s="214"/>
      <c r="C592" s="252"/>
      <c r="D592" s="283"/>
      <c r="E592" s="284"/>
      <c r="F592" s="284"/>
      <c r="G592" s="214"/>
      <c r="H592" s="218"/>
    </row>
    <row r="593" spans="1:8" x14ac:dyDescent="0.3">
      <c r="A593" s="213"/>
      <c r="B593" s="214"/>
      <c r="C593" s="252"/>
      <c r="D593" s="283"/>
      <c r="E593" s="284"/>
      <c r="F593" s="284"/>
      <c r="G593" s="214"/>
      <c r="H593" s="218"/>
    </row>
    <row r="594" spans="1:8" x14ac:dyDescent="0.3">
      <c r="A594" s="213"/>
      <c r="B594" s="214"/>
      <c r="C594" s="252"/>
      <c r="D594" s="283"/>
      <c r="E594" s="284"/>
      <c r="F594" s="284"/>
      <c r="G594" s="214"/>
      <c r="H594" s="218"/>
    </row>
    <row r="595" spans="1:8" x14ac:dyDescent="0.3">
      <c r="A595" s="213"/>
      <c r="B595" s="214"/>
      <c r="C595" s="252"/>
      <c r="D595" s="283"/>
      <c r="E595" s="284"/>
      <c r="F595" s="284"/>
      <c r="G595" s="214"/>
      <c r="H595" s="218"/>
    </row>
    <row r="596" spans="1:8" x14ac:dyDescent="0.3">
      <c r="A596" s="213"/>
      <c r="B596" s="214"/>
      <c r="C596" s="252"/>
      <c r="D596" s="283"/>
      <c r="E596" s="284"/>
      <c r="F596" s="284"/>
      <c r="G596" s="214"/>
      <c r="H596" s="218"/>
    </row>
    <row r="597" spans="1:8" x14ac:dyDescent="0.3">
      <c r="A597" s="213"/>
      <c r="B597" s="214"/>
      <c r="C597" s="252"/>
      <c r="D597" s="283"/>
      <c r="E597" s="284"/>
      <c r="F597" s="284"/>
      <c r="G597" s="214"/>
      <c r="H597" s="218"/>
    </row>
    <row r="598" spans="1:8" x14ac:dyDescent="0.3">
      <c r="A598" s="213"/>
      <c r="B598" s="214"/>
      <c r="C598" s="252"/>
      <c r="D598" s="283"/>
      <c r="E598" s="284"/>
      <c r="F598" s="284"/>
      <c r="G598" s="214"/>
      <c r="H598" s="218"/>
    </row>
    <row r="599" spans="1:8" x14ac:dyDescent="0.3">
      <c r="A599" s="213"/>
      <c r="B599" s="214"/>
      <c r="C599" s="252"/>
      <c r="D599" s="283"/>
      <c r="E599" s="284"/>
      <c r="F599" s="284"/>
      <c r="G599" s="214"/>
      <c r="H599" s="218"/>
    </row>
    <row r="600" spans="1:8" x14ac:dyDescent="0.3">
      <c r="A600" s="213"/>
      <c r="B600" s="214"/>
      <c r="C600" s="252"/>
      <c r="D600" s="283"/>
      <c r="E600" s="284"/>
      <c r="F600" s="284"/>
      <c r="G600" s="214"/>
      <c r="H600" s="218"/>
    </row>
    <row r="601" spans="1:8" x14ac:dyDescent="0.3">
      <c r="A601" s="213"/>
      <c r="B601" s="214"/>
      <c r="C601" s="252"/>
      <c r="D601" s="283"/>
      <c r="E601" s="284"/>
      <c r="F601" s="284"/>
      <c r="G601" s="214"/>
      <c r="H601" s="218"/>
    </row>
    <row r="602" spans="1:8" x14ac:dyDescent="0.3">
      <c r="A602" s="213"/>
      <c r="B602" s="214"/>
      <c r="C602" s="252"/>
      <c r="D602" s="283"/>
      <c r="E602" s="284"/>
      <c r="F602" s="284"/>
      <c r="G602" s="214"/>
      <c r="H602" s="218"/>
    </row>
    <row r="603" spans="1:8" x14ac:dyDescent="0.3">
      <c r="A603" s="213"/>
      <c r="B603" s="214"/>
      <c r="C603" s="252"/>
      <c r="D603" s="283"/>
      <c r="E603" s="284"/>
      <c r="F603" s="284"/>
      <c r="G603" s="214"/>
      <c r="H603" s="218"/>
    </row>
    <row r="604" spans="1:8" x14ac:dyDescent="0.3">
      <c r="A604" s="213"/>
      <c r="B604" s="214"/>
      <c r="C604" s="252"/>
      <c r="D604" s="283"/>
      <c r="E604" s="284"/>
      <c r="F604" s="284"/>
      <c r="G604" s="214"/>
      <c r="H604" s="218"/>
    </row>
    <row r="605" spans="1:8" x14ac:dyDescent="0.3">
      <c r="A605" s="213"/>
      <c r="B605" s="214"/>
      <c r="C605" s="252"/>
      <c r="D605" s="283"/>
      <c r="E605" s="284"/>
      <c r="F605" s="284"/>
      <c r="G605" s="214"/>
      <c r="H605" s="218"/>
    </row>
    <row r="606" spans="1:8" x14ac:dyDescent="0.3">
      <c r="A606" s="213"/>
      <c r="B606" s="214"/>
      <c r="C606" s="252"/>
      <c r="D606" s="283"/>
      <c r="E606" s="284"/>
      <c r="F606" s="284"/>
      <c r="G606" s="214"/>
      <c r="H606" s="218"/>
    </row>
    <row r="607" spans="1:8" x14ac:dyDescent="0.3">
      <c r="A607" s="213"/>
      <c r="B607" s="214"/>
      <c r="C607" s="252"/>
      <c r="D607" s="283"/>
      <c r="E607" s="284"/>
      <c r="F607" s="284"/>
      <c r="G607" s="214"/>
      <c r="H607" s="218"/>
    </row>
    <row r="608" spans="1:8" x14ac:dyDescent="0.3">
      <c r="A608" s="213"/>
      <c r="B608" s="214"/>
      <c r="C608" s="252"/>
      <c r="D608" s="283"/>
      <c r="E608" s="284"/>
      <c r="F608" s="284"/>
      <c r="G608" s="214"/>
      <c r="H608" s="218"/>
    </row>
    <row r="609" spans="1:8" x14ac:dyDescent="0.3">
      <c r="A609" s="213"/>
      <c r="B609" s="214"/>
      <c r="C609" s="252"/>
      <c r="D609" s="283"/>
      <c r="E609" s="284"/>
      <c r="F609" s="284"/>
      <c r="G609" s="214"/>
      <c r="H609" s="218"/>
    </row>
    <row r="610" spans="1:8" x14ac:dyDescent="0.3">
      <c r="A610" s="213"/>
      <c r="B610" s="214"/>
      <c r="C610" s="252"/>
      <c r="D610" s="283"/>
      <c r="E610" s="284"/>
      <c r="F610" s="284"/>
      <c r="G610" s="214"/>
      <c r="H610" s="218"/>
    </row>
    <row r="611" spans="1:8" x14ac:dyDescent="0.3">
      <c r="A611" s="213"/>
      <c r="B611" s="214"/>
      <c r="C611" s="252"/>
      <c r="D611" s="283"/>
      <c r="E611" s="284"/>
      <c r="F611" s="284"/>
      <c r="G611" s="214"/>
      <c r="H611" s="218"/>
    </row>
    <row r="612" spans="1:8" x14ac:dyDescent="0.3">
      <c r="A612" s="213"/>
      <c r="B612" s="214"/>
      <c r="C612" s="252"/>
      <c r="D612" s="283"/>
      <c r="E612" s="284"/>
      <c r="F612" s="284"/>
      <c r="G612" s="214"/>
      <c r="H612" s="218"/>
    </row>
    <row r="613" spans="1:8" x14ac:dyDescent="0.3">
      <c r="A613" s="213"/>
      <c r="B613" s="214"/>
      <c r="C613" s="252"/>
      <c r="D613" s="283"/>
      <c r="E613" s="284"/>
      <c r="F613" s="284"/>
      <c r="G613" s="214"/>
      <c r="H613" s="218"/>
    </row>
    <row r="614" spans="1:8" x14ac:dyDescent="0.3">
      <c r="A614" s="213"/>
      <c r="B614" s="214"/>
      <c r="C614" s="252"/>
      <c r="D614" s="283"/>
      <c r="E614" s="284"/>
      <c r="F614" s="284"/>
      <c r="G614" s="214"/>
      <c r="H614" s="218"/>
    </row>
    <row r="615" spans="1:8" x14ac:dyDescent="0.3">
      <c r="A615" s="213"/>
      <c r="B615" s="214"/>
      <c r="C615" s="252"/>
      <c r="D615" s="283"/>
      <c r="E615" s="284"/>
      <c r="F615" s="284"/>
      <c r="G615" s="214"/>
      <c r="H615" s="218"/>
    </row>
    <row r="616" spans="1:8" x14ac:dyDescent="0.3">
      <c r="A616" s="213"/>
      <c r="B616" s="214"/>
      <c r="C616" s="252"/>
      <c r="D616" s="283"/>
      <c r="E616" s="284"/>
      <c r="F616" s="284"/>
      <c r="G616" s="214"/>
      <c r="H616" s="218"/>
    </row>
    <row r="617" spans="1:8" x14ac:dyDescent="0.3">
      <c r="A617" s="213"/>
      <c r="B617" s="214"/>
      <c r="C617" s="252"/>
      <c r="D617" s="283"/>
      <c r="E617" s="284"/>
      <c r="F617" s="284"/>
      <c r="G617" s="214"/>
      <c r="H617" s="218"/>
    </row>
    <row r="618" spans="1:8" x14ac:dyDescent="0.3">
      <c r="A618" s="213"/>
      <c r="B618" s="214"/>
      <c r="C618" s="252"/>
      <c r="D618" s="283"/>
      <c r="E618" s="284"/>
      <c r="F618" s="284"/>
      <c r="G618" s="214"/>
      <c r="H618" s="218"/>
    </row>
    <row r="619" spans="1:8" x14ac:dyDescent="0.3">
      <c r="A619" s="213"/>
      <c r="B619" s="214"/>
      <c r="C619" s="252"/>
      <c r="D619" s="283"/>
      <c r="E619" s="284"/>
      <c r="F619" s="284"/>
      <c r="G619" s="214"/>
      <c r="H619" s="218"/>
    </row>
    <row r="620" spans="1:8" x14ac:dyDescent="0.3">
      <c r="A620" s="213"/>
      <c r="B620" s="214"/>
      <c r="C620" s="252"/>
      <c r="D620" s="283"/>
      <c r="E620" s="284"/>
      <c r="F620" s="284"/>
      <c r="G620" s="214"/>
      <c r="H620" s="218"/>
    </row>
    <row r="621" spans="1:8" x14ac:dyDescent="0.3">
      <c r="A621" s="213"/>
      <c r="B621" s="214"/>
      <c r="C621" s="252"/>
      <c r="D621" s="283"/>
      <c r="E621" s="284"/>
      <c r="F621" s="284"/>
      <c r="G621" s="214"/>
      <c r="H621" s="218"/>
    </row>
    <row r="622" spans="1:8" x14ac:dyDescent="0.3">
      <c r="A622" s="213"/>
      <c r="B622" s="214"/>
      <c r="C622" s="252"/>
      <c r="D622" s="283"/>
      <c r="E622" s="284"/>
      <c r="F622" s="284"/>
      <c r="G622" s="214"/>
      <c r="H622" s="218"/>
    </row>
    <row r="623" spans="1:8" x14ac:dyDescent="0.3">
      <c r="A623" s="213"/>
      <c r="B623" s="214"/>
      <c r="C623" s="252"/>
      <c r="D623" s="283"/>
      <c r="E623" s="284"/>
      <c r="F623" s="284"/>
      <c r="G623" s="214"/>
      <c r="H623" s="218"/>
    </row>
    <row r="624" spans="1:8" x14ac:dyDescent="0.3">
      <c r="A624" s="213"/>
      <c r="B624" s="214"/>
      <c r="C624" s="252"/>
      <c r="D624" s="283"/>
      <c r="E624" s="284"/>
      <c r="F624" s="284"/>
      <c r="G624" s="214"/>
      <c r="H624" s="218"/>
    </row>
    <row r="625" spans="1:8" x14ac:dyDescent="0.3">
      <c r="A625" s="213"/>
      <c r="B625" s="214"/>
      <c r="C625" s="252"/>
      <c r="D625" s="283"/>
      <c r="E625" s="284"/>
      <c r="F625" s="284"/>
      <c r="G625" s="214"/>
      <c r="H625" s="218"/>
    </row>
    <row r="626" spans="1:8" x14ac:dyDescent="0.3">
      <c r="A626" s="213"/>
      <c r="B626" s="214"/>
      <c r="C626" s="252"/>
      <c r="D626" s="283"/>
      <c r="E626" s="284"/>
      <c r="F626" s="284"/>
      <c r="G626" s="214"/>
      <c r="H626" s="218"/>
    </row>
    <row r="627" spans="1:8" x14ac:dyDescent="0.3">
      <c r="A627" s="213"/>
      <c r="B627" s="214"/>
      <c r="C627" s="252"/>
      <c r="D627" s="283"/>
      <c r="E627" s="284"/>
      <c r="F627" s="284"/>
      <c r="G627" s="214"/>
      <c r="H627" s="218"/>
    </row>
    <row r="628" spans="1:8" x14ac:dyDescent="0.3">
      <c r="A628" s="213"/>
      <c r="B628" s="214"/>
      <c r="C628" s="252"/>
      <c r="D628" s="283"/>
      <c r="E628" s="284"/>
      <c r="F628" s="284"/>
      <c r="G628" s="214"/>
      <c r="H628" s="218"/>
    </row>
    <row r="629" spans="1:8" x14ac:dyDescent="0.3">
      <c r="A629" s="213"/>
      <c r="B629" s="214"/>
      <c r="C629" s="252"/>
      <c r="D629" s="283"/>
      <c r="E629" s="284"/>
      <c r="F629" s="284"/>
      <c r="G629" s="214"/>
      <c r="H629" s="218"/>
    </row>
    <row r="630" spans="1:8" x14ac:dyDescent="0.3">
      <c r="A630" s="213"/>
      <c r="B630" s="214"/>
      <c r="C630" s="252"/>
      <c r="D630" s="283"/>
      <c r="E630" s="284"/>
      <c r="F630" s="284"/>
      <c r="G630" s="214"/>
      <c r="H630" s="218"/>
    </row>
    <row r="631" spans="1:8" x14ac:dyDescent="0.3">
      <c r="A631" s="213"/>
      <c r="B631" s="214"/>
      <c r="C631" s="252"/>
      <c r="D631" s="283"/>
      <c r="E631" s="284"/>
      <c r="F631" s="284"/>
      <c r="G631" s="214"/>
      <c r="H631" s="218"/>
    </row>
    <row r="632" spans="1:8" x14ac:dyDescent="0.3">
      <c r="A632" s="213"/>
      <c r="B632" s="214"/>
      <c r="C632" s="252"/>
      <c r="D632" s="283"/>
      <c r="E632" s="284"/>
      <c r="F632" s="284"/>
      <c r="G632" s="214"/>
      <c r="H632" s="218"/>
    </row>
    <row r="633" spans="1:8" x14ac:dyDescent="0.3">
      <c r="A633" s="213"/>
      <c r="B633" s="214"/>
      <c r="C633" s="252"/>
      <c r="D633" s="283"/>
      <c r="E633" s="284"/>
      <c r="F633" s="284"/>
      <c r="G633" s="214"/>
      <c r="H633" s="218"/>
    </row>
    <row r="634" spans="1:8" x14ac:dyDescent="0.3">
      <c r="A634" s="213"/>
      <c r="B634" s="214"/>
      <c r="C634" s="252"/>
      <c r="D634" s="283"/>
      <c r="E634" s="284"/>
      <c r="F634" s="284"/>
      <c r="G634" s="214"/>
      <c r="H634" s="218"/>
    </row>
    <row r="635" spans="1:8" x14ac:dyDescent="0.3">
      <c r="A635" s="213"/>
      <c r="B635" s="214"/>
      <c r="C635" s="252"/>
      <c r="D635" s="283"/>
      <c r="E635" s="284"/>
      <c r="F635" s="284"/>
      <c r="G635" s="214"/>
      <c r="H635" s="218"/>
    </row>
    <row r="636" spans="1:8" x14ac:dyDescent="0.3">
      <c r="A636" s="213"/>
      <c r="B636" s="214"/>
      <c r="C636" s="252"/>
      <c r="D636" s="283"/>
      <c r="E636" s="284"/>
      <c r="F636" s="284"/>
      <c r="G636" s="214"/>
      <c r="H636" s="218"/>
    </row>
    <row r="637" spans="1:8" x14ac:dyDescent="0.3">
      <c r="A637" s="213"/>
      <c r="B637" s="214"/>
      <c r="C637" s="252"/>
      <c r="D637" s="283"/>
      <c r="E637" s="284"/>
      <c r="F637" s="284"/>
      <c r="G637" s="214"/>
      <c r="H637" s="218"/>
    </row>
    <row r="638" spans="1:8" x14ac:dyDescent="0.3">
      <c r="A638" s="213"/>
      <c r="B638" s="214"/>
      <c r="C638" s="252"/>
      <c r="D638" s="283"/>
      <c r="E638" s="284"/>
      <c r="F638" s="284"/>
      <c r="G638" s="214"/>
      <c r="H638" s="218"/>
    </row>
    <row r="639" spans="1:8" x14ac:dyDescent="0.3">
      <c r="A639" s="213"/>
      <c r="B639" s="214"/>
      <c r="C639" s="252"/>
      <c r="D639" s="283"/>
      <c r="E639" s="284"/>
      <c r="F639" s="284"/>
      <c r="G639" s="214"/>
      <c r="H639" s="218"/>
    </row>
    <row r="640" spans="1:8" x14ac:dyDescent="0.3">
      <c r="A640" s="213"/>
      <c r="B640" s="214"/>
      <c r="C640" s="252"/>
      <c r="D640" s="283"/>
      <c r="E640" s="284"/>
      <c r="F640" s="284"/>
      <c r="G640" s="214"/>
      <c r="H640" s="218"/>
    </row>
    <row r="641" spans="1:8" x14ac:dyDescent="0.3">
      <c r="A641" s="213"/>
      <c r="B641" s="214"/>
      <c r="C641" s="252"/>
      <c r="D641" s="283"/>
      <c r="E641" s="284"/>
      <c r="F641" s="284"/>
      <c r="G641" s="214"/>
      <c r="H641" s="218"/>
    </row>
    <row r="642" spans="1:8" x14ac:dyDescent="0.3">
      <c r="A642" s="213"/>
      <c r="B642" s="214"/>
      <c r="C642" s="252"/>
      <c r="D642" s="283"/>
      <c r="E642" s="284"/>
      <c r="F642" s="284"/>
      <c r="G642" s="214"/>
      <c r="H642" s="218"/>
    </row>
    <row r="643" spans="1:8" x14ac:dyDescent="0.3">
      <c r="A643" s="213"/>
      <c r="B643" s="214"/>
      <c r="C643" s="252"/>
      <c r="D643" s="283"/>
      <c r="E643" s="284"/>
      <c r="F643" s="284"/>
      <c r="G643" s="214"/>
      <c r="H643" s="218"/>
    </row>
    <row r="644" spans="1:8" x14ac:dyDescent="0.3">
      <c r="A644" s="213"/>
      <c r="B644" s="214"/>
      <c r="C644" s="252"/>
      <c r="D644" s="283"/>
      <c r="E644" s="284"/>
      <c r="F644" s="284"/>
      <c r="G644" s="214"/>
      <c r="H644" s="218"/>
    </row>
    <row r="645" spans="1:8" x14ac:dyDescent="0.3">
      <c r="A645" s="213"/>
      <c r="B645" s="214"/>
      <c r="C645" s="252"/>
      <c r="D645" s="283"/>
      <c r="E645" s="284"/>
      <c r="F645" s="284"/>
      <c r="G645" s="214"/>
      <c r="H645" s="218"/>
    </row>
    <row r="646" spans="1:8" x14ac:dyDescent="0.3">
      <c r="A646" s="213"/>
      <c r="B646" s="214"/>
      <c r="C646" s="252"/>
      <c r="D646" s="283"/>
      <c r="E646" s="284"/>
      <c r="F646" s="284"/>
      <c r="G646" s="214"/>
      <c r="H646" s="218"/>
    </row>
    <row r="647" spans="1:8" x14ac:dyDescent="0.3">
      <c r="A647" s="213"/>
      <c r="B647" s="214"/>
      <c r="C647" s="252"/>
      <c r="D647" s="283"/>
      <c r="E647" s="284"/>
      <c r="F647" s="284"/>
      <c r="G647" s="214"/>
      <c r="H647" s="218"/>
    </row>
    <row r="648" spans="1:8" x14ac:dyDescent="0.3">
      <c r="A648" s="213"/>
      <c r="B648" s="214"/>
      <c r="C648" s="252"/>
      <c r="D648" s="283"/>
      <c r="E648" s="284"/>
      <c r="F648" s="284"/>
      <c r="G648" s="214"/>
      <c r="H648" s="218"/>
    </row>
    <row r="649" spans="1:8" x14ac:dyDescent="0.3">
      <c r="A649" s="213"/>
      <c r="B649" s="214"/>
      <c r="C649" s="252"/>
      <c r="D649" s="283"/>
      <c r="E649" s="284"/>
      <c r="F649" s="284"/>
      <c r="G649" s="214"/>
      <c r="H649" s="218"/>
    </row>
    <row r="650" spans="1:8" x14ac:dyDescent="0.3">
      <c r="A650" s="213"/>
      <c r="B650" s="214"/>
      <c r="C650" s="252"/>
      <c r="D650" s="283"/>
      <c r="E650" s="284"/>
      <c r="F650" s="284"/>
      <c r="G650" s="214"/>
      <c r="H650" s="218"/>
    </row>
    <row r="651" spans="1:8" x14ac:dyDescent="0.3">
      <c r="A651" s="213"/>
      <c r="B651" s="214"/>
      <c r="C651" s="252"/>
      <c r="D651" s="283"/>
      <c r="E651" s="284"/>
      <c r="F651" s="284"/>
      <c r="G651" s="214"/>
      <c r="H651" s="218"/>
    </row>
    <row r="652" spans="1:8" x14ac:dyDescent="0.3">
      <c r="A652" s="213"/>
      <c r="B652" s="214"/>
      <c r="C652" s="252"/>
      <c r="D652" s="283"/>
      <c r="E652" s="284"/>
      <c r="F652" s="284"/>
      <c r="G652" s="214"/>
      <c r="H652" s="218"/>
    </row>
    <row r="653" spans="1:8" x14ac:dyDescent="0.3">
      <c r="A653" s="213"/>
      <c r="B653" s="214"/>
      <c r="C653" s="252"/>
      <c r="D653" s="283"/>
      <c r="E653" s="284"/>
      <c r="F653" s="284"/>
      <c r="G653" s="214"/>
      <c r="H653" s="218"/>
    </row>
    <row r="654" spans="1:8" x14ac:dyDescent="0.3">
      <c r="A654" s="213"/>
      <c r="B654" s="214"/>
      <c r="C654" s="252"/>
      <c r="D654" s="283"/>
      <c r="E654" s="284"/>
      <c r="F654" s="284"/>
      <c r="G654" s="214"/>
      <c r="H654" s="218"/>
    </row>
    <row r="655" spans="1:8" x14ac:dyDescent="0.3">
      <c r="A655" s="213"/>
      <c r="B655" s="214"/>
      <c r="C655" s="252"/>
      <c r="D655" s="283"/>
      <c r="E655" s="284"/>
      <c r="F655" s="284"/>
      <c r="G655" s="214"/>
      <c r="H655" s="218"/>
    </row>
    <row r="656" spans="1:8" x14ac:dyDescent="0.3">
      <c r="A656" s="213"/>
      <c r="B656" s="214"/>
      <c r="C656" s="252"/>
      <c r="D656" s="283"/>
      <c r="E656" s="284"/>
      <c r="F656" s="284"/>
      <c r="G656" s="214"/>
      <c r="H656" s="218"/>
    </row>
    <row r="657" spans="1:8" x14ac:dyDescent="0.3">
      <c r="A657" s="213"/>
      <c r="B657" s="214"/>
      <c r="C657" s="252"/>
      <c r="D657" s="283"/>
      <c r="E657" s="284"/>
      <c r="F657" s="284"/>
      <c r="G657" s="214"/>
      <c r="H657" s="218"/>
    </row>
    <row r="658" spans="1:8" x14ac:dyDescent="0.3">
      <c r="A658" s="213"/>
      <c r="B658" s="214"/>
      <c r="C658" s="252"/>
      <c r="D658" s="283"/>
      <c r="E658" s="284"/>
      <c r="F658" s="284"/>
      <c r="G658" s="214"/>
      <c r="H658" s="218"/>
    </row>
    <row r="659" spans="1:8" x14ac:dyDescent="0.3">
      <c r="A659" s="213"/>
      <c r="B659" s="214"/>
      <c r="C659" s="252"/>
      <c r="D659" s="283"/>
      <c r="E659" s="284"/>
      <c r="F659" s="284"/>
      <c r="G659" s="214"/>
      <c r="H659" s="218"/>
    </row>
    <row r="660" spans="1:8" x14ac:dyDescent="0.3">
      <c r="A660" s="213"/>
      <c r="B660" s="214"/>
      <c r="C660" s="252"/>
      <c r="D660" s="283"/>
      <c r="E660" s="284"/>
      <c r="F660" s="284"/>
      <c r="G660" s="214"/>
      <c r="H660" s="218"/>
    </row>
    <row r="661" spans="1:8" x14ac:dyDescent="0.3">
      <c r="A661" s="213"/>
      <c r="B661" s="214"/>
      <c r="C661" s="252"/>
      <c r="D661" s="283"/>
      <c r="E661" s="284"/>
      <c r="F661" s="284"/>
      <c r="G661" s="214"/>
      <c r="H661" s="218"/>
    </row>
    <row r="662" spans="1:8" x14ac:dyDescent="0.3">
      <c r="A662" s="213"/>
      <c r="B662" s="214"/>
      <c r="C662" s="252"/>
      <c r="D662" s="283"/>
      <c r="E662" s="284"/>
      <c r="F662" s="284"/>
      <c r="G662" s="214"/>
      <c r="H662" s="218"/>
    </row>
    <row r="663" spans="1:8" x14ac:dyDescent="0.3">
      <c r="A663" s="213"/>
      <c r="B663" s="214"/>
      <c r="C663" s="252"/>
      <c r="D663" s="283"/>
      <c r="E663" s="284"/>
      <c r="F663" s="284"/>
      <c r="G663" s="214"/>
      <c r="H663" s="218"/>
    </row>
    <row r="664" spans="1:8" x14ac:dyDescent="0.3">
      <c r="A664" s="213"/>
      <c r="B664" s="214"/>
      <c r="C664" s="252"/>
      <c r="D664" s="283"/>
      <c r="E664" s="284"/>
      <c r="F664" s="284"/>
      <c r="G664" s="214"/>
      <c r="H664" s="218"/>
    </row>
    <row r="665" spans="1:8" x14ac:dyDescent="0.3">
      <c r="A665" s="213"/>
      <c r="B665" s="214"/>
      <c r="C665" s="252"/>
      <c r="D665" s="283"/>
      <c r="E665" s="284"/>
      <c r="F665" s="284"/>
      <c r="G665" s="214"/>
      <c r="H665" s="218"/>
    </row>
    <row r="666" spans="1:8" x14ac:dyDescent="0.3">
      <c r="A666" s="213"/>
      <c r="B666" s="214"/>
      <c r="C666" s="252"/>
      <c r="D666" s="283"/>
      <c r="E666" s="284"/>
      <c r="F666" s="284"/>
      <c r="G666" s="214"/>
      <c r="H666" s="218"/>
    </row>
    <row r="667" spans="1:8" x14ac:dyDescent="0.3">
      <c r="A667" s="213"/>
      <c r="B667" s="214"/>
      <c r="C667" s="252"/>
      <c r="D667" s="283"/>
      <c r="E667" s="284"/>
      <c r="F667" s="284"/>
      <c r="G667" s="214"/>
      <c r="H667" s="218"/>
    </row>
    <row r="668" spans="1:8" x14ac:dyDescent="0.3">
      <c r="A668" s="213"/>
      <c r="B668" s="214"/>
      <c r="C668" s="252"/>
      <c r="D668" s="283"/>
      <c r="E668" s="284"/>
      <c r="F668" s="284"/>
      <c r="G668" s="214"/>
      <c r="H668" s="218"/>
    </row>
    <row r="669" spans="1:8" x14ac:dyDescent="0.3">
      <c r="A669" s="213"/>
      <c r="B669" s="214"/>
      <c r="C669" s="252"/>
      <c r="D669" s="283"/>
      <c r="E669" s="284"/>
      <c r="F669" s="284"/>
      <c r="G669" s="214"/>
      <c r="H669" s="218"/>
    </row>
    <row r="670" spans="1:8" x14ac:dyDescent="0.3">
      <c r="A670" s="213"/>
      <c r="B670" s="214"/>
      <c r="C670" s="252"/>
      <c r="D670" s="283"/>
      <c r="E670" s="284"/>
      <c r="F670" s="284"/>
      <c r="G670" s="214"/>
      <c r="H670" s="218"/>
    </row>
    <row r="671" spans="1:8" x14ac:dyDescent="0.3">
      <c r="A671" s="213"/>
      <c r="B671" s="214"/>
      <c r="C671" s="252"/>
      <c r="D671" s="283"/>
      <c r="E671" s="284"/>
      <c r="F671" s="284"/>
      <c r="G671" s="214"/>
      <c r="H671" s="218"/>
    </row>
    <row r="672" spans="1:8" x14ac:dyDescent="0.3">
      <c r="A672" s="213"/>
      <c r="B672" s="214"/>
      <c r="C672" s="252"/>
      <c r="D672" s="283"/>
      <c r="E672" s="284"/>
      <c r="F672" s="284"/>
      <c r="G672" s="214"/>
      <c r="H672" s="218"/>
    </row>
    <row r="673" spans="1:8" x14ac:dyDescent="0.3">
      <c r="A673" s="213"/>
      <c r="B673" s="214"/>
      <c r="C673" s="252"/>
      <c r="D673" s="283"/>
      <c r="E673" s="284"/>
      <c r="F673" s="284"/>
      <c r="G673" s="214"/>
      <c r="H673" s="218"/>
    </row>
    <row r="674" spans="1:8" x14ac:dyDescent="0.3">
      <c r="A674" s="213"/>
      <c r="B674" s="214"/>
      <c r="C674" s="252"/>
      <c r="D674" s="283"/>
      <c r="E674" s="284"/>
      <c r="F674" s="284"/>
      <c r="G674" s="214"/>
      <c r="H674" s="218"/>
    </row>
    <row r="675" spans="1:8" x14ac:dyDescent="0.3">
      <c r="A675" s="213"/>
      <c r="B675" s="214"/>
      <c r="C675" s="252"/>
      <c r="D675" s="283"/>
      <c r="E675" s="284"/>
      <c r="F675" s="284"/>
      <c r="G675" s="214"/>
      <c r="H675" s="218"/>
    </row>
    <row r="676" spans="1:8" x14ac:dyDescent="0.3">
      <c r="A676" s="213"/>
      <c r="B676" s="214"/>
      <c r="C676" s="252"/>
      <c r="D676" s="283"/>
      <c r="E676" s="284"/>
      <c r="F676" s="284"/>
      <c r="G676" s="214"/>
      <c r="H676" s="218"/>
    </row>
    <row r="677" spans="1:8" x14ac:dyDescent="0.3">
      <c r="A677" s="213"/>
      <c r="B677" s="214"/>
      <c r="C677" s="252"/>
      <c r="D677" s="283"/>
      <c r="E677" s="284"/>
      <c r="F677" s="284"/>
      <c r="G677" s="214"/>
      <c r="H677" s="218"/>
    </row>
    <row r="678" spans="1:8" x14ac:dyDescent="0.3">
      <c r="A678" s="213"/>
      <c r="B678" s="214"/>
      <c r="C678" s="252"/>
      <c r="D678" s="283"/>
      <c r="E678" s="284"/>
      <c r="F678" s="284"/>
      <c r="G678" s="214"/>
      <c r="H678" s="218"/>
    </row>
    <row r="679" spans="1:8" x14ac:dyDescent="0.3">
      <c r="A679" s="213"/>
      <c r="B679" s="214"/>
      <c r="C679" s="252"/>
      <c r="D679" s="283"/>
      <c r="E679" s="284"/>
      <c r="F679" s="284"/>
      <c r="G679" s="214"/>
      <c r="H679" s="218"/>
    </row>
    <row r="680" spans="1:8" x14ac:dyDescent="0.3">
      <c r="A680" s="213"/>
      <c r="B680" s="214"/>
      <c r="C680" s="252"/>
      <c r="D680" s="283"/>
      <c r="E680" s="284"/>
      <c r="F680" s="284"/>
      <c r="G680" s="214"/>
      <c r="H680" s="218"/>
    </row>
    <row r="681" spans="1:8" x14ac:dyDescent="0.3">
      <c r="A681" s="213"/>
      <c r="B681" s="214"/>
      <c r="C681" s="252"/>
      <c r="D681" s="283"/>
      <c r="E681" s="284"/>
      <c r="F681" s="284"/>
      <c r="G681" s="214"/>
      <c r="H681" s="218"/>
    </row>
    <row r="682" spans="1:8" x14ac:dyDescent="0.3">
      <c r="A682" s="213"/>
      <c r="B682" s="214"/>
      <c r="C682" s="252"/>
      <c r="D682" s="283"/>
      <c r="E682" s="284"/>
      <c r="F682" s="284"/>
      <c r="G682" s="214"/>
      <c r="H682" s="218"/>
    </row>
    <row r="683" spans="1:8" x14ac:dyDescent="0.3">
      <c r="A683" s="213"/>
      <c r="B683" s="214"/>
      <c r="C683" s="252"/>
      <c r="D683" s="283"/>
      <c r="E683" s="284"/>
      <c r="F683" s="284"/>
      <c r="G683" s="214"/>
      <c r="H683" s="218"/>
    </row>
    <row r="684" spans="1:8" x14ac:dyDescent="0.3">
      <c r="A684" s="213"/>
      <c r="B684" s="214"/>
      <c r="C684" s="252"/>
      <c r="D684" s="283"/>
      <c r="E684" s="284"/>
      <c r="F684" s="284"/>
      <c r="G684" s="214"/>
      <c r="H684" s="218"/>
    </row>
    <row r="685" spans="1:8" x14ac:dyDescent="0.3">
      <c r="A685" s="213"/>
      <c r="B685" s="214"/>
      <c r="C685" s="252"/>
      <c r="D685" s="283"/>
      <c r="E685" s="284"/>
      <c r="F685" s="284"/>
      <c r="G685" s="214"/>
      <c r="H685" s="218"/>
    </row>
    <row r="686" spans="1:8" x14ac:dyDescent="0.3">
      <c r="A686" s="213"/>
      <c r="B686" s="214"/>
      <c r="C686" s="252"/>
      <c r="D686" s="283"/>
      <c r="E686" s="284"/>
      <c r="F686" s="284"/>
      <c r="G686" s="214"/>
      <c r="H686" s="218"/>
    </row>
    <row r="687" spans="1:8" x14ac:dyDescent="0.3">
      <c r="A687" s="213"/>
      <c r="B687" s="214"/>
      <c r="C687" s="252"/>
      <c r="D687" s="283"/>
      <c r="E687" s="284"/>
      <c r="F687" s="284"/>
      <c r="G687" s="214"/>
      <c r="H687" s="218"/>
    </row>
    <row r="688" spans="1:8" x14ac:dyDescent="0.3">
      <c r="A688" s="213"/>
      <c r="B688" s="214"/>
      <c r="C688" s="252"/>
      <c r="D688" s="283"/>
      <c r="E688" s="284"/>
      <c r="F688" s="284"/>
      <c r="G688" s="214"/>
      <c r="H688" s="218"/>
    </row>
    <row r="689" spans="1:8" x14ac:dyDescent="0.3">
      <c r="A689" s="213"/>
      <c r="B689" s="214"/>
      <c r="C689" s="252"/>
      <c r="D689" s="283"/>
      <c r="E689" s="284"/>
      <c r="F689" s="284"/>
      <c r="G689" s="214"/>
      <c r="H689" s="218"/>
    </row>
    <row r="690" spans="1:8" x14ac:dyDescent="0.3">
      <c r="A690" s="213"/>
      <c r="B690" s="214"/>
      <c r="C690" s="252"/>
      <c r="D690" s="283"/>
      <c r="E690" s="284"/>
      <c r="F690" s="284"/>
      <c r="G690" s="214"/>
      <c r="H690" s="218"/>
    </row>
    <row r="691" spans="1:8" x14ac:dyDescent="0.3">
      <c r="A691" s="213"/>
      <c r="B691" s="214"/>
      <c r="C691" s="252"/>
      <c r="D691" s="283"/>
      <c r="E691" s="284"/>
      <c r="F691" s="284"/>
      <c r="G691" s="214"/>
      <c r="H691" s="218"/>
    </row>
    <row r="692" spans="1:8" x14ac:dyDescent="0.3">
      <c r="A692" s="213"/>
      <c r="B692" s="214"/>
      <c r="C692" s="252"/>
      <c r="D692" s="283"/>
      <c r="E692" s="284"/>
      <c r="F692" s="284"/>
      <c r="G692" s="214"/>
      <c r="H692" s="218"/>
    </row>
    <row r="693" spans="1:8" x14ac:dyDescent="0.3">
      <c r="A693" s="213"/>
      <c r="B693" s="214"/>
      <c r="C693" s="252"/>
      <c r="D693" s="283"/>
      <c r="E693" s="284"/>
      <c r="F693" s="284"/>
      <c r="G693" s="214"/>
      <c r="H693" s="218"/>
    </row>
    <row r="694" spans="1:8" x14ac:dyDescent="0.3">
      <c r="A694" s="213"/>
      <c r="B694" s="214"/>
      <c r="C694" s="252"/>
      <c r="D694" s="283"/>
      <c r="E694" s="284"/>
      <c r="F694" s="284"/>
      <c r="G694" s="214"/>
      <c r="H694" s="218"/>
    </row>
    <row r="695" spans="1:8" x14ac:dyDescent="0.3">
      <c r="A695" s="213"/>
      <c r="B695" s="214"/>
      <c r="C695" s="252"/>
      <c r="D695" s="283"/>
      <c r="E695" s="284"/>
      <c r="F695" s="284"/>
      <c r="G695" s="214"/>
      <c r="H695" s="218"/>
    </row>
    <row r="696" spans="1:8" x14ac:dyDescent="0.3">
      <c r="A696" s="213"/>
      <c r="B696" s="214"/>
      <c r="C696" s="252"/>
      <c r="D696" s="283"/>
      <c r="E696" s="284"/>
      <c r="F696" s="284"/>
      <c r="G696" s="214"/>
      <c r="H696" s="218"/>
    </row>
    <row r="697" spans="1:8" x14ac:dyDescent="0.3">
      <c r="A697" s="213"/>
      <c r="B697" s="214"/>
      <c r="C697" s="252"/>
      <c r="D697" s="283"/>
      <c r="E697" s="284"/>
      <c r="F697" s="284"/>
      <c r="G697" s="214"/>
      <c r="H697" s="218"/>
    </row>
    <row r="698" spans="1:8" x14ac:dyDescent="0.3">
      <c r="A698" s="213"/>
      <c r="B698" s="214"/>
      <c r="C698" s="252"/>
      <c r="D698" s="283"/>
      <c r="E698" s="284"/>
      <c r="F698" s="284"/>
      <c r="G698" s="214"/>
      <c r="H698" s="218"/>
    </row>
    <row r="699" spans="1:8" x14ac:dyDescent="0.3">
      <c r="A699" s="213"/>
      <c r="B699" s="214"/>
      <c r="C699" s="252"/>
      <c r="D699" s="283"/>
      <c r="E699" s="284"/>
      <c r="F699" s="284"/>
      <c r="G699" s="214"/>
      <c r="H699" s="218"/>
    </row>
    <row r="700" spans="1:8" x14ac:dyDescent="0.3">
      <c r="A700" s="213"/>
      <c r="B700" s="214"/>
      <c r="C700" s="252"/>
      <c r="D700" s="283"/>
      <c r="E700" s="284"/>
      <c r="F700" s="284"/>
      <c r="G700" s="214"/>
      <c r="H700" s="218"/>
    </row>
    <row r="701" spans="1:8" x14ac:dyDescent="0.3">
      <c r="A701" s="213"/>
      <c r="B701" s="214"/>
      <c r="C701" s="252"/>
      <c r="D701" s="283"/>
      <c r="E701" s="284"/>
      <c r="F701" s="284"/>
      <c r="G701" s="214"/>
      <c r="H701" s="218"/>
    </row>
    <row r="702" spans="1:8" x14ac:dyDescent="0.3">
      <c r="A702" s="213"/>
      <c r="B702" s="214"/>
      <c r="C702" s="252"/>
      <c r="D702" s="283"/>
      <c r="E702" s="284"/>
      <c r="F702" s="284"/>
      <c r="G702" s="214"/>
      <c r="H702" s="218"/>
    </row>
    <row r="703" spans="1:8" x14ac:dyDescent="0.3">
      <c r="A703" s="213"/>
      <c r="B703" s="214"/>
      <c r="C703" s="252"/>
      <c r="D703" s="283"/>
      <c r="E703" s="284"/>
      <c r="F703" s="284"/>
      <c r="G703" s="214"/>
      <c r="H703" s="218"/>
    </row>
    <row r="704" spans="1:8" x14ac:dyDescent="0.3">
      <c r="A704" s="213"/>
      <c r="B704" s="214"/>
      <c r="C704" s="252"/>
      <c r="D704" s="283"/>
      <c r="E704" s="284"/>
      <c r="F704" s="284"/>
      <c r="G704" s="214"/>
      <c r="H704" s="218"/>
    </row>
    <row r="705" spans="1:8" x14ac:dyDescent="0.3">
      <c r="A705" s="213"/>
      <c r="B705" s="214"/>
      <c r="C705" s="252"/>
      <c r="D705" s="283"/>
      <c r="E705" s="284"/>
      <c r="F705" s="284"/>
      <c r="G705" s="214"/>
      <c r="H705" s="218"/>
    </row>
    <row r="706" spans="1:8" x14ac:dyDescent="0.3">
      <c r="A706" s="213"/>
      <c r="B706" s="214"/>
      <c r="C706" s="252"/>
      <c r="D706" s="283"/>
      <c r="E706" s="284"/>
      <c r="F706" s="284"/>
      <c r="G706" s="214"/>
      <c r="H706" s="218"/>
    </row>
    <row r="707" spans="1:8" x14ac:dyDescent="0.3">
      <c r="A707" s="213"/>
      <c r="B707" s="214"/>
      <c r="C707" s="252"/>
      <c r="D707" s="283"/>
      <c r="E707" s="284"/>
      <c r="F707" s="284"/>
      <c r="G707" s="214"/>
      <c r="H707" s="218"/>
    </row>
    <row r="708" spans="1:8" x14ac:dyDescent="0.3">
      <c r="A708" s="213"/>
      <c r="B708" s="214"/>
      <c r="C708" s="252"/>
      <c r="D708" s="283"/>
      <c r="E708" s="284"/>
      <c r="F708" s="284"/>
      <c r="G708" s="214"/>
      <c r="H708" s="218"/>
    </row>
    <row r="709" spans="1:8" x14ac:dyDescent="0.3">
      <c r="A709" s="213"/>
      <c r="B709" s="214"/>
      <c r="C709" s="252"/>
      <c r="D709" s="283"/>
      <c r="E709" s="284"/>
      <c r="F709" s="284"/>
      <c r="G709" s="214"/>
      <c r="H709" s="218"/>
    </row>
    <row r="710" spans="1:8" x14ac:dyDescent="0.3">
      <c r="A710" s="213"/>
      <c r="B710" s="214"/>
      <c r="C710" s="252"/>
      <c r="D710" s="283"/>
      <c r="E710" s="284"/>
      <c r="F710" s="284"/>
      <c r="G710" s="214"/>
      <c r="H710" s="218"/>
    </row>
    <row r="711" spans="1:8" x14ac:dyDescent="0.3">
      <c r="A711" s="213"/>
      <c r="B711" s="214"/>
      <c r="C711" s="252"/>
      <c r="D711" s="283"/>
      <c r="E711" s="284"/>
      <c r="F711" s="284"/>
      <c r="G711" s="214"/>
      <c r="H711" s="218"/>
    </row>
    <row r="712" spans="1:8" x14ac:dyDescent="0.3">
      <c r="A712" s="213"/>
      <c r="B712" s="214"/>
      <c r="C712" s="252"/>
      <c r="D712" s="283"/>
      <c r="E712" s="284"/>
      <c r="F712" s="284"/>
      <c r="G712" s="214"/>
      <c r="H712" s="218"/>
    </row>
    <row r="713" spans="1:8" x14ac:dyDescent="0.3">
      <c r="A713" s="213"/>
      <c r="B713" s="214"/>
      <c r="C713" s="252"/>
      <c r="D713" s="283"/>
      <c r="E713" s="284"/>
      <c r="F713" s="284"/>
      <c r="G713" s="214"/>
      <c r="H713" s="218"/>
    </row>
    <row r="714" spans="1:8" x14ac:dyDescent="0.3">
      <c r="A714" s="213"/>
      <c r="B714" s="214"/>
      <c r="C714" s="252"/>
      <c r="D714" s="283"/>
      <c r="E714" s="284"/>
      <c r="F714" s="284"/>
      <c r="G714" s="214"/>
      <c r="H714" s="218"/>
    </row>
    <row r="715" spans="1:8" x14ac:dyDescent="0.3">
      <c r="A715" s="213"/>
      <c r="B715" s="214"/>
      <c r="C715" s="252"/>
      <c r="D715" s="283"/>
      <c r="E715" s="284"/>
      <c r="F715" s="284"/>
      <c r="G715" s="214"/>
      <c r="H715" s="218"/>
    </row>
    <row r="716" spans="1:8" x14ac:dyDescent="0.3">
      <c r="A716" s="213"/>
      <c r="B716" s="214"/>
      <c r="C716" s="252"/>
      <c r="D716" s="283"/>
      <c r="E716" s="284"/>
      <c r="F716" s="284"/>
      <c r="G716" s="214"/>
      <c r="H716" s="218"/>
    </row>
    <row r="717" spans="1:8" x14ac:dyDescent="0.3">
      <c r="A717" s="213"/>
      <c r="B717" s="214"/>
      <c r="C717" s="252"/>
      <c r="D717" s="283"/>
      <c r="E717" s="284"/>
      <c r="F717" s="284"/>
      <c r="G717" s="214"/>
      <c r="H717" s="218"/>
    </row>
    <row r="718" spans="1:8" x14ac:dyDescent="0.3">
      <c r="A718" s="213"/>
      <c r="B718" s="214"/>
      <c r="C718" s="252"/>
      <c r="D718" s="283"/>
      <c r="E718" s="284"/>
      <c r="F718" s="284"/>
      <c r="G718" s="214"/>
      <c r="H718" s="218"/>
    </row>
    <row r="719" spans="1:8" x14ac:dyDescent="0.3">
      <c r="A719" s="213"/>
      <c r="B719" s="214"/>
      <c r="C719" s="252"/>
      <c r="D719" s="283"/>
      <c r="E719" s="284"/>
      <c r="F719" s="284"/>
      <c r="G719" s="214"/>
      <c r="H719" s="218"/>
    </row>
    <row r="720" spans="1:8" x14ac:dyDescent="0.3">
      <c r="A720" s="213"/>
      <c r="B720" s="214"/>
      <c r="C720" s="252"/>
      <c r="D720" s="283"/>
      <c r="E720" s="284"/>
      <c r="F720" s="284"/>
      <c r="G720" s="214"/>
      <c r="H720" s="218"/>
    </row>
    <row r="721" spans="1:8" x14ac:dyDescent="0.3">
      <c r="A721" s="213"/>
      <c r="B721" s="214"/>
      <c r="C721" s="252"/>
      <c r="D721" s="283"/>
      <c r="E721" s="284"/>
      <c r="F721" s="284"/>
      <c r="G721" s="214"/>
      <c r="H721" s="218"/>
    </row>
    <row r="722" spans="1:8" x14ac:dyDescent="0.3">
      <c r="A722" s="213"/>
      <c r="B722" s="214"/>
      <c r="C722" s="252"/>
      <c r="D722" s="283"/>
      <c r="E722" s="284"/>
      <c r="F722" s="284"/>
      <c r="G722" s="214"/>
      <c r="H722" s="218"/>
    </row>
    <row r="723" spans="1:8" x14ac:dyDescent="0.3">
      <c r="A723" s="213"/>
      <c r="B723" s="214"/>
      <c r="C723" s="252"/>
      <c r="D723" s="283"/>
      <c r="E723" s="284"/>
      <c r="F723" s="284"/>
      <c r="G723" s="214"/>
      <c r="H723" s="218"/>
    </row>
    <row r="724" spans="1:8" x14ac:dyDescent="0.3">
      <c r="A724" s="213"/>
      <c r="B724" s="214"/>
      <c r="C724" s="252"/>
      <c r="D724" s="283"/>
      <c r="E724" s="284"/>
      <c r="F724" s="284"/>
      <c r="G724" s="214"/>
      <c r="H724" s="218"/>
    </row>
    <row r="725" spans="1:8" x14ac:dyDescent="0.3">
      <c r="A725" s="213"/>
      <c r="B725" s="214"/>
      <c r="C725" s="252"/>
      <c r="D725" s="283"/>
      <c r="E725" s="284"/>
      <c r="F725" s="284"/>
      <c r="G725" s="214"/>
      <c r="H725" s="218"/>
    </row>
    <row r="726" spans="1:8" x14ac:dyDescent="0.3">
      <c r="A726" s="213"/>
      <c r="B726" s="214"/>
      <c r="C726" s="252"/>
      <c r="D726" s="283"/>
      <c r="E726" s="284"/>
      <c r="F726" s="284"/>
      <c r="G726" s="214"/>
      <c r="H726" s="218"/>
    </row>
    <row r="727" spans="1:8" x14ac:dyDescent="0.3">
      <c r="A727" s="213"/>
      <c r="B727" s="214"/>
      <c r="C727" s="252"/>
      <c r="D727" s="283"/>
      <c r="E727" s="284"/>
      <c r="F727" s="284"/>
      <c r="G727" s="214"/>
      <c r="H727" s="218"/>
    </row>
    <row r="728" spans="1:8" x14ac:dyDescent="0.3">
      <c r="A728" s="213"/>
      <c r="B728" s="214"/>
      <c r="C728" s="252"/>
      <c r="D728" s="283"/>
      <c r="E728" s="284"/>
      <c r="F728" s="284"/>
      <c r="G728" s="214"/>
      <c r="H728" s="218"/>
    </row>
    <row r="729" spans="1:8" x14ac:dyDescent="0.3">
      <c r="A729" s="213"/>
      <c r="B729" s="214"/>
      <c r="C729" s="252"/>
      <c r="D729" s="283"/>
      <c r="E729" s="284"/>
      <c r="F729" s="284"/>
      <c r="G729" s="214"/>
      <c r="H729" s="218"/>
    </row>
    <row r="730" spans="1:8" x14ac:dyDescent="0.3">
      <c r="A730" s="213"/>
      <c r="B730" s="214"/>
      <c r="C730" s="252"/>
      <c r="D730" s="283"/>
      <c r="E730" s="284"/>
      <c r="F730" s="284"/>
      <c r="G730" s="214"/>
      <c r="H730" s="218"/>
    </row>
    <row r="731" spans="1:8" x14ac:dyDescent="0.3">
      <c r="A731" s="213"/>
      <c r="B731" s="214"/>
      <c r="C731" s="252"/>
      <c r="D731" s="283"/>
      <c r="E731" s="284"/>
      <c r="F731" s="284"/>
      <c r="G731" s="214"/>
      <c r="H731" s="218"/>
    </row>
    <row r="732" spans="1:8" x14ac:dyDescent="0.3">
      <c r="A732" s="213"/>
      <c r="B732" s="214"/>
      <c r="C732" s="252"/>
      <c r="D732" s="283"/>
      <c r="E732" s="284"/>
      <c r="F732" s="284"/>
      <c r="G732" s="214"/>
      <c r="H732" s="218"/>
    </row>
    <row r="733" spans="1:8" x14ac:dyDescent="0.3">
      <c r="A733" s="213"/>
      <c r="B733" s="214"/>
      <c r="C733" s="252"/>
      <c r="D733" s="283"/>
      <c r="E733" s="284"/>
      <c r="F733" s="284"/>
      <c r="G733" s="214"/>
      <c r="H733" s="218"/>
    </row>
    <row r="734" spans="1:8" x14ac:dyDescent="0.3">
      <c r="A734" s="213"/>
      <c r="B734" s="214"/>
      <c r="C734" s="252"/>
      <c r="D734" s="283"/>
      <c r="E734" s="284"/>
      <c r="F734" s="284"/>
      <c r="G734" s="214"/>
      <c r="H734" s="218"/>
    </row>
    <row r="735" spans="1:8" x14ac:dyDescent="0.3">
      <c r="A735" s="213"/>
      <c r="B735" s="214"/>
      <c r="C735" s="252"/>
      <c r="D735" s="283"/>
      <c r="E735" s="284"/>
      <c r="F735" s="284"/>
      <c r="G735" s="214"/>
      <c r="H735" s="218"/>
    </row>
    <row r="736" spans="1:8" x14ac:dyDescent="0.3">
      <c r="A736" s="213"/>
      <c r="B736" s="214"/>
      <c r="C736" s="252"/>
      <c r="D736" s="283"/>
      <c r="E736" s="284"/>
      <c r="F736" s="284"/>
      <c r="G736" s="214"/>
      <c r="H736" s="218"/>
    </row>
    <row r="737" spans="1:8" x14ac:dyDescent="0.3">
      <c r="A737" s="213"/>
      <c r="B737" s="214"/>
      <c r="C737" s="252"/>
      <c r="D737" s="283"/>
      <c r="E737" s="284"/>
      <c r="F737" s="284"/>
      <c r="G737" s="214"/>
      <c r="H737" s="218"/>
    </row>
    <row r="738" spans="1:8" x14ac:dyDescent="0.3">
      <c r="A738" s="213"/>
      <c r="B738" s="214"/>
      <c r="C738" s="252"/>
      <c r="D738" s="283"/>
      <c r="E738" s="284"/>
      <c r="F738" s="284"/>
      <c r="G738" s="214"/>
      <c r="H738" s="218"/>
    </row>
    <row r="739" spans="1:8" x14ac:dyDescent="0.3">
      <c r="A739" s="213"/>
      <c r="B739" s="214"/>
      <c r="C739" s="252"/>
      <c r="D739" s="283"/>
      <c r="E739" s="284"/>
      <c r="F739" s="284"/>
      <c r="G739" s="214"/>
      <c r="H739" s="218"/>
    </row>
    <row r="740" spans="1:8" x14ac:dyDescent="0.3">
      <c r="A740" s="213"/>
      <c r="B740" s="214"/>
      <c r="C740" s="252"/>
      <c r="D740" s="283"/>
      <c r="E740" s="284"/>
      <c r="F740" s="284"/>
      <c r="G740" s="214"/>
      <c r="H740" s="218"/>
    </row>
    <row r="741" spans="1:8" x14ac:dyDescent="0.3">
      <c r="A741" s="213"/>
      <c r="B741" s="214"/>
      <c r="C741" s="252"/>
      <c r="D741" s="283"/>
      <c r="E741" s="284"/>
      <c r="F741" s="284"/>
      <c r="G741" s="214"/>
      <c r="H741" s="218"/>
    </row>
    <row r="742" spans="1:8" x14ac:dyDescent="0.3">
      <c r="A742" s="213"/>
      <c r="B742" s="214"/>
      <c r="C742" s="252"/>
      <c r="D742" s="283"/>
      <c r="E742" s="284"/>
      <c r="F742" s="284"/>
      <c r="G742" s="214"/>
      <c r="H742" s="218"/>
    </row>
    <row r="743" spans="1:8" x14ac:dyDescent="0.3">
      <c r="A743" s="213"/>
      <c r="B743" s="214"/>
      <c r="C743" s="252"/>
      <c r="D743" s="283"/>
      <c r="E743" s="284"/>
      <c r="F743" s="284"/>
      <c r="G743" s="214"/>
      <c r="H743" s="218"/>
    </row>
    <row r="744" spans="1:8" x14ac:dyDescent="0.3">
      <c r="A744" s="213"/>
      <c r="B744" s="214"/>
      <c r="C744" s="252"/>
      <c r="D744" s="283"/>
      <c r="E744" s="284"/>
      <c r="F744" s="284"/>
      <c r="G744" s="214"/>
      <c r="H744" s="218"/>
    </row>
    <row r="745" spans="1:8" x14ac:dyDescent="0.3">
      <c r="A745" s="213"/>
      <c r="B745" s="214"/>
      <c r="C745" s="252"/>
      <c r="D745" s="283"/>
      <c r="E745" s="284"/>
      <c r="F745" s="284"/>
      <c r="G745" s="214"/>
      <c r="H745" s="218"/>
    </row>
    <row r="746" spans="1:8" x14ac:dyDescent="0.3">
      <c r="A746" s="213"/>
      <c r="B746" s="214"/>
      <c r="C746" s="252"/>
      <c r="D746" s="283"/>
      <c r="E746" s="284"/>
      <c r="F746" s="284"/>
      <c r="G746" s="214"/>
      <c r="H746" s="218"/>
    </row>
    <row r="747" spans="1:8" x14ac:dyDescent="0.3">
      <c r="A747" s="213"/>
      <c r="B747" s="214"/>
      <c r="C747" s="252"/>
      <c r="D747" s="283"/>
      <c r="E747" s="284"/>
      <c r="F747" s="284"/>
      <c r="G747" s="214"/>
      <c r="H747" s="218"/>
    </row>
    <row r="748" spans="1:8" x14ac:dyDescent="0.3">
      <c r="A748" s="213"/>
      <c r="B748" s="214"/>
      <c r="C748" s="252"/>
      <c r="D748" s="283"/>
      <c r="E748" s="284"/>
      <c r="F748" s="284"/>
      <c r="G748" s="214"/>
      <c r="H748" s="218"/>
    </row>
    <row r="749" spans="1:8" x14ac:dyDescent="0.3">
      <c r="A749" s="213"/>
      <c r="B749" s="214"/>
      <c r="C749" s="252"/>
      <c r="D749" s="283"/>
      <c r="E749" s="284"/>
      <c r="F749" s="284"/>
      <c r="G749" s="214"/>
      <c r="H749" s="218"/>
    </row>
    <row r="750" spans="1:8" x14ac:dyDescent="0.3">
      <c r="A750" s="213"/>
      <c r="B750" s="214"/>
      <c r="C750" s="252"/>
      <c r="D750" s="283"/>
      <c r="E750" s="284"/>
      <c r="F750" s="284"/>
      <c r="G750" s="214"/>
      <c r="H750" s="218"/>
    </row>
    <row r="751" spans="1:8" x14ac:dyDescent="0.3">
      <c r="A751" s="213"/>
      <c r="B751" s="214"/>
      <c r="C751" s="252"/>
      <c r="D751" s="283"/>
      <c r="E751" s="284"/>
      <c r="F751" s="284"/>
      <c r="G751" s="214"/>
      <c r="H751" s="218"/>
    </row>
    <row r="752" spans="1:8" x14ac:dyDescent="0.3">
      <c r="A752" s="213"/>
      <c r="B752" s="214"/>
      <c r="C752" s="252"/>
      <c r="D752" s="283"/>
      <c r="E752" s="284"/>
      <c r="F752" s="284"/>
      <c r="G752" s="214"/>
      <c r="H752" s="218"/>
    </row>
    <row r="753" spans="1:8" x14ac:dyDescent="0.3">
      <c r="A753" s="213"/>
      <c r="B753" s="214"/>
      <c r="C753" s="252"/>
      <c r="D753" s="283"/>
      <c r="E753" s="284"/>
      <c r="F753" s="284"/>
      <c r="G753" s="214"/>
      <c r="H753" s="218"/>
    </row>
    <row r="754" spans="1:8" x14ac:dyDescent="0.3">
      <c r="A754" s="213"/>
      <c r="B754" s="214"/>
      <c r="C754" s="252"/>
      <c r="D754" s="283"/>
      <c r="E754" s="284"/>
      <c r="F754" s="284"/>
      <c r="G754" s="214"/>
      <c r="H754" s="218"/>
    </row>
    <row r="755" spans="1:8" x14ac:dyDescent="0.3">
      <c r="A755" s="213"/>
      <c r="B755" s="214"/>
      <c r="C755" s="252"/>
      <c r="D755" s="283"/>
      <c r="E755" s="284"/>
      <c r="F755" s="284"/>
      <c r="G755" s="214"/>
      <c r="H755" s="218"/>
    </row>
    <row r="756" spans="1:8" x14ac:dyDescent="0.3">
      <c r="A756" s="213"/>
      <c r="B756" s="214"/>
      <c r="C756" s="252"/>
      <c r="D756" s="283"/>
      <c r="E756" s="284"/>
      <c r="F756" s="284"/>
      <c r="G756" s="214"/>
      <c r="H756" s="218"/>
    </row>
    <row r="757" spans="1:8" x14ac:dyDescent="0.3">
      <c r="A757" s="213"/>
      <c r="B757" s="214"/>
      <c r="C757" s="252"/>
      <c r="D757" s="283"/>
      <c r="E757" s="284"/>
      <c r="F757" s="284"/>
      <c r="G757" s="214"/>
      <c r="H757" s="218"/>
    </row>
    <row r="758" spans="1:8" x14ac:dyDescent="0.3">
      <c r="A758" s="213"/>
      <c r="B758" s="214"/>
      <c r="C758" s="252"/>
      <c r="D758" s="283"/>
      <c r="E758" s="284"/>
      <c r="F758" s="284"/>
      <c r="G758" s="214"/>
      <c r="H758" s="218"/>
    </row>
    <row r="759" spans="1:8" x14ac:dyDescent="0.3">
      <c r="A759" s="213"/>
      <c r="B759" s="214"/>
      <c r="C759" s="252"/>
      <c r="D759" s="283"/>
      <c r="E759" s="284"/>
      <c r="F759" s="284"/>
      <c r="G759" s="214"/>
      <c r="H759" s="218"/>
    </row>
    <row r="760" spans="1:8" x14ac:dyDescent="0.3">
      <c r="A760" s="213"/>
      <c r="B760" s="214"/>
      <c r="C760" s="252"/>
      <c r="D760" s="283"/>
      <c r="E760" s="284"/>
      <c r="F760" s="284"/>
      <c r="G760" s="214"/>
      <c r="H760" s="218"/>
    </row>
    <row r="761" spans="1:8" x14ac:dyDescent="0.3">
      <c r="A761" s="213"/>
      <c r="B761" s="214"/>
      <c r="C761" s="252"/>
      <c r="D761" s="283"/>
      <c r="E761" s="284"/>
      <c r="F761" s="284"/>
      <c r="G761" s="214"/>
      <c r="H761" s="218"/>
    </row>
    <row r="762" spans="1:8" x14ac:dyDescent="0.3">
      <c r="A762" s="213"/>
      <c r="B762" s="214"/>
      <c r="C762" s="252"/>
      <c r="D762" s="283"/>
      <c r="E762" s="284"/>
      <c r="F762" s="284"/>
      <c r="G762" s="214"/>
      <c r="H762" s="218"/>
    </row>
    <row r="763" spans="1:8" x14ac:dyDescent="0.3">
      <c r="A763" s="213"/>
      <c r="B763" s="214"/>
      <c r="C763" s="252"/>
      <c r="D763" s="283"/>
      <c r="E763" s="284"/>
      <c r="F763" s="284"/>
      <c r="G763" s="214"/>
      <c r="H763" s="218"/>
    </row>
    <row r="764" spans="1:8" x14ac:dyDescent="0.3">
      <c r="A764" s="213"/>
      <c r="B764" s="214"/>
      <c r="C764" s="252"/>
      <c r="D764" s="283"/>
      <c r="E764" s="284"/>
      <c r="F764" s="284"/>
      <c r="G764" s="214"/>
      <c r="H764" s="218"/>
    </row>
    <row r="765" spans="1:8" x14ac:dyDescent="0.3">
      <c r="A765" s="213"/>
      <c r="B765" s="214"/>
      <c r="C765" s="252"/>
      <c r="D765" s="283"/>
      <c r="E765" s="284"/>
      <c r="F765" s="284"/>
      <c r="G765" s="214"/>
      <c r="H765" s="218"/>
    </row>
    <row r="766" spans="1:8" x14ac:dyDescent="0.3">
      <c r="A766" s="213"/>
      <c r="B766" s="214"/>
      <c r="C766" s="252"/>
      <c r="D766" s="283"/>
      <c r="E766" s="284"/>
      <c r="F766" s="284"/>
      <c r="G766" s="214"/>
      <c r="H766" s="218"/>
    </row>
    <row r="767" spans="1:8" x14ac:dyDescent="0.3">
      <c r="A767" s="213"/>
      <c r="B767" s="214"/>
      <c r="C767" s="252"/>
      <c r="D767" s="283"/>
      <c r="E767" s="284"/>
      <c r="F767" s="284"/>
      <c r="G767" s="214"/>
      <c r="H767" s="218"/>
    </row>
    <row r="768" spans="1:8" x14ac:dyDescent="0.3">
      <c r="A768" s="213"/>
      <c r="B768" s="214"/>
      <c r="C768" s="252"/>
      <c r="D768" s="283"/>
      <c r="E768" s="284"/>
      <c r="F768" s="284"/>
      <c r="G768" s="214"/>
      <c r="H768" s="218"/>
    </row>
    <row r="769" spans="1:8" x14ac:dyDescent="0.3">
      <c r="A769" s="213"/>
      <c r="B769" s="214"/>
      <c r="C769" s="252"/>
      <c r="D769" s="283"/>
      <c r="E769" s="284"/>
      <c r="F769" s="284"/>
      <c r="G769" s="214"/>
      <c r="H769" s="218"/>
    </row>
    <row r="770" spans="1:8" x14ac:dyDescent="0.3">
      <c r="A770" s="213"/>
      <c r="B770" s="214"/>
      <c r="C770" s="252"/>
      <c r="D770" s="283"/>
      <c r="E770" s="284"/>
      <c r="F770" s="284"/>
      <c r="G770" s="214"/>
      <c r="H770" s="218"/>
    </row>
    <row r="771" spans="1:8" x14ac:dyDescent="0.3">
      <c r="A771" s="213"/>
      <c r="B771" s="214"/>
      <c r="C771" s="252"/>
      <c r="D771" s="283"/>
      <c r="E771" s="284"/>
      <c r="F771" s="284"/>
      <c r="G771" s="214"/>
      <c r="H771" s="218"/>
    </row>
    <row r="772" spans="1:8" x14ac:dyDescent="0.3">
      <c r="A772" s="213"/>
      <c r="B772" s="214"/>
      <c r="C772" s="252"/>
      <c r="D772" s="283"/>
      <c r="E772" s="284"/>
      <c r="F772" s="284"/>
      <c r="G772" s="214"/>
      <c r="H772" s="218"/>
    </row>
    <row r="773" spans="1:8" x14ac:dyDescent="0.3">
      <c r="A773" s="213"/>
      <c r="B773" s="214"/>
      <c r="C773" s="252"/>
      <c r="D773" s="283"/>
      <c r="E773" s="284"/>
      <c r="F773" s="284"/>
      <c r="G773" s="214"/>
      <c r="H773" s="218"/>
    </row>
    <row r="774" spans="1:8" x14ac:dyDescent="0.3">
      <c r="A774" s="213"/>
      <c r="B774" s="214"/>
      <c r="C774" s="252"/>
      <c r="D774" s="283"/>
      <c r="E774" s="284"/>
      <c r="F774" s="284"/>
      <c r="G774" s="214"/>
      <c r="H774" s="218"/>
    </row>
    <row r="775" spans="1:8" x14ac:dyDescent="0.3">
      <c r="A775" s="213"/>
      <c r="B775" s="214"/>
      <c r="C775" s="252"/>
      <c r="D775" s="283"/>
      <c r="E775" s="284"/>
      <c r="F775" s="284"/>
      <c r="G775" s="214"/>
      <c r="H775" s="218"/>
    </row>
    <row r="776" spans="1:8" x14ac:dyDescent="0.3">
      <c r="A776" s="213"/>
      <c r="B776" s="214"/>
      <c r="C776" s="252"/>
      <c r="D776" s="283"/>
      <c r="E776" s="284"/>
      <c r="F776" s="284"/>
      <c r="G776" s="214"/>
      <c r="H776" s="218"/>
    </row>
    <row r="777" spans="1:8" x14ac:dyDescent="0.3">
      <c r="A777" s="213"/>
      <c r="B777" s="214"/>
      <c r="C777" s="252"/>
      <c r="D777" s="283"/>
      <c r="E777" s="284"/>
      <c r="F777" s="284"/>
      <c r="G777" s="214"/>
      <c r="H777" s="218"/>
    </row>
    <row r="778" spans="1:8" x14ac:dyDescent="0.3">
      <c r="A778" s="213"/>
      <c r="B778" s="214"/>
      <c r="C778" s="252"/>
      <c r="D778" s="283"/>
      <c r="E778" s="284"/>
      <c r="F778" s="284"/>
      <c r="G778" s="214"/>
      <c r="H778" s="218"/>
    </row>
    <row r="779" spans="1:8" x14ac:dyDescent="0.3">
      <c r="A779" s="213"/>
      <c r="B779" s="214"/>
      <c r="C779" s="252"/>
      <c r="D779" s="283"/>
      <c r="E779" s="284"/>
      <c r="F779" s="284"/>
      <c r="G779" s="214"/>
      <c r="H779" s="218"/>
    </row>
    <row r="780" spans="1:8" x14ac:dyDescent="0.3">
      <c r="A780" s="213"/>
      <c r="B780" s="214"/>
      <c r="C780" s="252"/>
      <c r="D780" s="283"/>
      <c r="E780" s="284"/>
      <c r="F780" s="284"/>
      <c r="G780" s="214"/>
      <c r="H780" s="218"/>
    </row>
    <row r="781" spans="1:8" x14ac:dyDescent="0.3">
      <c r="A781" s="213"/>
      <c r="B781" s="214"/>
      <c r="C781" s="252"/>
      <c r="D781" s="283"/>
      <c r="E781" s="284"/>
      <c r="F781" s="284"/>
      <c r="G781" s="214"/>
      <c r="H781" s="218"/>
    </row>
    <row r="782" spans="1:8" x14ac:dyDescent="0.3">
      <c r="A782" s="213"/>
      <c r="B782" s="214"/>
      <c r="C782" s="252"/>
      <c r="D782" s="283"/>
      <c r="E782" s="284"/>
      <c r="F782" s="284"/>
      <c r="G782" s="214"/>
      <c r="H782" s="218"/>
    </row>
    <row r="783" spans="1:8" x14ac:dyDescent="0.3">
      <c r="A783" s="213"/>
      <c r="B783" s="214"/>
      <c r="C783" s="252"/>
      <c r="D783" s="283"/>
      <c r="E783" s="284"/>
      <c r="F783" s="284"/>
      <c r="G783" s="214"/>
      <c r="H783" s="218"/>
    </row>
    <row r="784" spans="1:8" x14ac:dyDescent="0.3">
      <c r="A784" s="213"/>
      <c r="B784" s="214"/>
      <c r="C784" s="252"/>
      <c r="D784" s="283"/>
      <c r="E784" s="284"/>
      <c r="F784" s="284"/>
      <c r="G784" s="214"/>
      <c r="H784" s="218"/>
    </row>
    <row r="785" spans="1:8" x14ac:dyDescent="0.3">
      <c r="A785" s="213"/>
      <c r="B785" s="214"/>
      <c r="C785" s="252"/>
      <c r="D785" s="283"/>
      <c r="E785" s="284"/>
      <c r="F785" s="284"/>
      <c r="G785" s="214"/>
      <c r="H785" s="218"/>
    </row>
    <row r="786" spans="1:8" x14ac:dyDescent="0.3">
      <c r="A786" s="213"/>
      <c r="B786" s="214"/>
      <c r="C786" s="252"/>
      <c r="D786" s="283"/>
      <c r="E786" s="284"/>
      <c r="F786" s="284"/>
      <c r="G786" s="214"/>
      <c r="H786" s="218"/>
    </row>
    <row r="787" spans="1:8" x14ac:dyDescent="0.3">
      <c r="A787" s="213"/>
      <c r="B787" s="214"/>
      <c r="C787" s="252"/>
      <c r="D787" s="283"/>
      <c r="E787" s="284"/>
      <c r="F787" s="284"/>
      <c r="G787" s="214"/>
      <c r="H787" s="218"/>
    </row>
    <row r="788" spans="1:8" x14ac:dyDescent="0.3">
      <c r="A788" s="213"/>
      <c r="B788" s="214"/>
      <c r="C788" s="252"/>
      <c r="D788" s="283"/>
      <c r="E788" s="284"/>
      <c r="F788" s="284"/>
      <c r="G788" s="214"/>
      <c r="H788" s="218"/>
    </row>
    <row r="789" spans="1:8" x14ac:dyDescent="0.3">
      <c r="A789" s="213"/>
      <c r="B789" s="214"/>
      <c r="C789" s="252"/>
      <c r="D789" s="283"/>
      <c r="E789" s="284"/>
      <c r="F789" s="284"/>
      <c r="G789" s="214"/>
      <c r="H789" s="218"/>
    </row>
    <row r="790" spans="1:8" x14ac:dyDescent="0.3">
      <c r="A790" s="213"/>
      <c r="B790" s="214"/>
      <c r="C790" s="252"/>
      <c r="D790" s="283"/>
      <c r="E790" s="284"/>
      <c r="F790" s="284"/>
      <c r="G790" s="214"/>
      <c r="H790" s="218"/>
    </row>
    <row r="791" spans="1:8" x14ac:dyDescent="0.3">
      <c r="A791" s="213"/>
      <c r="B791" s="214"/>
      <c r="C791" s="252"/>
      <c r="D791" s="283"/>
      <c r="E791" s="284"/>
      <c r="F791" s="284"/>
      <c r="G791" s="214"/>
      <c r="H791" s="218"/>
    </row>
    <row r="792" spans="1:8" x14ac:dyDescent="0.3">
      <c r="A792" s="213"/>
      <c r="B792" s="214"/>
      <c r="C792" s="252"/>
      <c r="D792" s="283"/>
      <c r="E792" s="284"/>
      <c r="F792" s="284"/>
      <c r="G792" s="214"/>
      <c r="H792" s="218"/>
    </row>
    <row r="793" spans="1:8" x14ac:dyDescent="0.3">
      <c r="A793" s="213"/>
      <c r="B793" s="214"/>
      <c r="C793" s="252"/>
      <c r="D793" s="283"/>
      <c r="E793" s="284"/>
      <c r="F793" s="284"/>
      <c r="G793" s="214"/>
      <c r="H793" s="218"/>
    </row>
    <row r="794" spans="1:8" x14ac:dyDescent="0.3">
      <c r="A794" s="213"/>
      <c r="B794" s="214"/>
      <c r="C794" s="252"/>
      <c r="D794" s="283"/>
      <c r="E794" s="284"/>
      <c r="F794" s="284"/>
      <c r="G794" s="214"/>
      <c r="H794" s="218"/>
    </row>
    <row r="795" spans="1:8" x14ac:dyDescent="0.3">
      <c r="A795" s="213"/>
      <c r="B795" s="214"/>
      <c r="C795" s="252"/>
      <c r="D795" s="283"/>
      <c r="E795" s="284"/>
      <c r="F795" s="284"/>
      <c r="G795" s="214"/>
      <c r="H795" s="218"/>
    </row>
    <row r="796" spans="1:8" x14ac:dyDescent="0.3">
      <c r="A796" s="213"/>
      <c r="B796" s="214"/>
      <c r="C796" s="252"/>
      <c r="D796" s="283"/>
      <c r="E796" s="284"/>
      <c r="F796" s="284"/>
      <c r="G796" s="214"/>
      <c r="H796" s="218"/>
    </row>
    <row r="797" spans="1:8" x14ac:dyDescent="0.3">
      <c r="A797" s="213"/>
      <c r="B797" s="214"/>
      <c r="C797" s="252"/>
      <c r="D797" s="283"/>
      <c r="E797" s="284"/>
      <c r="F797" s="284"/>
      <c r="G797" s="214"/>
      <c r="H797" s="218"/>
    </row>
    <row r="798" spans="1:8" x14ac:dyDescent="0.3">
      <c r="A798" s="213"/>
      <c r="B798" s="214"/>
      <c r="C798" s="252"/>
      <c r="D798" s="283"/>
      <c r="E798" s="284"/>
      <c r="F798" s="284"/>
      <c r="G798" s="214"/>
      <c r="H798" s="218"/>
    </row>
    <row r="799" spans="1:8" x14ac:dyDescent="0.3">
      <c r="A799" s="213"/>
      <c r="B799" s="214"/>
      <c r="C799" s="252"/>
      <c r="D799" s="283"/>
      <c r="E799" s="284"/>
      <c r="F799" s="284"/>
      <c r="G799" s="214"/>
      <c r="H799" s="218"/>
    </row>
    <row r="800" spans="1:8" x14ac:dyDescent="0.3">
      <c r="A800" s="213"/>
      <c r="B800" s="214"/>
      <c r="C800" s="252"/>
      <c r="D800" s="283"/>
      <c r="E800" s="284"/>
      <c r="F800" s="284"/>
      <c r="G800" s="214"/>
      <c r="H800" s="218"/>
    </row>
    <row r="801" spans="1:8" x14ac:dyDescent="0.3">
      <c r="A801" s="213"/>
      <c r="B801" s="214"/>
      <c r="C801" s="252"/>
      <c r="D801" s="283"/>
      <c r="E801" s="284"/>
      <c r="F801" s="284"/>
      <c r="G801" s="214"/>
      <c r="H801" s="218"/>
    </row>
    <row r="802" spans="1:8" x14ac:dyDescent="0.3">
      <c r="A802" s="213"/>
      <c r="B802" s="214"/>
      <c r="C802" s="252"/>
      <c r="D802" s="283"/>
      <c r="E802" s="284"/>
      <c r="F802" s="284"/>
      <c r="G802" s="214"/>
      <c r="H802" s="218"/>
    </row>
    <row r="803" spans="1:8" x14ac:dyDescent="0.3">
      <c r="A803" s="213"/>
      <c r="B803" s="214"/>
      <c r="C803" s="252"/>
      <c r="D803" s="283"/>
      <c r="E803" s="284"/>
      <c r="F803" s="284"/>
      <c r="G803" s="214"/>
      <c r="H803" s="218"/>
    </row>
    <row r="804" spans="1:8" x14ac:dyDescent="0.3">
      <c r="A804" s="213"/>
      <c r="B804" s="214"/>
      <c r="C804" s="252"/>
      <c r="D804" s="283"/>
      <c r="E804" s="284"/>
      <c r="F804" s="284"/>
      <c r="G804" s="214"/>
      <c r="H804" s="218"/>
    </row>
    <row r="805" spans="1:8" x14ac:dyDescent="0.3">
      <c r="A805" s="213"/>
      <c r="B805" s="214"/>
      <c r="C805" s="252"/>
      <c r="D805" s="283"/>
      <c r="E805" s="284"/>
      <c r="F805" s="284"/>
      <c r="G805" s="214"/>
      <c r="H805" s="218"/>
    </row>
    <row r="806" spans="1:8" x14ac:dyDescent="0.3">
      <c r="A806" s="213"/>
      <c r="B806" s="214"/>
      <c r="C806" s="252"/>
      <c r="D806" s="283"/>
      <c r="E806" s="284"/>
      <c r="F806" s="284"/>
      <c r="G806" s="214"/>
      <c r="H806" s="218"/>
    </row>
    <row r="807" spans="1:8" x14ac:dyDescent="0.3">
      <c r="A807" s="213"/>
      <c r="B807" s="214"/>
      <c r="C807" s="252"/>
      <c r="D807" s="283"/>
      <c r="E807" s="284"/>
      <c r="F807" s="284"/>
      <c r="G807" s="214"/>
      <c r="H807" s="218"/>
    </row>
    <row r="808" spans="1:8" x14ac:dyDescent="0.3">
      <c r="A808" s="213"/>
      <c r="B808" s="214"/>
      <c r="C808" s="252"/>
      <c r="D808" s="283"/>
      <c r="E808" s="284"/>
      <c r="F808" s="284"/>
      <c r="G808" s="214"/>
      <c r="H808" s="218"/>
    </row>
    <row r="809" spans="1:8" x14ac:dyDescent="0.3">
      <c r="A809" s="213"/>
      <c r="B809" s="214"/>
      <c r="C809" s="252"/>
      <c r="D809" s="283"/>
      <c r="E809" s="284"/>
      <c r="F809" s="284"/>
      <c r="G809" s="214"/>
      <c r="H809" s="218"/>
    </row>
    <row r="810" spans="1:8" x14ac:dyDescent="0.3">
      <c r="A810" s="213"/>
      <c r="B810" s="214"/>
      <c r="C810" s="252"/>
      <c r="D810" s="283"/>
      <c r="E810" s="284"/>
      <c r="F810" s="284"/>
      <c r="G810" s="214"/>
      <c r="H810" s="218"/>
    </row>
    <row r="811" spans="1:8" x14ac:dyDescent="0.3">
      <c r="A811" s="213"/>
      <c r="B811" s="214"/>
      <c r="C811" s="252"/>
      <c r="D811" s="283"/>
      <c r="E811" s="284"/>
      <c r="F811" s="284"/>
      <c r="G811" s="214"/>
      <c r="H811" s="218"/>
    </row>
    <row r="812" spans="1:8" x14ac:dyDescent="0.3">
      <c r="A812" s="213"/>
      <c r="B812" s="214"/>
      <c r="C812" s="252"/>
      <c r="D812" s="283"/>
      <c r="E812" s="284"/>
      <c r="F812" s="284"/>
      <c r="G812" s="214"/>
      <c r="H812" s="218"/>
    </row>
    <row r="813" spans="1:8" x14ac:dyDescent="0.3">
      <c r="A813" s="213"/>
      <c r="B813" s="214"/>
      <c r="C813" s="252"/>
      <c r="D813" s="283"/>
      <c r="E813" s="284"/>
      <c r="F813" s="284"/>
      <c r="G813" s="214"/>
      <c r="H813" s="218"/>
    </row>
    <row r="814" spans="1:8" x14ac:dyDescent="0.3">
      <c r="A814" s="213"/>
      <c r="B814" s="214"/>
      <c r="C814" s="252"/>
      <c r="D814" s="283"/>
      <c r="E814" s="284"/>
      <c r="F814" s="284"/>
      <c r="G814" s="214"/>
      <c r="H814" s="218"/>
    </row>
    <row r="815" spans="1:8" x14ac:dyDescent="0.3">
      <c r="A815" s="213"/>
      <c r="B815" s="214"/>
      <c r="C815" s="252"/>
      <c r="D815" s="283"/>
      <c r="E815" s="284"/>
      <c r="F815" s="284"/>
      <c r="G815" s="214"/>
      <c r="H815" s="218"/>
    </row>
    <row r="816" spans="1:8" x14ac:dyDescent="0.3">
      <c r="A816" s="213"/>
      <c r="B816" s="214"/>
      <c r="C816" s="252"/>
      <c r="D816" s="283"/>
      <c r="E816" s="284"/>
      <c r="F816" s="284"/>
      <c r="G816" s="214"/>
      <c r="H816" s="218"/>
    </row>
    <row r="817" spans="1:8" x14ac:dyDescent="0.3">
      <c r="A817" s="213"/>
      <c r="B817" s="214"/>
      <c r="C817" s="252"/>
      <c r="D817" s="283"/>
      <c r="E817" s="284"/>
      <c r="F817" s="284"/>
      <c r="G817" s="214"/>
      <c r="H817" s="218"/>
    </row>
    <row r="818" spans="1:8" x14ac:dyDescent="0.3">
      <c r="A818" s="213"/>
      <c r="B818" s="214"/>
      <c r="C818" s="252"/>
      <c r="D818" s="283"/>
      <c r="E818" s="284"/>
      <c r="F818" s="284"/>
      <c r="G818" s="214"/>
      <c r="H818" s="218"/>
    </row>
    <row r="819" spans="1:8" x14ac:dyDescent="0.3">
      <c r="A819" s="213"/>
      <c r="B819" s="214"/>
      <c r="C819" s="252"/>
      <c r="D819" s="283"/>
      <c r="E819" s="284"/>
      <c r="F819" s="284"/>
      <c r="G819" s="214"/>
      <c r="H819" s="218"/>
    </row>
    <row r="820" spans="1:8" x14ac:dyDescent="0.3">
      <c r="A820" s="213"/>
      <c r="B820" s="214"/>
      <c r="C820" s="252"/>
      <c r="D820" s="283"/>
      <c r="E820" s="284"/>
      <c r="F820" s="284"/>
      <c r="G820" s="214"/>
      <c r="H820" s="218"/>
    </row>
    <row r="821" spans="1:8" x14ac:dyDescent="0.3">
      <c r="A821" s="213"/>
      <c r="B821" s="214"/>
      <c r="C821" s="252"/>
      <c r="D821" s="283"/>
      <c r="E821" s="284"/>
      <c r="F821" s="284"/>
      <c r="G821" s="214"/>
      <c r="H821" s="218"/>
    </row>
    <row r="822" spans="1:8" x14ac:dyDescent="0.3">
      <c r="A822" s="213"/>
      <c r="B822" s="214"/>
      <c r="C822" s="252"/>
      <c r="D822" s="283"/>
      <c r="E822" s="284"/>
      <c r="F822" s="284"/>
      <c r="G822" s="214"/>
      <c r="H822" s="218"/>
    </row>
    <row r="823" spans="1:8" x14ac:dyDescent="0.3">
      <c r="A823" s="213"/>
      <c r="B823" s="214"/>
      <c r="C823" s="252"/>
      <c r="D823" s="283"/>
      <c r="E823" s="284"/>
      <c r="F823" s="284"/>
      <c r="G823" s="214"/>
      <c r="H823" s="218"/>
    </row>
    <row r="824" spans="1:8" x14ac:dyDescent="0.3">
      <c r="A824" s="213"/>
      <c r="B824" s="214"/>
      <c r="C824" s="252"/>
      <c r="D824" s="283"/>
      <c r="E824" s="284"/>
      <c r="F824" s="284"/>
      <c r="G824" s="214"/>
      <c r="H824" s="218"/>
    </row>
    <row r="825" spans="1:8" x14ac:dyDescent="0.3">
      <c r="A825" s="213"/>
      <c r="B825" s="214"/>
      <c r="C825" s="252"/>
      <c r="D825" s="283"/>
      <c r="E825" s="284"/>
      <c r="F825" s="284"/>
      <c r="G825" s="214"/>
      <c r="H825" s="218"/>
    </row>
    <row r="826" spans="1:8" x14ac:dyDescent="0.3">
      <c r="A826" s="213"/>
      <c r="B826" s="214"/>
      <c r="C826" s="252"/>
      <c r="D826" s="283"/>
      <c r="E826" s="284"/>
      <c r="F826" s="284"/>
      <c r="G826" s="214"/>
      <c r="H826" s="218"/>
    </row>
    <row r="827" spans="1:8" x14ac:dyDescent="0.3">
      <c r="A827" s="213"/>
      <c r="B827" s="214"/>
      <c r="C827" s="252"/>
      <c r="D827" s="283"/>
      <c r="E827" s="284"/>
      <c r="F827" s="284"/>
      <c r="G827" s="214"/>
      <c r="H827" s="218"/>
    </row>
    <row r="828" spans="1:8" x14ac:dyDescent="0.3">
      <c r="A828" s="213"/>
      <c r="B828" s="214"/>
      <c r="C828" s="252"/>
      <c r="D828" s="283"/>
      <c r="E828" s="284"/>
      <c r="F828" s="284"/>
      <c r="G828" s="214"/>
      <c r="H828" s="218"/>
    </row>
    <row r="829" spans="1:8" x14ac:dyDescent="0.3">
      <c r="A829" s="213"/>
      <c r="B829" s="214"/>
      <c r="C829" s="252"/>
      <c r="D829" s="283"/>
      <c r="E829" s="284"/>
      <c r="F829" s="284"/>
      <c r="G829" s="214"/>
      <c r="H829" s="218"/>
    </row>
    <row r="830" spans="1:8" x14ac:dyDescent="0.3">
      <c r="A830" s="213"/>
      <c r="B830" s="214"/>
      <c r="C830" s="252"/>
      <c r="D830" s="283"/>
      <c r="E830" s="284"/>
      <c r="F830" s="284"/>
      <c r="G830" s="214"/>
      <c r="H830" s="218"/>
    </row>
    <row r="831" spans="1:8" x14ac:dyDescent="0.3">
      <c r="A831" s="213"/>
      <c r="B831" s="214"/>
      <c r="C831" s="252"/>
      <c r="D831" s="283"/>
      <c r="E831" s="284"/>
      <c r="F831" s="284"/>
      <c r="G831" s="214"/>
      <c r="H831" s="218"/>
    </row>
    <row r="832" spans="1:8" x14ac:dyDescent="0.3">
      <c r="A832" s="213"/>
      <c r="B832" s="214"/>
      <c r="C832" s="252"/>
      <c r="D832" s="283"/>
      <c r="E832" s="284"/>
      <c r="F832" s="284"/>
      <c r="G832" s="214"/>
      <c r="H832" s="218"/>
    </row>
    <row r="833" spans="1:8" x14ac:dyDescent="0.3">
      <c r="A833" s="213"/>
      <c r="B833" s="214"/>
      <c r="C833" s="252"/>
      <c r="D833" s="283"/>
      <c r="E833" s="284"/>
      <c r="F833" s="284"/>
      <c r="G833" s="214"/>
      <c r="H833" s="218"/>
    </row>
    <row r="834" spans="1:8" x14ac:dyDescent="0.3">
      <c r="A834" s="213"/>
      <c r="B834" s="214"/>
      <c r="C834" s="252"/>
      <c r="D834" s="283"/>
      <c r="E834" s="284"/>
      <c r="F834" s="284"/>
      <c r="G834" s="214"/>
      <c r="H834" s="218"/>
    </row>
    <row r="835" spans="1:8" x14ac:dyDescent="0.3">
      <c r="A835" s="213"/>
      <c r="B835" s="214"/>
      <c r="C835" s="252"/>
      <c r="D835" s="283"/>
      <c r="E835" s="284"/>
      <c r="F835" s="284"/>
      <c r="G835" s="214"/>
      <c r="H835" s="218"/>
    </row>
    <row r="836" spans="1:8" x14ac:dyDescent="0.3">
      <c r="A836" s="213"/>
      <c r="B836" s="214"/>
      <c r="C836" s="252"/>
      <c r="D836" s="283"/>
      <c r="E836" s="284"/>
      <c r="F836" s="284"/>
      <c r="G836" s="214"/>
      <c r="H836" s="218"/>
    </row>
    <row r="837" spans="1:8" x14ac:dyDescent="0.3">
      <c r="A837" s="213"/>
      <c r="B837" s="214"/>
      <c r="C837" s="252"/>
      <c r="D837" s="283"/>
      <c r="E837" s="284"/>
      <c r="F837" s="284"/>
      <c r="G837" s="214"/>
      <c r="H837" s="218"/>
    </row>
    <row r="838" spans="1:8" x14ac:dyDescent="0.3">
      <c r="A838" s="213"/>
      <c r="B838" s="214"/>
      <c r="C838" s="252"/>
      <c r="D838" s="283"/>
      <c r="E838" s="284"/>
      <c r="F838" s="284"/>
      <c r="G838" s="214"/>
      <c r="H838" s="218"/>
    </row>
    <row r="839" spans="1:8" x14ac:dyDescent="0.3">
      <c r="A839" s="213"/>
      <c r="B839" s="214"/>
      <c r="C839" s="252"/>
      <c r="D839" s="283"/>
      <c r="E839" s="284"/>
      <c r="F839" s="284"/>
      <c r="G839" s="214"/>
      <c r="H839" s="218"/>
    </row>
    <row r="840" spans="1:8" x14ac:dyDescent="0.3">
      <c r="A840" s="213"/>
      <c r="B840" s="214"/>
      <c r="C840" s="252"/>
      <c r="D840" s="283"/>
      <c r="E840" s="284"/>
      <c r="F840" s="284"/>
      <c r="G840" s="214"/>
      <c r="H840" s="218"/>
    </row>
    <row r="841" spans="1:8" x14ac:dyDescent="0.3">
      <c r="A841" s="213"/>
      <c r="B841" s="214"/>
      <c r="C841" s="252"/>
      <c r="D841" s="283"/>
      <c r="E841" s="284"/>
      <c r="F841" s="284"/>
      <c r="G841" s="214"/>
      <c r="H841" s="218"/>
    </row>
    <row r="842" spans="1:8" x14ac:dyDescent="0.3">
      <c r="A842" s="213"/>
      <c r="B842" s="214"/>
      <c r="C842" s="252"/>
      <c r="D842" s="283"/>
      <c r="E842" s="284"/>
      <c r="F842" s="284"/>
      <c r="G842" s="214"/>
      <c r="H842" s="218"/>
    </row>
    <row r="843" spans="1:8" x14ac:dyDescent="0.3">
      <c r="A843" s="213"/>
      <c r="B843" s="214"/>
      <c r="C843" s="252"/>
      <c r="D843" s="283"/>
      <c r="E843" s="284"/>
      <c r="F843" s="284"/>
      <c r="G843" s="214"/>
      <c r="H843" s="218"/>
    </row>
    <row r="844" spans="1:8" x14ac:dyDescent="0.3">
      <c r="A844" s="213"/>
      <c r="B844" s="214"/>
      <c r="C844" s="252"/>
      <c r="D844" s="283"/>
      <c r="E844" s="284"/>
      <c r="F844" s="284"/>
      <c r="G844" s="214"/>
      <c r="H844" s="218"/>
    </row>
    <row r="845" spans="1:8" x14ac:dyDescent="0.3">
      <c r="A845" s="213"/>
      <c r="B845" s="214"/>
      <c r="C845" s="252"/>
      <c r="D845" s="283"/>
      <c r="E845" s="284"/>
      <c r="F845" s="284"/>
      <c r="G845" s="214"/>
      <c r="H845" s="218"/>
    </row>
    <row r="846" spans="1:8" x14ac:dyDescent="0.3">
      <c r="A846" s="213"/>
      <c r="B846" s="214"/>
      <c r="C846" s="252"/>
      <c r="D846" s="283"/>
      <c r="E846" s="284"/>
      <c r="F846" s="284"/>
      <c r="G846" s="214"/>
      <c r="H846" s="218"/>
    </row>
    <row r="847" spans="1:8" x14ac:dyDescent="0.3">
      <c r="A847" s="213"/>
      <c r="B847" s="214"/>
      <c r="C847" s="252"/>
      <c r="D847" s="283"/>
      <c r="E847" s="284"/>
      <c r="F847" s="284"/>
      <c r="G847" s="214"/>
      <c r="H847" s="218"/>
    </row>
    <row r="848" spans="1:8" x14ac:dyDescent="0.3">
      <c r="A848" s="213"/>
      <c r="B848" s="214"/>
      <c r="C848" s="252"/>
      <c r="D848" s="283"/>
      <c r="E848" s="284"/>
      <c r="F848" s="284"/>
      <c r="G848" s="214"/>
      <c r="H848" s="218"/>
    </row>
    <row r="849" spans="1:8" x14ac:dyDescent="0.3">
      <c r="A849" s="213"/>
      <c r="B849" s="214"/>
      <c r="C849" s="252"/>
      <c r="D849" s="283"/>
      <c r="E849" s="284"/>
      <c r="F849" s="284"/>
      <c r="G849" s="214"/>
      <c r="H849" s="218"/>
    </row>
    <row r="850" spans="1:8" x14ac:dyDescent="0.3">
      <c r="A850" s="213"/>
      <c r="B850" s="214"/>
      <c r="C850" s="252"/>
      <c r="D850" s="283"/>
      <c r="E850" s="284"/>
      <c r="F850" s="284"/>
      <c r="G850" s="214"/>
      <c r="H850" s="218"/>
    </row>
    <row r="851" spans="1:8" x14ac:dyDescent="0.3">
      <c r="A851" s="213"/>
      <c r="B851" s="214"/>
      <c r="C851" s="252"/>
      <c r="D851" s="283"/>
      <c r="E851" s="284"/>
      <c r="F851" s="284"/>
      <c r="G851" s="214"/>
      <c r="H851" s="218"/>
    </row>
    <row r="852" spans="1:8" x14ac:dyDescent="0.3">
      <c r="A852" s="213"/>
      <c r="B852" s="214"/>
      <c r="C852" s="252"/>
      <c r="D852" s="283"/>
      <c r="E852" s="284"/>
      <c r="F852" s="284"/>
      <c r="G852" s="214"/>
      <c r="H852" s="218"/>
    </row>
    <row r="853" spans="1:8" x14ac:dyDescent="0.3">
      <c r="A853" s="213"/>
      <c r="B853" s="214"/>
      <c r="C853" s="252"/>
      <c r="D853" s="283"/>
      <c r="E853" s="284"/>
      <c r="F853" s="284"/>
      <c r="G853" s="214"/>
      <c r="H853" s="218"/>
    </row>
    <row r="854" spans="1:8" x14ac:dyDescent="0.3">
      <c r="A854" s="213"/>
      <c r="B854" s="214"/>
      <c r="C854" s="252"/>
      <c r="D854" s="283"/>
      <c r="E854" s="284"/>
      <c r="F854" s="284"/>
      <c r="G854" s="214"/>
      <c r="H854" s="218"/>
    </row>
    <row r="855" spans="1:8" x14ac:dyDescent="0.3">
      <c r="A855" s="213"/>
      <c r="B855" s="214"/>
      <c r="C855" s="252"/>
      <c r="D855" s="283"/>
      <c r="E855" s="284"/>
      <c r="F855" s="284"/>
      <c r="G855" s="214"/>
      <c r="H855" s="218"/>
    </row>
    <row r="856" spans="1:8" x14ac:dyDescent="0.3">
      <c r="A856" s="213"/>
      <c r="B856" s="214"/>
      <c r="C856" s="252"/>
      <c r="D856" s="283"/>
      <c r="E856" s="284"/>
      <c r="F856" s="284"/>
      <c r="G856" s="214"/>
      <c r="H856" s="218"/>
    </row>
    <row r="857" spans="1:8" x14ac:dyDescent="0.3">
      <c r="A857" s="213"/>
      <c r="B857" s="214"/>
      <c r="C857" s="252"/>
      <c r="D857" s="283"/>
      <c r="E857" s="284"/>
      <c r="F857" s="284"/>
      <c r="G857" s="214"/>
      <c r="H857" s="218"/>
    </row>
    <row r="858" spans="1:8" x14ac:dyDescent="0.3">
      <c r="A858" s="213"/>
      <c r="B858" s="214"/>
      <c r="C858" s="252"/>
      <c r="D858" s="283"/>
      <c r="E858" s="284"/>
      <c r="F858" s="284"/>
      <c r="G858" s="214"/>
      <c r="H858" s="218"/>
    </row>
    <row r="859" spans="1:8" x14ac:dyDescent="0.3">
      <c r="A859" s="213"/>
      <c r="B859" s="214"/>
      <c r="C859" s="252"/>
      <c r="D859" s="283"/>
      <c r="E859" s="284"/>
      <c r="F859" s="284"/>
      <c r="G859" s="214"/>
      <c r="H859" s="218"/>
    </row>
    <row r="860" spans="1:8" x14ac:dyDescent="0.3">
      <c r="A860" s="213"/>
      <c r="B860" s="214"/>
      <c r="C860" s="252"/>
      <c r="D860" s="283"/>
      <c r="E860" s="284"/>
      <c r="F860" s="284"/>
      <c r="G860" s="214"/>
      <c r="H860" s="218"/>
    </row>
    <row r="861" spans="1:8" x14ac:dyDescent="0.3">
      <c r="A861" s="213"/>
      <c r="B861" s="214"/>
      <c r="C861" s="252"/>
      <c r="D861" s="283"/>
      <c r="E861" s="284"/>
      <c r="F861" s="284"/>
      <c r="G861" s="214"/>
      <c r="H861" s="218"/>
    </row>
    <row r="862" spans="1:8" x14ac:dyDescent="0.3">
      <c r="A862" s="213"/>
      <c r="B862" s="214"/>
      <c r="C862" s="252"/>
      <c r="D862" s="283"/>
      <c r="E862" s="284"/>
      <c r="F862" s="284"/>
      <c r="G862" s="214"/>
      <c r="H862" s="218"/>
    </row>
    <row r="863" spans="1:8" x14ac:dyDescent="0.3">
      <c r="A863" s="213"/>
      <c r="B863" s="214"/>
      <c r="C863" s="252"/>
      <c r="D863" s="283"/>
      <c r="E863" s="284"/>
      <c r="F863" s="284"/>
      <c r="G863" s="214"/>
      <c r="H863" s="218"/>
    </row>
    <row r="864" spans="1:8" x14ac:dyDescent="0.3">
      <c r="A864" s="213"/>
      <c r="B864" s="214"/>
      <c r="C864" s="252"/>
      <c r="D864" s="283"/>
      <c r="E864" s="284"/>
      <c r="F864" s="284"/>
      <c r="G864" s="214"/>
      <c r="H864" s="218"/>
    </row>
    <row r="865" spans="1:8" x14ac:dyDescent="0.3">
      <c r="A865" s="213"/>
      <c r="B865" s="214"/>
      <c r="C865" s="252"/>
      <c r="D865" s="283"/>
      <c r="E865" s="284"/>
      <c r="F865" s="284"/>
      <c r="G865" s="214"/>
      <c r="H865" s="218"/>
    </row>
    <row r="866" spans="1:8" x14ac:dyDescent="0.3">
      <c r="A866" s="213"/>
      <c r="B866" s="214"/>
      <c r="C866" s="252"/>
      <c r="D866" s="283"/>
      <c r="E866" s="284"/>
      <c r="F866" s="284"/>
      <c r="G866" s="214"/>
      <c r="H866" s="218"/>
    </row>
    <row r="867" spans="1:8" x14ac:dyDescent="0.3">
      <c r="A867" s="213"/>
      <c r="B867" s="214"/>
      <c r="C867" s="252"/>
      <c r="D867" s="283"/>
      <c r="E867" s="284"/>
      <c r="F867" s="284"/>
      <c r="G867" s="214"/>
      <c r="H867" s="218"/>
    </row>
    <row r="868" spans="1:8" x14ac:dyDescent="0.3">
      <c r="A868" s="213"/>
      <c r="B868" s="214"/>
      <c r="C868" s="252"/>
      <c r="D868" s="283"/>
      <c r="E868" s="284"/>
      <c r="F868" s="284"/>
      <c r="G868" s="214"/>
      <c r="H868" s="218"/>
    </row>
    <row r="869" spans="1:8" x14ac:dyDescent="0.3">
      <c r="A869" s="213"/>
      <c r="B869" s="214"/>
      <c r="C869" s="252"/>
      <c r="D869" s="283"/>
      <c r="E869" s="284"/>
      <c r="F869" s="284"/>
      <c r="G869" s="214"/>
      <c r="H869" s="218"/>
    </row>
    <row r="870" spans="1:8" x14ac:dyDescent="0.3">
      <c r="A870" s="213"/>
      <c r="B870" s="214"/>
      <c r="C870" s="252"/>
      <c r="D870" s="283"/>
      <c r="E870" s="284"/>
      <c r="F870" s="284"/>
      <c r="G870" s="214"/>
      <c r="H870" s="218"/>
    </row>
    <row r="871" spans="1:8" x14ac:dyDescent="0.3">
      <c r="A871" s="213"/>
      <c r="B871" s="214"/>
      <c r="C871" s="252"/>
      <c r="D871" s="283"/>
      <c r="E871" s="284"/>
      <c r="F871" s="284"/>
      <c r="G871" s="214"/>
      <c r="H871" s="218"/>
    </row>
    <row r="872" spans="1:8" x14ac:dyDescent="0.3">
      <c r="A872" s="213"/>
      <c r="B872" s="214"/>
      <c r="C872" s="252"/>
      <c r="D872" s="283"/>
      <c r="E872" s="284"/>
      <c r="F872" s="284"/>
      <c r="G872" s="214"/>
      <c r="H872" s="218"/>
    </row>
    <row r="873" spans="1:8" x14ac:dyDescent="0.3">
      <c r="A873" s="213"/>
      <c r="B873" s="214"/>
      <c r="C873" s="252"/>
      <c r="D873" s="283"/>
      <c r="E873" s="284"/>
      <c r="F873" s="284"/>
      <c r="G873" s="214"/>
      <c r="H873" s="218"/>
    </row>
    <row r="874" spans="1:8" x14ac:dyDescent="0.3">
      <c r="A874" s="213"/>
      <c r="B874" s="214"/>
      <c r="C874" s="252"/>
      <c r="D874" s="283"/>
      <c r="E874" s="284"/>
      <c r="F874" s="284"/>
      <c r="G874" s="214"/>
      <c r="H874" s="218"/>
    </row>
    <row r="875" spans="1:8" x14ac:dyDescent="0.3">
      <c r="A875" s="213"/>
      <c r="B875" s="214"/>
      <c r="C875" s="252"/>
      <c r="D875" s="283"/>
      <c r="E875" s="284"/>
      <c r="F875" s="284"/>
      <c r="G875" s="214"/>
      <c r="H875" s="218"/>
    </row>
    <row r="876" spans="1:8" x14ac:dyDescent="0.3">
      <c r="A876" s="213"/>
      <c r="B876" s="214"/>
      <c r="C876" s="252"/>
      <c r="D876" s="283"/>
      <c r="E876" s="284"/>
      <c r="F876" s="284"/>
      <c r="G876" s="214"/>
      <c r="H876" s="218"/>
    </row>
    <row r="877" spans="1:8" x14ac:dyDescent="0.3">
      <c r="A877" s="213"/>
      <c r="B877" s="214"/>
      <c r="C877" s="252"/>
      <c r="D877" s="283"/>
      <c r="E877" s="284"/>
      <c r="F877" s="284"/>
      <c r="G877" s="214"/>
      <c r="H877" s="218"/>
    </row>
    <row r="878" spans="1:8" x14ac:dyDescent="0.3">
      <c r="A878" s="213"/>
      <c r="B878" s="214"/>
      <c r="C878" s="252"/>
      <c r="D878" s="283"/>
      <c r="E878" s="284"/>
      <c r="F878" s="284"/>
      <c r="G878" s="214"/>
      <c r="H878" s="218"/>
    </row>
    <row r="879" spans="1:8" x14ac:dyDescent="0.3">
      <c r="A879" s="213"/>
      <c r="B879" s="214"/>
      <c r="C879" s="252"/>
      <c r="D879" s="283"/>
      <c r="E879" s="284"/>
      <c r="F879" s="284"/>
      <c r="G879" s="214"/>
      <c r="H879" s="218"/>
    </row>
    <row r="880" spans="1:8" x14ac:dyDescent="0.3">
      <c r="A880" s="213"/>
      <c r="B880" s="214"/>
      <c r="C880" s="252"/>
      <c r="D880" s="283"/>
      <c r="E880" s="284"/>
      <c r="F880" s="284"/>
      <c r="G880" s="214"/>
      <c r="H880" s="218"/>
    </row>
    <row r="881" spans="1:8" x14ac:dyDescent="0.3">
      <c r="A881" s="213"/>
      <c r="B881" s="214"/>
      <c r="C881" s="252"/>
      <c r="D881" s="283"/>
      <c r="E881" s="284"/>
      <c r="F881" s="284"/>
      <c r="G881" s="214"/>
      <c r="H881" s="218"/>
    </row>
    <row r="882" spans="1:8" x14ac:dyDescent="0.3">
      <c r="A882" s="213"/>
      <c r="B882" s="214"/>
      <c r="C882" s="252"/>
      <c r="D882" s="283"/>
      <c r="E882" s="284"/>
      <c r="F882" s="284"/>
      <c r="G882" s="214"/>
      <c r="H882" s="218"/>
    </row>
    <row r="883" spans="1:8" x14ac:dyDescent="0.3">
      <c r="A883" s="213"/>
      <c r="B883" s="214"/>
      <c r="C883" s="252"/>
      <c r="D883" s="283"/>
      <c r="E883" s="284"/>
      <c r="F883" s="284"/>
      <c r="G883" s="214"/>
      <c r="H883" s="218"/>
    </row>
    <row r="884" spans="1:8" x14ac:dyDescent="0.3">
      <c r="A884" s="213"/>
      <c r="B884" s="214"/>
      <c r="C884" s="252"/>
      <c r="D884" s="283"/>
      <c r="E884" s="284"/>
      <c r="F884" s="284"/>
      <c r="G884" s="214"/>
      <c r="H884" s="218"/>
    </row>
    <row r="885" spans="1:8" x14ac:dyDescent="0.3">
      <c r="A885" s="213"/>
      <c r="B885" s="214"/>
      <c r="C885" s="252"/>
      <c r="D885" s="283"/>
      <c r="E885" s="284"/>
      <c r="F885" s="284"/>
      <c r="G885" s="214"/>
      <c r="H885" s="218"/>
    </row>
    <row r="886" spans="1:8" x14ac:dyDescent="0.3">
      <c r="A886" s="213"/>
      <c r="B886" s="214"/>
      <c r="C886" s="252"/>
      <c r="D886" s="283"/>
      <c r="E886" s="284"/>
      <c r="F886" s="284"/>
      <c r="G886" s="214"/>
      <c r="H886" s="218"/>
    </row>
    <row r="887" spans="1:8" x14ac:dyDescent="0.3">
      <c r="A887" s="213"/>
      <c r="B887" s="214"/>
      <c r="C887" s="252"/>
      <c r="D887" s="283"/>
      <c r="E887" s="284"/>
      <c r="F887" s="284"/>
      <c r="G887" s="214"/>
      <c r="H887" s="218"/>
    </row>
    <row r="888" spans="1:8" x14ac:dyDescent="0.3">
      <c r="A888" s="213"/>
      <c r="B888" s="214"/>
      <c r="C888" s="252"/>
      <c r="D888" s="283"/>
      <c r="E888" s="284"/>
      <c r="F888" s="284"/>
      <c r="G888" s="214"/>
      <c r="H888" s="218"/>
    </row>
    <row r="889" spans="1:8" x14ac:dyDescent="0.3">
      <c r="A889" s="213"/>
      <c r="B889" s="214"/>
      <c r="C889" s="252"/>
      <c r="D889" s="283"/>
      <c r="E889" s="284"/>
      <c r="F889" s="284"/>
      <c r="G889" s="214"/>
      <c r="H889" s="218"/>
    </row>
    <row r="890" spans="1:8" x14ac:dyDescent="0.3">
      <c r="A890" s="213"/>
      <c r="B890" s="214"/>
      <c r="C890" s="252"/>
      <c r="D890" s="283"/>
      <c r="E890" s="284"/>
      <c r="F890" s="284"/>
      <c r="G890" s="214"/>
      <c r="H890" s="218"/>
    </row>
    <row r="891" spans="1:8" x14ac:dyDescent="0.3">
      <c r="A891" s="213"/>
      <c r="B891" s="214"/>
      <c r="C891" s="252"/>
      <c r="D891" s="283"/>
      <c r="E891" s="284"/>
      <c r="F891" s="284"/>
      <c r="G891" s="214"/>
      <c r="H891" s="218"/>
    </row>
    <row r="892" spans="1:8" x14ac:dyDescent="0.3">
      <c r="A892" s="213"/>
      <c r="B892" s="214"/>
      <c r="C892" s="252"/>
      <c r="D892" s="283"/>
      <c r="E892" s="284"/>
      <c r="F892" s="284"/>
      <c r="G892" s="214"/>
      <c r="H892" s="218"/>
    </row>
    <row r="893" spans="1:8" x14ac:dyDescent="0.3">
      <c r="A893" s="213"/>
      <c r="B893" s="214"/>
      <c r="C893" s="252"/>
      <c r="D893" s="283"/>
      <c r="E893" s="284"/>
      <c r="F893" s="284"/>
      <c r="G893" s="214"/>
      <c r="H893" s="218"/>
    </row>
    <row r="894" spans="1:8" x14ac:dyDescent="0.3">
      <c r="A894" s="213"/>
      <c r="B894" s="214"/>
      <c r="C894" s="252"/>
      <c r="D894" s="283"/>
      <c r="E894" s="284"/>
      <c r="F894" s="284"/>
      <c r="G894" s="214"/>
      <c r="H894" s="218"/>
    </row>
    <row r="895" spans="1:8" x14ac:dyDescent="0.3">
      <c r="A895" s="213"/>
      <c r="B895" s="214"/>
      <c r="C895" s="252"/>
      <c r="D895" s="283"/>
      <c r="E895" s="284"/>
      <c r="F895" s="284"/>
      <c r="G895" s="214"/>
      <c r="H895" s="218"/>
    </row>
    <row r="896" spans="1:8" x14ac:dyDescent="0.3">
      <c r="A896" s="213"/>
      <c r="B896" s="214"/>
      <c r="C896" s="252"/>
      <c r="D896" s="283"/>
      <c r="E896" s="284"/>
      <c r="F896" s="284"/>
      <c r="G896" s="214"/>
      <c r="H896" s="218"/>
    </row>
    <row r="897" spans="1:8" x14ac:dyDescent="0.3">
      <c r="A897" s="213"/>
      <c r="B897" s="214"/>
      <c r="C897" s="252"/>
      <c r="D897" s="283"/>
      <c r="E897" s="284"/>
      <c r="F897" s="284"/>
      <c r="G897" s="214"/>
      <c r="H897" s="218"/>
    </row>
    <row r="898" spans="1:8" x14ac:dyDescent="0.3">
      <c r="A898" s="213"/>
      <c r="B898" s="214"/>
      <c r="C898" s="252"/>
      <c r="D898" s="283"/>
      <c r="E898" s="284"/>
      <c r="F898" s="284"/>
      <c r="G898" s="214"/>
      <c r="H898" s="218"/>
    </row>
    <row r="899" spans="1:8" x14ac:dyDescent="0.3">
      <c r="A899" s="213"/>
      <c r="B899" s="214"/>
      <c r="C899" s="252"/>
      <c r="D899" s="283"/>
      <c r="E899" s="284"/>
      <c r="F899" s="284"/>
      <c r="G899" s="214"/>
      <c r="H899" s="218"/>
    </row>
    <row r="900" spans="1:8" x14ac:dyDescent="0.3">
      <c r="A900" s="213"/>
      <c r="B900" s="214"/>
      <c r="C900" s="252"/>
      <c r="D900" s="283"/>
      <c r="E900" s="284"/>
      <c r="F900" s="284"/>
      <c r="G900" s="214"/>
      <c r="H900" s="218"/>
    </row>
    <row r="901" spans="1:8" x14ac:dyDescent="0.3">
      <c r="A901" s="213"/>
      <c r="B901" s="214"/>
      <c r="C901" s="252"/>
      <c r="D901" s="283"/>
      <c r="E901" s="284"/>
      <c r="F901" s="284"/>
      <c r="G901" s="214"/>
      <c r="H901" s="218"/>
    </row>
    <row r="902" spans="1:8" x14ac:dyDescent="0.3">
      <c r="A902" s="213"/>
      <c r="B902" s="214"/>
      <c r="C902" s="252"/>
      <c r="D902" s="283"/>
      <c r="E902" s="284"/>
      <c r="F902" s="284"/>
      <c r="G902" s="214"/>
      <c r="H902" s="218"/>
    </row>
    <row r="903" spans="1:8" x14ac:dyDescent="0.3">
      <c r="A903" s="213"/>
      <c r="B903" s="214"/>
      <c r="C903" s="252"/>
      <c r="D903" s="283"/>
      <c r="E903" s="284"/>
      <c r="F903" s="284"/>
      <c r="G903" s="214"/>
      <c r="H903" s="218"/>
    </row>
    <row r="904" spans="1:8" x14ac:dyDescent="0.35">
      <c r="B904" s="253"/>
    </row>
    <row r="905" spans="1:8" x14ac:dyDescent="0.35">
      <c r="B905" s="253"/>
    </row>
    <row r="906" spans="1:8" x14ac:dyDescent="0.35">
      <c r="B906" s="253"/>
      <c r="E906" s="289"/>
    </row>
    <row r="907" spans="1:8" x14ac:dyDescent="0.35">
      <c r="B907" s="253"/>
    </row>
    <row r="908" spans="1:8" x14ac:dyDescent="0.35">
      <c r="B908" s="253"/>
      <c r="D908" s="290"/>
      <c r="F908" s="291"/>
    </row>
    <row r="909" spans="1:8" x14ac:dyDescent="0.35">
      <c r="B909" s="253"/>
      <c r="D909" s="290"/>
    </row>
    <row r="910" spans="1:8" x14ac:dyDescent="0.35">
      <c r="B910" s="253"/>
      <c r="F910" s="292"/>
    </row>
    <row r="911" spans="1:8" x14ac:dyDescent="0.35">
      <c r="B911" s="253"/>
      <c r="F911" s="293"/>
    </row>
  </sheetData>
  <sheetProtection algorithmName="SHA-512" hashValue="0+xJsDX3XrUhvy7ZteovLE4DNWapUoDuyPNCckeT8H3u2hn/wXR1b6gRMenc87BLFXhXWOaXDkIr8ZEd4knA8g==" saltValue="BgYvCqsgoc0t8kK0smAy8A==" spinCount="100000" sheet="1" objects="1" scenarios="1"/>
  <mergeCells count="24">
    <mergeCell ref="A233:E233"/>
    <mergeCell ref="A240:D240"/>
    <mergeCell ref="E240:F240"/>
    <mergeCell ref="A245:B245"/>
    <mergeCell ref="A219:E219"/>
    <mergeCell ref="A226:D226"/>
    <mergeCell ref="A236:B236"/>
    <mergeCell ref="A237:B237"/>
    <mergeCell ref="A238:B238"/>
    <mergeCell ref="A239:B239"/>
    <mergeCell ref="A128:E128"/>
    <mergeCell ref="A191:E191"/>
    <mergeCell ref="A230:D230"/>
    <mergeCell ref="A231:D231"/>
    <mergeCell ref="A159:E159"/>
    <mergeCell ref="C227:D227"/>
    <mergeCell ref="C228:D228"/>
    <mergeCell ref="C229:D229"/>
    <mergeCell ref="B227:B229"/>
    <mergeCell ref="A1:C5"/>
    <mergeCell ref="D1:F5"/>
    <mergeCell ref="A6:F6"/>
    <mergeCell ref="A8:E8"/>
    <mergeCell ref="A80:E80"/>
  </mergeCells>
  <phoneticPr fontId="56" type="noConversion"/>
  <printOptions horizontalCentered="1"/>
  <pageMargins left="0.25" right="0.25" top="0.75" bottom="0.75" header="0" footer="0"/>
  <pageSetup paperSize="9" scale="56" fitToHeight="0" orientation="portrait" r:id="rId1"/>
  <rowBreaks count="1" manualBreakCount="1">
    <brk id="225" max="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36328-7B77-4387-B58F-4F1E3C6AD515}">
  <dimension ref="B2:J3917"/>
  <sheetViews>
    <sheetView workbookViewId="0">
      <selection activeCell="J3915" sqref="J3915"/>
    </sheetView>
  </sheetViews>
  <sheetFormatPr baseColWidth="10" defaultRowHeight="14.4" x14ac:dyDescent="0.3"/>
  <cols>
    <col min="2" max="2" width="19.77734375" customWidth="1"/>
    <col min="3" max="3" width="15" customWidth="1"/>
    <col min="4" max="4" width="38.21875" customWidth="1"/>
    <col min="5" max="5" width="12.77734375" bestFit="1" customWidth="1"/>
    <col min="6" max="6" width="23.33203125" customWidth="1"/>
    <col min="7" max="7" width="21.77734375" customWidth="1"/>
    <col min="8" max="8" width="21.33203125" bestFit="1" customWidth="1"/>
    <col min="9" max="9" width="16.88671875" customWidth="1"/>
  </cols>
  <sheetData>
    <row r="2" spans="2:9" x14ac:dyDescent="0.3">
      <c r="B2" s="327" t="s">
        <v>646</v>
      </c>
      <c r="C2" s="327" t="s">
        <v>621</v>
      </c>
      <c r="D2" s="328" t="s">
        <v>526</v>
      </c>
      <c r="E2" s="329"/>
      <c r="F2" s="330"/>
      <c r="G2" s="330" t="s">
        <v>622</v>
      </c>
      <c r="H2" s="330" t="s">
        <v>641</v>
      </c>
      <c r="I2" s="331">
        <f>+ROUND(I24,0)</f>
        <v>517415</v>
      </c>
    </row>
    <row r="3" spans="2:9" x14ac:dyDescent="0.3">
      <c r="B3" s="332" t="s">
        <v>623</v>
      </c>
      <c r="C3" s="333"/>
      <c r="D3" s="332"/>
      <c r="E3" s="333"/>
      <c r="F3" s="334"/>
      <c r="G3" s="332"/>
      <c r="H3" s="334"/>
      <c r="I3" s="334"/>
    </row>
    <row r="4" spans="2:9" x14ac:dyDescent="0.3">
      <c r="B4" s="332" t="s">
        <v>271</v>
      </c>
      <c r="C4" s="333"/>
      <c r="D4" s="332"/>
      <c r="E4" s="333" t="s">
        <v>624</v>
      </c>
      <c r="F4" s="334" t="s">
        <v>625</v>
      </c>
      <c r="G4" s="332" t="s">
        <v>626</v>
      </c>
      <c r="H4" s="334" t="s">
        <v>627</v>
      </c>
      <c r="I4" s="334"/>
    </row>
    <row r="5" spans="2:9" x14ac:dyDescent="0.3">
      <c r="B5" s="332" t="s">
        <v>642</v>
      </c>
      <c r="C5" s="333"/>
      <c r="D5" s="332"/>
      <c r="E5" s="333" t="s">
        <v>644</v>
      </c>
      <c r="F5" s="334">
        <v>1500</v>
      </c>
      <c r="G5" s="335">
        <v>8</v>
      </c>
      <c r="H5" s="334">
        <f>F5*G5</f>
        <v>12000</v>
      </c>
      <c r="I5" s="334"/>
    </row>
    <row r="6" spans="2:9" x14ac:dyDescent="0.3">
      <c r="B6" s="332" t="s">
        <v>643</v>
      </c>
      <c r="C6" s="333"/>
      <c r="D6" s="332"/>
      <c r="E6" s="333" t="s">
        <v>644</v>
      </c>
      <c r="F6" s="334">
        <v>10350</v>
      </c>
      <c r="G6" s="335">
        <v>8</v>
      </c>
      <c r="H6" s="334">
        <f>F6*G6</f>
        <v>82800</v>
      </c>
      <c r="I6" s="334"/>
    </row>
    <row r="7" spans="2:9" x14ac:dyDescent="0.3">
      <c r="B7" s="332"/>
      <c r="C7" s="333"/>
      <c r="D7" s="332"/>
      <c r="E7" s="333"/>
      <c r="F7" s="334"/>
      <c r="G7" s="335"/>
      <c r="H7" s="334"/>
      <c r="I7" s="334"/>
    </row>
    <row r="8" spans="2:9" x14ac:dyDescent="0.3">
      <c r="B8" s="332"/>
      <c r="C8" s="333"/>
      <c r="D8" s="332"/>
      <c r="E8" s="333"/>
      <c r="F8" s="334"/>
      <c r="G8" s="332"/>
      <c r="H8" s="334" t="s">
        <v>628</v>
      </c>
      <c r="I8" s="334">
        <f>SUM(H5:H7)</f>
        <v>94800</v>
      </c>
    </row>
    <row r="9" spans="2:9" x14ac:dyDescent="0.3">
      <c r="B9" s="332" t="s">
        <v>629</v>
      </c>
      <c r="C9" s="333"/>
      <c r="D9" s="332"/>
      <c r="E9" s="333"/>
      <c r="F9" s="334"/>
      <c r="G9" s="332"/>
      <c r="H9" s="334"/>
      <c r="I9" s="334"/>
    </row>
    <row r="10" spans="2:9" x14ac:dyDescent="0.3">
      <c r="B10" s="332" t="s">
        <v>271</v>
      </c>
      <c r="C10" s="333"/>
      <c r="D10" s="332"/>
      <c r="E10" s="333" t="s">
        <v>624</v>
      </c>
      <c r="F10" s="334" t="s">
        <v>630</v>
      </c>
      <c r="G10" s="332" t="s">
        <v>631</v>
      </c>
      <c r="H10" s="334" t="s">
        <v>627</v>
      </c>
      <c r="I10" s="334"/>
    </row>
    <row r="11" spans="2:9" x14ac:dyDescent="0.3">
      <c r="B11" s="332"/>
      <c r="C11" s="333"/>
      <c r="D11" s="332"/>
      <c r="E11" s="333"/>
      <c r="F11" s="334"/>
      <c r="G11" s="332"/>
      <c r="H11" s="334"/>
      <c r="I11" s="334"/>
    </row>
    <row r="12" spans="2:9" x14ac:dyDescent="0.3">
      <c r="B12" s="332"/>
      <c r="C12" s="333"/>
      <c r="D12" s="332"/>
      <c r="E12" s="333"/>
      <c r="F12" s="334"/>
      <c r="G12" s="332"/>
      <c r="H12" s="334"/>
      <c r="I12" s="334"/>
    </row>
    <row r="13" spans="2:9" x14ac:dyDescent="0.3">
      <c r="B13" s="332"/>
      <c r="C13" s="333"/>
      <c r="D13" s="332"/>
      <c r="E13" s="333"/>
      <c r="F13" s="334"/>
      <c r="G13" s="332"/>
      <c r="H13" s="334"/>
      <c r="I13" s="334"/>
    </row>
    <row r="14" spans="2:9" x14ac:dyDescent="0.3">
      <c r="B14" s="332"/>
      <c r="C14" s="333"/>
      <c r="D14" s="332"/>
      <c r="E14" s="333"/>
      <c r="F14" s="334"/>
      <c r="G14" s="332"/>
      <c r="H14" s="334"/>
      <c r="I14" s="334"/>
    </row>
    <row r="15" spans="2:9" x14ac:dyDescent="0.3">
      <c r="B15" s="332"/>
      <c r="C15" s="333"/>
      <c r="D15" s="332"/>
      <c r="E15" s="333"/>
      <c r="F15" s="334"/>
      <c r="G15" s="332"/>
      <c r="H15" s="334" t="s">
        <v>628</v>
      </c>
      <c r="I15" s="334">
        <f>SUM(H11:H14)</f>
        <v>0</v>
      </c>
    </row>
    <row r="16" spans="2:9" x14ac:dyDescent="0.3">
      <c r="B16" s="332" t="s">
        <v>632</v>
      </c>
      <c r="C16" s="333"/>
      <c r="D16" s="332"/>
      <c r="E16" s="333" t="s">
        <v>624</v>
      </c>
      <c r="F16" s="334" t="s">
        <v>633</v>
      </c>
      <c r="G16" s="332" t="s">
        <v>634</v>
      </c>
      <c r="H16" s="334" t="s">
        <v>627</v>
      </c>
      <c r="I16" s="334"/>
    </row>
    <row r="17" spans="2:9" x14ac:dyDescent="0.3">
      <c r="B17" s="332"/>
      <c r="C17" s="333"/>
      <c r="D17" s="332"/>
      <c r="E17" s="332"/>
      <c r="F17" s="332"/>
      <c r="G17" s="332"/>
      <c r="H17" s="332"/>
      <c r="I17" s="332"/>
    </row>
    <row r="18" spans="2:9" x14ac:dyDescent="0.3">
      <c r="B18" s="332"/>
      <c r="C18" s="333"/>
      <c r="D18" s="332"/>
      <c r="E18" s="333"/>
      <c r="F18" s="336"/>
      <c r="G18" s="334"/>
      <c r="H18" s="334"/>
      <c r="I18" s="334"/>
    </row>
    <row r="19" spans="2:9" x14ac:dyDescent="0.3">
      <c r="B19" s="332"/>
      <c r="C19" s="333"/>
      <c r="D19" s="332"/>
      <c r="E19" s="333"/>
      <c r="F19" s="334"/>
      <c r="G19" s="332"/>
      <c r="H19" s="334" t="s">
        <v>628</v>
      </c>
      <c r="I19" s="334">
        <f>SUM(H18)</f>
        <v>0</v>
      </c>
    </row>
    <row r="20" spans="2:9" x14ac:dyDescent="0.3">
      <c r="B20" s="332" t="s">
        <v>635</v>
      </c>
      <c r="C20" s="333"/>
      <c r="D20" s="332"/>
      <c r="E20" s="333"/>
      <c r="F20" s="334"/>
      <c r="G20" s="332"/>
      <c r="H20" s="334"/>
      <c r="I20" s="334"/>
    </row>
    <row r="21" spans="2:9" x14ac:dyDescent="0.3">
      <c r="B21" s="332" t="s">
        <v>636</v>
      </c>
      <c r="C21" s="333"/>
      <c r="D21" s="332"/>
      <c r="E21" s="333" t="s">
        <v>637</v>
      </c>
      <c r="F21" s="334" t="s">
        <v>638</v>
      </c>
      <c r="G21" s="332" t="s">
        <v>639</v>
      </c>
      <c r="H21" s="334" t="s">
        <v>627</v>
      </c>
      <c r="I21" s="334"/>
    </row>
    <row r="22" spans="2:9" x14ac:dyDescent="0.3">
      <c r="B22" s="332" t="s">
        <v>645</v>
      </c>
      <c r="C22" s="333"/>
      <c r="D22" s="332"/>
      <c r="E22" s="337">
        <v>168000</v>
      </c>
      <c r="F22" s="334">
        <v>1.8</v>
      </c>
      <c r="G22" s="335">
        <v>0.7155448811149383</v>
      </c>
      <c r="H22" s="334">
        <f>E22*F22/G22</f>
        <v>422615.00009448791</v>
      </c>
      <c r="I22" s="334"/>
    </row>
    <row r="23" spans="2:9" x14ac:dyDescent="0.3">
      <c r="B23" s="332"/>
      <c r="C23" s="333"/>
      <c r="D23" s="332"/>
      <c r="E23" s="333"/>
      <c r="F23" s="334"/>
      <c r="G23" s="332"/>
      <c r="H23" s="334" t="s">
        <v>628</v>
      </c>
      <c r="I23" s="334">
        <f>H22</f>
        <v>422615.00009448791</v>
      </c>
    </row>
    <row r="24" spans="2:9" x14ac:dyDescent="0.3">
      <c r="B24" s="332"/>
      <c r="C24" s="333"/>
      <c r="D24" s="332"/>
      <c r="E24" s="333"/>
      <c r="F24" s="334"/>
      <c r="G24" s="332"/>
      <c r="H24" s="330" t="s">
        <v>640</v>
      </c>
      <c r="I24" s="330">
        <f>I23+I15+I8+I19</f>
        <v>517415.00009448791</v>
      </c>
    </row>
    <row r="26" spans="2:9" x14ac:dyDescent="0.3">
      <c r="B26" s="339" t="s">
        <v>647</v>
      </c>
      <c r="C26" s="339" t="s">
        <v>621</v>
      </c>
      <c r="D26" s="341" t="s">
        <v>519</v>
      </c>
      <c r="E26" s="339"/>
      <c r="F26" s="340"/>
      <c r="G26" s="340" t="s">
        <v>622</v>
      </c>
      <c r="H26" s="340" t="s">
        <v>254</v>
      </c>
      <c r="I26" s="340">
        <f>+ROUND(I48,0)</f>
        <v>14301</v>
      </c>
    </row>
    <row r="27" spans="2:9" x14ac:dyDescent="0.3">
      <c r="B27" s="332" t="s">
        <v>623</v>
      </c>
      <c r="C27" s="333"/>
      <c r="D27" s="332"/>
      <c r="E27" s="333"/>
      <c r="F27" s="334"/>
      <c r="G27" s="332"/>
      <c r="H27" s="334"/>
      <c r="I27" s="334"/>
    </row>
    <row r="28" spans="2:9" x14ac:dyDescent="0.3">
      <c r="B28" s="332" t="s">
        <v>271</v>
      </c>
      <c r="C28" s="333"/>
      <c r="D28" s="332"/>
      <c r="E28" s="333" t="s">
        <v>624</v>
      </c>
      <c r="F28" s="334" t="s">
        <v>625</v>
      </c>
      <c r="G28" s="332" t="s">
        <v>626</v>
      </c>
      <c r="H28" s="334" t="s">
        <v>627</v>
      </c>
      <c r="I28" s="334"/>
    </row>
    <row r="29" spans="2:9" x14ac:dyDescent="0.3">
      <c r="B29" s="332" t="s">
        <v>642</v>
      </c>
      <c r="C29" s="333"/>
      <c r="D29" s="332"/>
      <c r="E29" s="333" t="s">
        <v>644</v>
      </c>
      <c r="F29" s="334">
        <v>1500</v>
      </c>
      <c r="G29" s="335">
        <v>8</v>
      </c>
      <c r="H29" s="334">
        <f>F29*G29</f>
        <v>12000</v>
      </c>
      <c r="I29" s="334"/>
    </row>
    <row r="30" spans="2:9" x14ac:dyDescent="0.3">
      <c r="B30" s="332"/>
      <c r="C30" s="333"/>
      <c r="D30" s="332"/>
      <c r="E30" s="333"/>
      <c r="F30" s="334"/>
      <c r="G30" s="335"/>
      <c r="H30" s="334"/>
      <c r="I30" s="334"/>
    </row>
    <row r="31" spans="2:9" x14ac:dyDescent="0.3">
      <c r="B31" s="332"/>
      <c r="C31" s="333"/>
      <c r="D31" s="332"/>
      <c r="E31" s="333"/>
      <c r="F31" s="334"/>
      <c r="G31" s="335"/>
      <c r="H31" s="334"/>
      <c r="I31" s="334"/>
    </row>
    <row r="32" spans="2:9" x14ac:dyDescent="0.3">
      <c r="B32" s="332"/>
      <c r="C32" s="333"/>
      <c r="D32" s="332"/>
      <c r="E32" s="333"/>
      <c r="F32" s="334"/>
      <c r="G32" s="332"/>
      <c r="H32" s="334" t="s">
        <v>628</v>
      </c>
      <c r="I32" s="334">
        <f>SUM(H29:H31)</f>
        <v>12000</v>
      </c>
    </row>
    <row r="33" spans="2:9" x14ac:dyDescent="0.3">
      <c r="B33" s="332" t="s">
        <v>629</v>
      </c>
      <c r="C33" s="333"/>
      <c r="D33" s="332"/>
      <c r="E33" s="333"/>
      <c r="F33" s="334"/>
      <c r="G33" s="332"/>
      <c r="H33" s="334"/>
      <c r="I33" s="334"/>
    </row>
    <row r="34" spans="2:9" x14ac:dyDescent="0.3">
      <c r="B34" s="332" t="s">
        <v>271</v>
      </c>
      <c r="C34" s="333"/>
      <c r="D34" s="332"/>
      <c r="E34" s="333" t="s">
        <v>624</v>
      </c>
      <c r="F34" s="334" t="s">
        <v>630</v>
      </c>
      <c r="G34" s="332" t="s">
        <v>631</v>
      </c>
      <c r="H34" s="334" t="s">
        <v>627</v>
      </c>
      <c r="I34" s="334"/>
    </row>
    <row r="35" spans="2:9" x14ac:dyDescent="0.3">
      <c r="B35" s="332"/>
      <c r="C35" s="333"/>
      <c r="D35" s="332"/>
      <c r="E35" s="333"/>
      <c r="F35" s="334"/>
      <c r="G35" s="332"/>
      <c r="H35" s="334"/>
      <c r="I35" s="334"/>
    </row>
    <row r="36" spans="2:9" x14ac:dyDescent="0.3">
      <c r="B36" s="332"/>
      <c r="C36" s="333"/>
      <c r="D36" s="332"/>
      <c r="E36" s="333"/>
      <c r="F36" s="334"/>
      <c r="G36" s="332"/>
      <c r="H36" s="334"/>
      <c r="I36" s="334"/>
    </row>
    <row r="37" spans="2:9" x14ac:dyDescent="0.3">
      <c r="B37" s="332"/>
      <c r="C37" s="333"/>
      <c r="D37" s="332"/>
      <c r="E37" s="333"/>
      <c r="F37" s="334"/>
      <c r="G37" s="332"/>
      <c r="H37" s="334"/>
      <c r="I37" s="334"/>
    </row>
    <row r="38" spans="2:9" x14ac:dyDescent="0.3">
      <c r="B38" s="332"/>
      <c r="C38" s="333"/>
      <c r="D38" s="332"/>
      <c r="E38" s="333"/>
      <c r="F38" s="334"/>
      <c r="G38" s="332"/>
      <c r="H38" s="334"/>
      <c r="I38" s="334"/>
    </row>
    <row r="39" spans="2:9" x14ac:dyDescent="0.3">
      <c r="B39" s="332"/>
      <c r="C39" s="333"/>
      <c r="D39" s="332"/>
      <c r="E39" s="333"/>
      <c r="F39" s="334"/>
      <c r="G39" s="332"/>
      <c r="H39" s="334" t="s">
        <v>628</v>
      </c>
      <c r="I39" s="334">
        <f>SUM(H35:H38)</f>
        <v>0</v>
      </c>
    </row>
    <row r="40" spans="2:9" x14ac:dyDescent="0.3">
      <c r="B40" s="332" t="s">
        <v>632</v>
      </c>
      <c r="C40" s="333"/>
      <c r="D40" s="332"/>
      <c r="E40" s="333" t="s">
        <v>624</v>
      </c>
      <c r="F40" s="334" t="s">
        <v>633</v>
      </c>
      <c r="G40" s="332" t="s">
        <v>634</v>
      </c>
      <c r="H40" s="334" t="s">
        <v>627</v>
      </c>
      <c r="I40" s="334"/>
    </row>
    <row r="41" spans="2:9" x14ac:dyDescent="0.3">
      <c r="B41" s="332"/>
      <c r="C41" s="333"/>
      <c r="D41" s="332"/>
      <c r="E41" s="332"/>
      <c r="F41" s="332"/>
      <c r="G41" s="332"/>
      <c r="H41" s="332"/>
      <c r="I41" s="332"/>
    </row>
    <row r="42" spans="2:9" x14ac:dyDescent="0.3">
      <c r="B42" s="332"/>
      <c r="C42" s="333"/>
      <c r="D42" s="332"/>
      <c r="E42" s="333"/>
      <c r="F42" s="336"/>
      <c r="G42" s="334"/>
      <c r="H42" s="334"/>
      <c r="I42" s="334"/>
    </row>
    <row r="43" spans="2:9" x14ac:dyDescent="0.3">
      <c r="B43" s="332"/>
      <c r="C43" s="333"/>
      <c r="D43" s="332"/>
      <c r="E43" s="333"/>
      <c r="F43" s="334"/>
      <c r="G43" s="332"/>
      <c r="H43" s="334" t="s">
        <v>628</v>
      </c>
      <c r="I43" s="334">
        <f>SUM(H42)</f>
        <v>0</v>
      </c>
    </row>
    <row r="44" spans="2:9" x14ac:dyDescent="0.3">
      <c r="B44" s="332" t="s">
        <v>635</v>
      </c>
      <c r="C44" s="333"/>
      <c r="D44" s="332"/>
      <c r="E44" s="333"/>
      <c r="F44" s="334"/>
      <c r="G44" s="332"/>
      <c r="H44" s="334"/>
      <c r="I44" s="334"/>
    </row>
    <row r="45" spans="2:9" x14ac:dyDescent="0.3">
      <c r="B45" s="332" t="s">
        <v>636</v>
      </c>
      <c r="C45" s="333"/>
      <c r="D45" s="332"/>
      <c r="E45" s="333" t="s">
        <v>637</v>
      </c>
      <c r="F45" s="334" t="s">
        <v>638</v>
      </c>
      <c r="G45" s="332" t="s">
        <v>639</v>
      </c>
      <c r="H45" s="334" t="s">
        <v>627</v>
      </c>
      <c r="I45" s="334"/>
    </row>
    <row r="46" spans="2:9" x14ac:dyDescent="0.3">
      <c r="B46" s="332" t="s">
        <v>645</v>
      </c>
      <c r="C46" s="333"/>
      <c r="D46" s="332"/>
      <c r="E46" s="337">
        <v>168000</v>
      </c>
      <c r="F46" s="334">
        <v>1.8</v>
      </c>
      <c r="G46" s="338">
        <v>131.42112051016397</v>
      </c>
      <c r="H46" s="334">
        <f>E46*F46/G46</f>
        <v>2301.0000129820282</v>
      </c>
      <c r="I46" s="334"/>
    </row>
    <row r="47" spans="2:9" x14ac:dyDescent="0.3">
      <c r="B47" s="332"/>
      <c r="C47" s="333"/>
      <c r="D47" s="332"/>
      <c r="E47" s="333"/>
      <c r="F47" s="334"/>
      <c r="G47" s="332"/>
      <c r="H47" s="334" t="s">
        <v>628</v>
      </c>
      <c r="I47" s="334">
        <f>H46</f>
        <v>2301.0000129820282</v>
      </c>
    </row>
    <row r="48" spans="2:9" x14ac:dyDescent="0.3">
      <c r="B48" s="332"/>
      <c r="C48" s="333"/>
      <c r="D48" s="332"/>
      <c r="E48" s="333"/>
      <c r="F48" s="334"/>
      <c r="G48" s="332"/>
      <c r="H48" s="330" t="s">
        <v>640</v>
      </c>
      <c r="I48" s="330">
        <f>I47+I39+I32+I43</f>
        <v>14301.000012982029</v>
      </c>
    </row>
    <row r="50" spans="2:9" ht="43.2" x14ac:dyDescent="0.3">
      <c r="B50" s="339" t="s">
        <v>648</v>
      </c>
      <c r="C50" s="339" t="s">
        <v>621</v>
      </c>
      <c r="D50" s="341" t="s">
        <v>527</v>
      </c>
      <c r="E50" s="339"/>
      <c r="F50" s="340"/>
      <c r="G50" s="340" t="s">
        <v>622</v>
      </c>
      <c r="H50" s="340" t="s">
        <v>649</v>
      </c>
      <c r="I50" s="340">
        <f>+ROUND(I72,0)</f>
        <v>13492</v>
      </c>
    </row>
    <row r="51" spans="2:9" x14ac:dyDescent="0.3">
      <c r="B51" s="332" t="s">
        <v>623</v>
      </c>
      <c r="C51" s="333"/>
      <c r="D51" s="332"/>
      <c r="E51" s="333"/>
      <c r="F51" s="334"/>
      <c r="G51" s="332"/>
      <c r="H51" s="334"/>
      <c r="I51" s="334"/>
    </row>
    <row r="52" spans="2:9" x14ac:dyDescent="0.3">
      <c r="B52" s="332" t="s">
        <v>271</v>
      </c>
      <c r="C52" s="333"/>
      <c r="D52" s="332"/>
      <c r="E52" s="333" t="s">
        <v>624</v>
      </c>
      <c r="F52" s="334" t="s">
        <v>625</v>
      </c>
      <c r="G52" s="332" t="s">
        <v>626</v>
      </c>
      <c r="H52" s="334" t="s">
        <v>627</v>
      </c>
      <c r="I52" s="334"/>
    </row>
    <row r="53" spans="2:9" x14ac:dyDescent="0.3">
      <c r="B53" s="332" t="s">
        <v>642</v>
      </c>
      <c r="C53" s="333"/>
      <c r="D53" s="332"/>
      <c r="E53" s="333" t="s">
        <v>644</v>
      </c>
      <c r="F53" s="334">
        <v>1500</v>
      </c>
      <c r="G53" s="335">
        <v>4</v>
      </c>
      <c r="H53" s="334">
        <f>F53*G53</f>
        <v>6000</v>
      </c>
      <c r="I53" s="334"/>
    </row>
    <row r="54" spans="2:9" x14ac:dyDescent="0.3">
      <c r="B54" s="332"/>
      <c r="C54" s="333"/>
      <c r="D54" s="332"/>
      <c r="E54" s="333"/>
      <c r="F54" s="334"/>
      <c r="G54" s="335"/>
      <c r="H54" s="334"/>
      <c r="I54" s="334"/>
    </row>
    <row r="55" spans="2:9" x14ac:dyDescent="0.3">
      <c r="B55" s="332"/>
      <c r="C55" s="333"/>
      <c r="D55" s="332"/>
      <c r="E55" s="333"/>
      <c r="F55" s="334"/>
      <c r="G55" s="335"/>
      <c r="H55" s="334"/>
      <c r="I55" s="334"/>
    </row>
    <row r="56" spans="2:9" x14ac:dyDescent="0.3">
      <c r="B56" s="332"/>
      <c r="C56" s="333"/>
      <c r="D56" s="332"/>
      <c r="E56" s="333"/>
      <c r="F56" s="334"/>
      <c r="G56" s="332"/>
      <c r="H56" s="334" t="s">
        <v>628</v>
      </c>
      <c r="I56" s="334">
        <f>SUM(H53:H55)</f>
        <v>6000</v>
      </c>
    </row>
    <row r="57" spans="2:9" x14ac:dyDescent="0.3">
      <c r="B57" s="332" t="s">
        <v>629</v>
      </c>
      <c r="C57" s="333"/>
      <c r="D57" s="332"/>
      <c r="E57" s="333"/>
      <c r="F57" s="334"/>
      <c r="G57" s="332"/>
      <c r="H57" s="334"/>
      <c r="I57" s="334"/>
    </row>
    <row r="58" spans="2:9" x14ac:dyDescent="0.3">
      <c r="B58" s="332" t="s">
        <v>271</v>
      </c>
      <c r="C58" s="333"/>
      <c r="D58" s="332"/>
      <c r="E58" s="333" t="s">
        <v>624</v>
      </c>
      <c r="F58" s="334" t="s">
        <v>630</v>
      </c>
      <c r="G58" s="332" t="s">
        <v>631</v>
      </c>
      <c r="H58" s="334" t="s">
        <v>627</v>
      </c>
      <c r="I58" s="334"/>
    </row>
    <row r="59" spans="2:9" x14ac:dyDescent="0.3">
      <c r="B59" s="332" t="s">
        <v>654</v>
      </c>
      <c r="C59" s="333"/>
      <c r="D59" s="332"/>
      <c r="E59" s="333" t="s">
        <v>159</v>
      </c>
      <c r="F59" s="334">
        <v>250</v>
      </c>
      <c r="G59" s="332">
        <v>1.1000000000000001</v>
      </c>
      <c r="H59" s="334">
        <f>F59*G59</f>
        <v>275</v>
      </c>
      <c r="I59" s="334"/>
    </row>
    <row r="60" spans="2:9" x14ac:dyDescent="0.3">
      <c r="B60" s="332" t="s">
        <v>650</v>
      </c>
      <c r="C60" s="333"/>
      <c r="D60" s="332"/>
      <c r="E60" s="333" t="s">
        <v>651</v>
      </c>
      <c r="F60" s="334">
        <v>46800</v>
      </c>
      <c r="G60" s="332">
        <v>8.4000000000000012E-3</v>
      </c>
      <c r="H60" s="334">
        <f>F60*G60</f>
        <v>393.12000000000006</v>
      </c>
      <c r="I60" s="334"/>
    </row>
    <row r="61" spans="2:9" x14ac:dyDescent="0.3">
      <c r="B61" s="332" t="s">
        <v>652</v>
      </c>
      <c r="C61" s="333"/>
      <c r="D61" s="332"/>
      <c r="E61" s="333" t="s">
        <v>653</v>
      </c>
      <c r="F61" s="334">
        <v>2500</v>
      </c>
      <c r="G61" s="332">
        <v>0.5</v>
      </c>
      <c r="H61" s="334">
        <f>F61*G61</f>
        <v>1250</v>
      </c>
      <c r="I61" s="334"/>
    </row>
    <row r="62" spans="2:9" x14ac:dyDescent="0.3">
      <c r="B62" s="332"/>
      <c r="C62" s="333"/>
      <c r="D62" s="332"/>
      <c r="E62" s="333"/>
      <c r="F62" s="334"/>
      <c r="G62" s="332"/>
      <c r="H62" s="334"/>
      <c r="I62" s="334"/>
    </row>
    <row r="63" spans="2:9" x14ac:dyDescent="0.3">
      <c r="B63" s="332"/>
      <c r="C63" s="333"/>
      <c r="D63" s="332"/>
      <c r="E63" s="333"/>
      <c r="F63" s="334"/>
      <c r="G63" s="332"/>
      <c r="H63" s="334" t="s">
        <v>628</v>
      </c>
      <c r="I63" s="334">
        <f>SUM(H59:H62)</f>
        <v>1918.1200000000001</v>
      </c>
    </row>
    <row r="64" spans="2:9" x14ac:dyDescent="0.3">
      <c r="B64" s="332" t="s">
        <v>632</v>
      </c>
      <c r="C64" s="333"/>
      <c r="D64" s="332"/>
      <c r="E64" s="333" t="s">
        <v>624</v>
      </c>
      <c r="F64" s="334" t="s">
        <v>633</v>
      </c>
      <c r="G64" s="332" t="s">
        <v>634</v>
      </c>
      <c r="H64" s="334" t="s">
        <v>627</v>
      </c>
      <c r="I64" s="334"/>
    </row>
    <row r="65" spans="2:9" x14ac:dyDescent="0.3">
      <c r="B65" s="332"/>
      <c r="C65" s="333"/>
      <c r="D65" s="332"/>
      <c r="E65" s="332"/>
      <c r="F65" s="332"/>
      <c r="G65" s="332"/>
      <c r="H65" s="332"/>
      <c r="I65" s="332"/>
    </row>
    <row r="66" spans="2:9" x14ac:dyDescent="0.3">
      <c r="B66" s="332"/>
      <c r="C66" s="333"/>
      <c r="D66" s="332"/>
      <c r="E66" s="333"/>
      <c r="F66" s="336"/>
      <c r="G66" s="334"/>
      <c r="H66" s="334"/>
      <c r="I66" s="334"/>
    </row>
    <row r="67" spans="2:9" x14ac:dyDescent="0.3">
      <c r="B67" s="332"/>
      <c r="C67" s="333"/>
      <c r="D67" s="332"/>
      <c r="E67" s="333"/>
      <c r="F67" s="334"/>
      <c r="G67" s="332"/>
      <c r="H67" s="334" t="s">
        <v>628</v>
      </c>
      <c r="I67" s="334">
        <f>SUM(H66)</f>
        <v>0</v>
      </c>
    </row>
    <row r="68" spans="2:9" x14ac:dyDescent="0.3">
      <c r="B68" s="332" t="s">
        <v>635</v>
      </c>
      <c r="C68" s="333"/>
      <c r="D68" s="332"/>
      <c r="E68" s="333"/>
      <c r="F68" s="334"/>
      <c r="G68" s="332"/>
      <c r="H68" s="334"/>
      <c r="I68" s="334"/>
    </row>
    <row r="69" spans="2:9" x14ac:dyDescent="0.3">
      <c r="B69" s="332" t="s">
        <v>636</v>
      </c>
      <c r="C69" s="333"/>
      <c r="D69" s="332"/>
      <c r="E69" s="333" t="s">
        <v>637</v>
      </c>
      <c r="F69" s="334" t="s">
        <v>638</v>
      </c>
      <c r="G69" s="332" t="s">
        <v>639</v>
      </c>
      <c r="H69" s="334" t="s">
        <v>627</v>
      </c>
      <c r="I69" s="334"/>
    </row>
    <row r="70" spans="2:9" x14ac:dyDescent="0.3">
      <c r="B70" s="332" t="s">
        <v>645</v>
      </c>
      <c r="C70" s="333"/>
      <c r="D70" s="332"/>
      <c r="E70" s="337">
        <v>168000</v>
      </c>
      <c r="F70" s="334">
        <v>1.8</v>
      </c>
      <c r="G70" s="338">
        <v>54.253051983544196</v>
      </c>
      <c r="H70" s="334">
        <f>E70*F70/G70</f>
        <v>5573.879974378634</v>
      </c>
      <c r="I70" s="334"/>
    </row>
    <row r="71" spans="2:9" x14ac:dyDescent="0.3">
      <c r="B71" s="332"/>
      <c r="C71" s="333"/>
      <c r="D71" s="332"/>
      <c r="E71" s="333"/>
      <c r="F71" s="334"/>
      <c r="G71" s="332"/>
      <c r="H71" s="334" t="s">
        <v>628</v>
      </c>
      <c r="I71" s="334">
        <f>H70</f>
        <v>5573.879974378634</v>
      </c>
    </row>
    <row r="72" spans="2:9" x14ac:dyDescent="0.3">
      <c r="B72" s="332"/>
      <c r="C72" s="333"/>
      <c r="D72" s="332"/>
      <c r="E72" s="333"/>
      <c r="F72" s="334"/>
      <c r="G72" s="332"/>
      <c r="H72" s="330" t="s">
        <v>640</v>
      </c>
      <c r="I72" s="330">
        <f>I71+I63+I56+I67</f>
        <v>13491.999974378634</v>
      </c>
    </row>
    <row r="74" spans="2:9" ht="61.2" customHeight="1" x14ac:dyDescent="0.3">
      <c r="B74" s="339" t="s">
        <v>657</v>
      </c>
      <c r="C74" s="339" t="s">
        <v>621</v>
      </c>
      <c r="D74" s="341" t="s">
        <v>528</v>
      </c>
      <c r="E74" s="339"/>
      <c r="F74" s="340"/>
      <c r="G74" s="340" t="s">
        <v>622</v>
      </c>
      <c r="H74" s="340" t="s">
        <v>33</v>
      </c>
      <c r="I74" s="340">
        <f>+ROUND(I96,0)</f>
        <v>22300</v>
      </c>
    </row>
    <row r="75" spans="2:9" x14ac:dyDescent="0.3">
      <c r="B75" s="332" t="s">
        <v>623</v>
      </c>
      <c r="C75" s="333"/>
      <c r="D75" s="332"/>
      <c r="E75" s="333"/>
      <c r="F75" s="334"/>
      <c r="G75" s="332"/>
      <c r="H75" s="334"/>
      <c r="I75" s="334"/>
    </row>
    <row r="76" spans="2:9" x14ac:dyDescent="0.3">
      <c r="B76" s="332" t="s">
        <v>271</v>
      </c>
      <c r="C76" s="333"/>
      <c r="D76" s="332"/>
      <c r="E76" s="333" t="s">
        <v>624</v>
      </c>
      <c r="F76" s="334" t="s">
        <v>625</v>
      </c>
      <c r="G76" s="332" t="s">
        <v>626</v>
      </c>
      <c r="H76" s="334" t="s">
        <v>627</v>
      </c>
      <c r="I76" s="334"/>
    </row>
    <row r="77" spans="2:9" x14ac:dyDescent="0.3">
      <c r="B77" s="332" t="s">
        <v>642</v>
      </c>
      <c r="C77" s="333"/>
      <c r="D77" s="332"/>
      <c r="E77" s="333" t="s">
        <v>644</v>
      </c>
      <c r="F77" s="334">
        <v>1500</v>
      </c>
      <c r="G77" s="335">
        <v>4</v>
      </c>
      <c r="H77" s="334">
        <f>F77*G77</f>
        <v>6000</v>
      </c>
      <c r="I77" s="334"/>
    </row>
    <row r="78" spans="2:9" x14ac:dyDescent="0.3">
      <c r="B78" s="332"/>
      <c r="C78" s="333"/>
      <c r="D78" s="332"/>
      <c r="E78" s="333"/>
      <c r="F78" s="334"/>
      <c r="G78" s="335"/>
      <c r="H78" s="334"/>
      <c r="I78" s="334"/>
    </row>
    <row r="79" spans="2:9" x14ac:dyDescent="0.3">
      <c r="B79" s="332"/>
      <c r="C79" s="333"/>
      <c r="D79" s="332"/>
      <c r="E79" s="333"/>
      <c r="F79" s="334"/>
      <c r="G79" s="335"/>
      <c r="H79" s="334"/>
      <c r="I79" s="334"/>
    </row>
    <row r="80" spans="2:9" x14ac:dyDescent="0.3">
      <c r="B80" s="332"/>
      <c r="C80" s="333"/>
      <c r="D80" s="332"/>
      <c r="E80" s="333"/>
      <c r="F80" s="334"/>
      <c r="G80" s="332"/>
      <c r="H80" s="334" t="s">
        <v>628</v>
      </c>
      <c r="I80" s="334">
        <f>SUM(H77:H79)</f>
        <v>6000</v>
      </c>
    </row>
    <row r="81" spans="2:10" x14ac:dyDescent="0.3">
      <c r="B81" s="332" t="s">
        <v>629</v>
      </c>
      <c r="C81" s="333"/>
      <c r="D81" s="332"/>
      <c r="E81" s="333"/>
      <c r="F81" s="334"/>
      <c r="G81" s="332"/>
      <c r="H81" s="334"/>
      <c r="I81" s="334"/>
    </row>
    <row r="82" spans="2:10" x14ac:dyDescent="0.3">
      <c r="B82" s="332" t="s">
        <v>271</v>
      </c>
      <c r="C82" s="333"/>
      <c r="D82" s="332"/>
      <c r="E82" s="333" t="s">
        <v>624</v>
      </c>
      <c r="F82" s="334" t="s">
        <v>630</v>
      </c>
      <c r="G82" s="332" t="s">
        <v>631</v>
      </c>
      <c r="H82" s="334" t="s">
        <v>627</v>
      </c>
      <c r="I82" s="334"/>
    </row>
    <row r="83" spans="2:10" x14ac:dyDescent="0.3">
      <c r="B83" s="332" t="s">
        <v>655</v>
      </c>
      <c r="C83" s="333"/>
      <c r="D83" s="332"/>
      <c r="E83" s="333" t="s">
        <v>656</v>
      </c>
      <c r="F83" s="334">
        <v>16000</v>
      </c>
      <c r="G83" s="335">
        <v>0.67038250160133539</v>
      </c>
      <c r="H83" s="334">
        <f>F83*G83</f>
        <v>10726.120025621367</v>
      </c>
      <c r="I83" s="334"/>
    </row>
    <row r="84" spans="2:10" x14ac:dyDescent="0.3">
      <c r="B84" s="332"/>
      <c r="C84" s="333"/>
      <c r="D84" s="332"/>
      <c r="E84" s="333"/>
      <c r="F84" s="334"/>
      <c r="G84" s="332"/>
      <c r="H84" s="334"/>
      <c r="I84" s="334"/>
    </row>
    <row r="85" spans="2:10" x14ac:dyDescent="0.3">
      <c r="B85" s="332"/>
      <c r="C85" s="333"/>
      <c r="D85" s="332"/>
      <c r="E85" s="333"/>
      <c r="F85" s="334"/>
      <c r="G85" s="332"/>
      <c r="H85" s="334"/>
      <c r="I85" s="334"/>
    </row>
    <row r="86" spans="2:10" x14ac:dyDescent="0.3">
      <c r="B86" s="332"/>
      <c r="C86" s="333"/>
      <c r="D86" s="332"/>
      <c r="E86" s="333"/>
      <c r="F86" s="334"/>
      <c r="G86" s="332"/>
      <c r="H86" s="334"/>
      <c r="I86" s="334"/>
    </row>
    <row r="87" spans="2:10" x14ac:dyDescent="0.3">
      <c r="B87" s="332"/>
      <c r="C87" s="333"/>
      <c r="D87" s="332"/>
      <c r="E87" s="333"/>
      <c r="F87" s="334"/>
      <c r="G87" s="332"/>
      <c r="H87" s="334" t="s">
        <v>628</v>
      </c>
      <c r="I87" s="334">
        <f>SUM(H83:H86)</f>
        <v>10726.120025621367</v>
      </c>
    </row>
    <row r="88" spans="2:10" x14ac:dyDescent="0.3">
      <c r="B88" s="332" t="s">
        <v>632</v>
      </c>
      <c r="C88" s="333"/>
      <c r="D88" s="332"/>
      <c r="E88" s="333" t="s">
        <v>624</v>
      </c>
      <c r="F88" s="334" t="s">
        <v>633</v>
      </c>
      <c r="G88" s="332" t="s">
        <v>634</v>
      </c>
      <c r="H88" s="334" t="s">
        <v>627</v>
      </c>
      <c r="I88" s="334"/>
    </row>
    <row r="89" spans="2:10" x14ac:dyDescent="0.3">
      <c r="B89" s="332"/>
      <c r="C89" s="333"/>
      <c r="D89" s="332"/>
      <c r="E89" s="332"/>
      <c r="F89" s="332"/>
      <c r="G89" s="332"/>
      <c r="H89" s="332"/>
      <c r="I89" s="332"/>
    </row>
    <row r="90" spans="2:10" x14ac:dyDescent="0.3">
      <c r="B90" s="332"/>
      <c r="C90" s="333"/>
      <c r="D90" s="332"/>
      <c r="E90" s="333"/>
      <c r="F90" s="336"/>
      <c r="G90" s="334"/>
      <c r="H90" s="334"/>
      <c r="I90" s="334"/>
    </row>
    <row r="91" spans="2:10" x14ac:dyDescent="0.3">
      <c r="B91" s="332"/>
      <c r="C91" s="333"/>
      <c r="D91" s="332"/>
      <c r="E91" s="333"/>
      <c r="F91" s="334"/>
      <c r="G91" s="332"/>
      <c r="H91" s="334" t="s">
        <v>628</v>
      </c>
      <c r="I91" s="334">
        <f>SUM(H90)</f>
        <v>0</v>
      </c>
    </row>
    <row r="92" spans="2:10" x14ac:dyDescent="0.3">
      <c r="B92" s="332" t="s">
        <v>635</v>
      </c>
      <c r="C92" s="333"/>
      <c r="D92" s="332"/>
      <c r="E92" s="333"/>
      <c r="F92" s="334"/>
      <c r="G92" s="332"/>
      <c r="H92" s="334"/>
      <c r="I92" s="334"/>
    </row>
    <row r="93" spans="2:10" x14ac:dyDescent="0.3">
      <c r="B93" s="332" t="s">
        <v>636</v>
      </c>
      <c r="C93" s="333"/>
      <c r="D93" s="332"/>
      <c r="E93" s="333" t="s">
        <v>637</v>
      </c>
      <c r="F93" s="334" t="s">
        <v>638</v>
      </c>
      <c r="G93" s="332" t="s">
        <v>639</v>
      </c>
      <c r="H93" s="334" t="s">
        <v>627</v>
      </c>
      <c r="I93" s="334"/>
    </row>
    <row r="94" spans="2:10" x14ac:dyDescent="0.3">
      <c r="B94" s="332" t="s">
        <v>645</v>
      </c>
      <c r="C94" s="333"/>
      <c r="D94" s="332"/>
      <c r="E94" s="337">
        <v>168000</v>
      </c>
      <c r="F94" s="334">
        <v>1.8</v>
      </c>
      <c r="G94" s="338">
        <v>54.253051983544196</v>
      </c>
      <c r="H94" s="334">
        <f>E94*F94/G94</f>
        <v>5573.879974378634</v>
      </c>
      <c r="I94" s="334"/>
    </row>
    <row r="95" spans="2:10" x14ac:dyDescent="0.3">
      <c r="B95" s="332"/>
      <c r="C95" s="333"/>
      <c r="D95" s="332"/>
      <c r="E95" s="333"/>
      <c r="F95" s="334"/>
      <c r="G95" s="332"/>
      <c r="H95" s="334" t="s">
        <v>628</v>
      </c>
      <c r="I95" s="334">
        <f>H94</f>
        <v>5573.879974378634</v>
      </c>
    </row>
    <row r="96" spans="2:10" x14ac:dyDescent="0.3">
      <c r="B96" s="332"/>
      <c r="C96" s="333"/>
      <c r="D96" s="332"/>
      <c r="E96" s="333"/>
      <c r="F96" s="334"/>
      <c r="G96" s="332"/>
      <c r="H96" s="330" t="s">
        <v>640</v>
      </c>
      <c r="I96" s="330">
        <f>I95+I87+I80+I91</f>
        <v>22300</v>
      </c>
      <c r="J96">
        <v>22300</v>
      </c>
    </row>
    <row r="98" spans="2:9" ht="43.2" x14ac:dyDescent="0.3">
      <c r="B98" s="339" t="s">
        <v>658</v>
      </c>
      <c r="C98" s="339" t="s">
        <v>621</v>
      </c>
      <c r="D98" s="341" t="s">
        <v>529</v>
      </c>
      <c r="E98" s="339"/>
      <c r="F98" s="340"/>
      <c r="G98" s="340" t="s">
        <v>622</v>
      </c>
      <c r="H98" s="340" t="s">
        <v>33</v>
      </c>
      <c r="I98" s="340">
        <f>+ROUND(I120,0)</f>
        <v>17300</v>
      </c>
    </row>
    <row r="99" spans="2:9" x14ac:dyDescent="0.3">
      <c r="B99" s="332" t="s">
        <v>623</v>
      </c>
      <c r="C99" s="333"/>
      <c r="D99" s="332"/>
      <c r="E99" s="333"/>
      <c r="F99" s="334"/>
      <c r="G99" s="332"/>
      <c r="H99" s="334"/>
      <c r="I99" s="334"/>
    </row>
    <row r="100" spans="2:9" x14ac:dyDescent="0.3">
      <c r="B100" s="332" t="s">
        <v>271</v>
      </c>
      <c r="C100" s="333"/>
      <c r="D100" s="332"/>
      <c r="E100" s="333" t="s">
        <v>624</v>
      </c>
      <c r="F100" s="334" t="s">
        <v>625</v>
      </c>
      <c r="G100" s="332" t="s">
        <v>626</v>
      </c>
      <c r="H100" s="334" t="s">
        <v>627</v>
      </c>
      <c r="I100" s="334"/>
    </row>
    <row r="101" spans="2:9" x14ac:dyDescent="0.3">
      <c r="B101" s="332" t="s">
        <v>642</v>
      </c>
      <c r="C101" s="333"/>
      <c r="D101" s="332"/>
      <c r="E101" s="333" t="s">
        <v>644</v>
      </c>
      <c r="F101" s="334">
        <v>1500</v>
      </c>
      <c r="G101" s="335">
        <v>4</v>
      </c>
      <c r="H101" s="334">
        <f>F101*G101</f>
        <v>6000</v>
      </c>
      <c r="I101" s="334"/>
    </row>
    <row r="102" spans="2:9" x14ac:dyDescent="0.3">
      <c r="B102" s="332"/>
      <c r="C102" s="333"/>
      <c r="D102" s="332"/>
      <c r="E102" s="333"/>
      <c r="F102" s="334"/>
      <c r="G102" s="335"/>
      <c r="H102" s="334"/>
      <c r="I102" s="334"/>
    </row>
    <row r="103" spans="2:9" x14ac:dyDescent="0.3">
      <c r="B103" s="332"/>
      <c r="C103" s="333"/>
      <c r="D103" s="332"/>
      <c r="E103" s="333"/>
      <c r="F103" s="334"/>
      <c r="G103" s="335"/>
      <c r="H103" s="334"/>
      <c r="I103" s="334"/>
    </row>
    <row r="104" spans="2:9" x14ac:dyDescent="0.3">
      <c r="B104" s="332"/>
      <c r="C104" s="333"/>
      <c r="D104" s="332"/>
      <c r="E104" s="333"/>
      <c r="F104" s="334"/>
      <c r="G104" s="332"/>
      <c r="H104" s="334" t="s">
        <v>628</v>
      </c>
      <c r="I104" s="334">
        <f>SUM(H101:H103)</f>
        <v>6000</v>
      </c>
    </row>
    <row r="105" spans="2:9" x14ac:dyDescent="0.3">
      <c r="B105" s="332" t="s">
        <v>629</v>
      </c>
      <c r="C105" s="333"/>
      <c r="D105" s="332"/>
      <c r="E105" s="333"/>
      <c r="F105" s="334"/>
      <c r="G105" s="332"/>
      <c r="H105" s="334"/>
      <c r="I105" s="334"/>
    </row>
    <row r="106" spans="2:9" x14ac:dyDescent="0.3">
      <c r="B106" s="332" t="s">
        <v>271</v>
      </c>
      <c r="C106" s="333"/>
      <c r="D106" s="332"/>
      <c r="E106" s="333" t="s">
        <v>624</v>
      </c>
      <c r="F106" s="334" t="s">
        <v>630</v>
      </c>
      <c r="G106" s="332" t="s">
        <v>631</v>
      </c>
      <c r="H106" s="334" t="s">
        <v>627</v>
      </c>
      <c r="I106" s="334"/>
    </row>
    <row r="107" spans="2:9" x14ac:dyDescent="0.3">
      <c r="B107" s="332" t="s">
        <v>659</v>
      </c>
      <c r="C107" s="333"/>
      <c r="D107" s="332"/>
      <c r="E107" s="333" t="s">
        <v>656</v>
      </c>
      <c r="F107" s="334">
        <v>16000</v>
      </c>
      <c r="G107" s="335">
        <v>0.35788250160133539</v>
      </c>
      <c r="H107" s="334">
        <f>F107*G107</f>
        <v>5726.120025621366</v>
      </c>
      <c r="I107" s="334"/>
    </row>
    <row r="108" spans="2:9" x14ac:dyDescent="0.3">
      <c r="B108" s="332"/>
      <c r="C108" s="333"/>
      <c r="D108" s="332"/>
      <c r="E108" s="333"/>
      <c r="F108" s="334"/>
      <c r="G108" s="332"/>
      <c r="H108" s="334"/>
      <c r="I108" s="334"/>
    </row>
    <row r="109" spans="2:9" x14ac:dyDescent="0.3">
      <c r="B109" s="332"/>
      <c r="C109" s="333"/>
      <c r="D109" s="332"/>
      <c r="E109" s="333"/>
      <c r="F109" s="334"/>
      <c r="G109" s="332"/>
      <c r="H109" s="334"/>
      <c r="I109" s="334"/>
    </row>
    <row r="110" spans="2:9" x14ac:dyDescent="0.3">
      <c r="B110" s="332"/>
      <c r="C110" s="333"/>
      <c r="D110" s="332"/>
      <c r="E110" s="333"/>
      <c r="F110" s="334"/>
      <c r="G110" s="332"/>
      <c r="H110" s="334"/>
      <c r="I110" s="334"/>
    </row>
    <row r="111" spans="2:9" x14ac:dyDescent="0.3">
      <c r="B111" s="332"/>
      <c r="C111" s="333"/>
      <c r="D111" s="332"/>
      <c r="E111" s="333"/>
      <c r="F111" s="334"/>
      <c r="G111" s="332"/>
      <c r="H111" s="334" t="s">
        <v>628</v>
      </c>
      <c r="I111" s="334">
        <f>SUM(H107:H110)</f>
        <v>5726.120025621366</v>
      </c>
    </row>
    <row r="112" spans="2:9" x14ac:dyDescent="0.3">
      <c r="B112" s="332" t="s">
        <v>632</v>
      </c>
      <c r="C112" s="333"/>
      <c r="D112" s="332"/>
      <c r="E112" s="333" t="s">
        <v>624</v>
      </c>
      <c r="F112" s="334" t="s">
        <v>633</v>
      </c>
      <c r="G112" s="332" t="s">
        <v>634</v>
      </c>
      <c r="H112" s="334" t="s">
        <v>627</v>
      </c>
      <c r="I112" s="334"/>
    </row>
    <row r="113" spans="2:9" x14ac:dyDescent="0.3">
      <c r="B113" s="332"/>
      <c r="C113" s="333"/>
      <c r="D113" s="332"/>
      <c r="E113" s="332"/>
      <c r="F113" s="332"/>
      <c r="G113" s="332"/>
      <c r="H113" s="332"/>
      <c r="I113" s="332"/>
    </row>
    <row r="114" spans="2:9" x14ac:dyDescent="0.3">
      <c r="B114" s="332"/>
      <c r="C114" s="333"/>
      <c r="D114" s="332"/>
      <c r="E114" s="333"/>
      <c r="F114" s="336"/>
      <c r="G114" s="334"/>
      <c r="H114" s="334"/>
      <c r="I114" s="334"/>
    </row>
    <row r="115" spans="2:9" x14ac:dyDescent="0.3">
      <c r="B115" s="332"/>
      <c r="C115" s="333"/>
      <c r="D115" s="332"/>
      <c r="E115" s="333"/>
      <c r="F115" s="334"/>
      <c r="G115" s="332"/>
      <c r="H115" s="334" t="s">
        <v>628</v>
      </c>
      <c r="I115" s="334">
        <f>SUM(H114)</f>
        <v>0</v>
      </c>
    </row>
    <row r="116" spans="2:9" x14ac:dyDescent="0.3">
      <c r="B116" s="332" t="s">
        <v>635</v>
      </c>
      <c r="C116" s="333"/>
      <c r="D116" s="332"/>
      <c r="E116" s="333"/>
      <c r="F116" s="334"/>
      <c r="G116" s="332"/>
      <c r="H116" s="334"/>
      <c r="I116" s="334"/>
    </row>
    <row r="117" spans="2:9" x14ac:dyDescent="0.3">
      <c r="B117" s="332" t="s">
        <v>636</v>
      </c>
      <c r="C117" s="333"/>
      <c r="D117" s="332"/>
      <c r="E117" s="333" t="s">
        <v>637</v>
      </c>
      <c r="F117" s="334" t="s">
        <v>638</v>
      </c>
      <c r="G117" s="332" t="s">
        <v>639</v>
      </c>
      <c r="H117" s="334" t="s">
        <v>627</v>
      </c>
      <c r="I117" s="334"/>
    </row>
    <row r="118" spans="2:9" x14ac:dyDescent="0.3">
      <c r="B118" s="332" t="s">
        <v>645</v>
      </c>
      <c r="C118" s="333"/>
      <c r="D118" s="332"/>
      <c r="E118" s="337">
        <v>168000</v>
      </c>
      <c r="F118" s="334">
        <v>1.8</v>
      </c>
      <c r="G118" s="338">
        <v>54.253051983544196</v>
      </c>
      <c r="H118" s="334">
        <f>E118*F118/G118</f>
        <v>5573.879974378634</v>
      </c>
      <c r="I118" s="334"/>
    </row>
    <row r="119" spans="2:9" x14ac:dyDescent="0.3">
      <c r="B119" s="332"/>
      <c r="C119" s="333"/>
      <c r="D119" s="332"/>
      <c r="E119" s="333"/>
      <c r="F119" s="334"/>
      <c r="G119" s="332"/>
      <c r="H119" s="334" t="s">
        <v>628</v>
      </c>
      <c r="I119" s="334">
        <f>H118</f>
        <v>5573.879974378634</v>
      </c>
    </row>
    <row r="120" spans="2:9" x14ac:dyDescent="0.3">
      <c r="B120" s="332"/>
      <c r="C120" s="333"/>
      <c r="D120" s="332"/>
      <c r="E120" s="333"/>
      <c r="F120" s="334"/>
      <c r="G120" s="332"/>
      <c r="H120" s="330" t="s">
        <v>640</v>
      </c>
      <c r="I120" s="330">
        <f>I119+I111+I104+I115</f>
        <v>17300</v>
      </c>
    </row>
    <row r="122" spans="2:9" ht="28.8" x14ac:dyDescent="0.3">
      <c r="B122" s="339" t="s">
        <v>660</v>
      </c>
      <c r="C122" s="339" t="s">
        <v>621</v>
      </c>
      <c r="D122" s="341" t="s">
        <v>618</v>
      </c>
      <c r="E122" s="339"/>
      <c r="F122" s="340"/>
      <c r="G122" s="340" t="s">
        <v>622</v>
      </c>
      <c r="H122" s="340" t="s">
        <v>33</v>
      </c>
      <c r="I122" s="340">
        <f>+ROUND(I144,0)</f>
        <v>17300</v>
      </c>
    </row>
    <row r="123" spans="2:9" x14ac:dyDescent="0.3">
      <c r="B123" s="332" t="s">
        <v>623</v>
      </c>
      <c r="C123" s="333"/>
      <c r="D123" s="332"/>
      <c r="E123" s="333"/>
      <c r="F123" s="334"/>
      <c r="G123" s="332"/>
      <c r="H123" s="334"/>
      <c r="I123" s="334"/>
    </row>
    <row r="124" spans="2:9" x14ac:dyDescent="0.3">
      <c r="B124" s="332" t="s">
        <v>271</v>
      </c>
      <c r="C124" s="333"/>
      <c r="D124" s="332"/>
      <c r="E124" s="333" t="s">
        <v>624</v>
      </c>
      <c r="F124" s="334" t="s">
        <v>625</v>
      </c>
      <c r="G124" s="332" t="s">
        <v>626</v>
      </c>
      <c r="H124" s="334" t="s">
        <v>627</v>
      </c>
      <c r="I124" s="334"/>
    </row>
    <row r="125" spans="2:9" x14ac:dyDescent="0.3">
      <c r="B125" s="332" t="s">
        <v>642</v>
      </c>
      <c r="C125" s="333"/>
      <c r="D125" s="332"/>
      <c r="E125" s="333" t="s">
        <v>644</v>
      </c>
      <c r="F125" s="334">
        <v>1500</v>
      </c>
      <c r="G125" s="335">
        <v>4</v>
      </c>
      <c r="H125" s="334">
        <f>F125*G125</f>
        <v>6000</v>
      </c>
      <c r="I125" s="334"/>
    </row>
    <row r="126" spans="2:9" x14ac:dyDescent="0.3">
      <c r="B126" s="332"/>
      <c r="C126" s="333"/>
      <c r="D126" s="332"/>
      <c r="E126" s="333"/>
      <c r="F126" s="334"/>
      <c r="G126" s="335"/>
      <c r="H126" s="334"/>
      <c r="I126" s="334"/>
    </row>
    <row r="127" spans="2:9" x14ac:dyDescent="0.3">
      <c r="B127" s="332"/>
      <c r="C127" s="333"/>
      <c r="D127" s="332"/>
      <c r="E127" s="333"/>
      <c r="F127" s="334"/>
      <c r="G127" s="335"/>
      <c r="H127" s="334"/>
      <c r="I127" s="334"/>
    </row>
    <row r="128" spans="2:9" x14ac:dyDescent="0.3">
      <c r="B128" s="332"/>
      <c r="C128" s="333"/>
      <c r="D128" s="332"/>
      <c r="E128" s="333"/>
      <c r="F128" s="334"/>
      <c r="G128" s="332"/>
      <c r="H128" s="334" t="s">
        <v>628</v>
      </c>
      <c r="I128" s="334">
        <f>SUM(H125:H127)</f>
        <v>6000</v>
      </c>
    </row>
    <row r="129" spans="2:9" x14ac:dyDescent="0.3">
      <c r="B129" s="332" t="s">
        <v>629</v>
      </c>
      <c r="C129" s="333"/>
      <c r="D129" s="332"/>
      <c r="E129" s="333"/>
      <c r="F129" s="334"/>
      <c r="G129" s="332"/>
      <c r="H129" s="334"/>
      <c r="I129" s="334"/>
    </row>
    <row r="130" spans="2:9" x14ac:dyDescent="0.3">
      <c r="B130" s="332" t="s">
        <v>271</v>
      </c>
      <c r="C130" s="333"/>
      <c r="D130" s="332"/>
      <c r="E130" s="333" t="s">
        <v>624</v>
      </c>
      <c r="F130" s="334" t="s">
        <v>630</v>
      </c>
      <c r="G130" s="332" t="s">
        <v>631</v>
      </c>
      <c r="H130" s="334" t="s">
        <v>627</v>
      </c>
      <c r="I130" s="334"/>
    </row>
    <row r="131" spans="2:9" x14ac:dyDescent="0.3">
      <c r="B131" s="332" t="s">
        <v>661</v>
      </c>
      <c r="C131" s="333"/>
      <c r="D131" s="332"/>
      <c r="E131" s="333" t="s">
        <v>656</v>
      </c>
      <c r="F131" s="334">
        <v>16000</v>
      </c>
      <c r="G131" s="335">
        <v>0.35788250160133539</v>
      </c>
      <c r="H131" s="334">
        <f>F131*G131</f>
        <v>5726.120025621366</v>
      </c>
      <c r="I131" s="334"/>
    </row>
    <row r="132" spans="2:9" x14ac:dyDescent="0.3">
      <c r="B132" s="332"/>
      <c r="C132" s="333"/>
      <c r="D132" s="332"/>
      <c r="E132" s="333"/>
      <c r="F132" s="334"/>
      <c r="G132" s="332"/>
      <c r="H132" s="334"/>
      <c r="I132" s="334"/>
    </row>
    <row r="133" spans="2:9" x14ac:dyDescent="0.3">
      <c r="B133" s="332"/>
      <c r="C133" s="333"/>
      <c r="D133" s="332"/>
      <c r="E133" s="333"/>
      <c r="F133" s="334"/>
      <c r="G133" s="332"/>
      <c r="H133" s="334"/>
      <c r="I133" s="334"/>
    </row>
    <row r="134" spans="2:9" x14ac:dyDescent="0.3">
      <c r="B134" s="332"/>
      <c r="C134" s="333"/>
      <c r="D134" s="332"/>
      <c r="E134" s="333"/>
      <c r="F134" s="334"/>
      <c r="G134" s="332"/>
      <c r="H134" s="334"/>
      <c r="I134" s="334"/>
    </row>
    <row r="135" spans="2:9" x14ac:dyDescent="0.3">
      <c r="B135" s="332"/>
      <c r="C135" s="333"/>
      <c r="D135" s="332"/>
      <c r="E135" s="333"/>
      <c r="F135" s="334"/>
      <c r="G135" s="332"/>
      <c r="H135" s="334" t="s">
        <v>628</v>
      </c>
      <c r="I135" s="334">
        <f>SUM(H131:H134)</f>
        <v>5726.120025621366</v>
      </c>
    </row>
    <row r="136" spans="2:9" x14ac:dyDescent="0.3">
      <c r="B136" s="332" t="s">
        <v>632</v>
      </c>
      <c r="C136" s="333"/>
      <c r="D136" s="332"/>
      <c r="E136" s="333" t="s">
        <v>624</v>
      </c>
      <c r="F136" s="334" t="s">
        <v>633</v>
      </c>
      <c r="G136" s="332" t="s">
        <v>634</v>
      </c>
      <c r="H136" s="334" t="s">
        <v>627</v>
      </c>
      <c r="I136" s="334"/>
    </row>
    <row r="137" spans="2:9" x14ac:dyDescent="0.3">
      <c r="B137" s="332"/>
      <c r="C137" s="333"/>
      <c r="D137" s="332"/>
      <c r="E137" s="332"/>
      <c r="F137" s="332"/>
      <c r="G137" s="332"/>
      <c r="H137" s="332"/>
      <c r="I137" s="332"/>
    </row>
    <row r="138" spans="2:9" x14ac:dyDescent="0.3">
      <c r="B138" s="332"/>
      <c r="C138" s="333"/>
      <c r="D138" s="332"/>
      <c r="E138" s="333"/>
      <c r="F138" s="336"/>
      <c r="G138" s="334"/>
      <c r="H138" s="334"/>
      <c r="I138" s="334"/>
    </row>
    <row r="139" spans="2:9" x14ac:dyDescent="0.3">
      <c r="B139" s="332"/>
      <c r="C139" s="333"/>
      <c r="D139" s="332"/>
      <c r="E139" s="333"/>
      <c r="F139" s="334"/>
      <c r="G139" s="332"/>
      <c r="H139" s="334" t="s">
        <v>628</v>
      </c>
      <c r="I139" s="334">
        <f>SUM(H138)</f>
        <v>0</v>
      </c>
    </row>
    <row r="140" spans="2:9" x14ac:dyDescent="0.3">
      <c r="B140" s="332" t="s">
        <v>635</v>
      </c>
      <c r="C140" s="333"/>
      <c r="D140" s="332"/>
      <c r="E140" s="333"/>
      <c r="F140" s="334"/>
      <c r="G140" s="332"/>
      <c r="H140" s="334"/>
      <c r="I140" s="334"/>
    </row>
    <row r="141" spans="2:9" x14ac:dyDescent="0.3">
      <c r="B141" s="332" t="s">
        <v>636</v>
      </c>
      <c r="C141" s="333"/>
      <c r="D141" s="332"/>
      <c r="E141" s="333" t="s">
        <v>637</v>
      </c>
      <c r="F141" s="334" t="s">
        <v>638</v>
      </c>
      <c r="G141" s="332" t="s">
        <v>639</v>
      </c>
      <c r="H141" s="334" t="s">
        <v>627</v>
      </c>
      <c r="I141" s="334"/>
    </row>
    <row r="142" spans="2:9" x14ac:dyDescent="0.3">
      <c r="B142" s="332" t="s">
        <v>645</v>
      </c>
      <c r="C142" s="333"/>
      <c r="D142" s="332"/>
      <c r="E142" s="337">
        <v>168000</v>
      </c>
      <c r="F142" s="334">
        <v>1.8</v>
      </c>
      <c r="G142" s="338">
        <v>54.253051983544196</v>
      </c>
      <c r="H142" s="334">
        <f>E142*F142/G142</f>
        <v>5573.879974378634</v>
      </c>
      <c r="I142" s="334"/>
    </row>
    <row r="143" spans="2:9" x14ac:dyDescent="0.3">
      <c r="B143" s="332"/>
      <c r="C143" s="333"/>
      <c r="D143" s="332"/>
      <c r="E143" s="333"/>
      <c r="F143" s="334"/>
      <c r="G143" s="332"/>
      <c r="H143" s="334" t="s">
        <v>628</v>
      </c>
      <c r="I143" s="334">
        <f>H142</f>
        <v>5573.879974378634</v>
      </c>
    </row>
    <row r="144" spans="2:9" x14ac:dyDescent="0.3">
      <c r="B144" s="332"/>
      <c r="C144" s="333"/>
      <c r="D144" s="332"/>
      <c r="E144" s="333"/>
      <c r="F144" s="334"/>
      <c r="G144" s="332"/>
      <c r="H144" s="330" t="s">
        <v>640</v>
      </c>
      <c r="I144" s="330">
        <f>I143+I135+I128+I139</f>
        <v>17300</v>
      </c>
    </row>
    <row r="146" spans="2:9" ht="28.8" x14ac:dyDescent="0.3">
      <c r="B146" s="339" t="s">
        <v>662</v>
      </c>
      <c r="C146" s="339" t="s">
        <v>621</v>
      </c>
      <c r="D146" s="341" t="s">
        <v>530</v>
      </c>
      <c r="E146" s="339"/>
      <c r="F146" s="340"/>
      <c r="G146" s="340" t="s">
        <v>622</v>
      </c>
      <c r="H146" s="340" t="s">
        <v>33</v>
      </c>
      <c r="I146" s="340">
        <f>+ROUND(I168,0)</f>
        <v>22300</v>
      </c>
    </row>
    <row r="147" spans="2:9" x14ac:dyDescent="0.3">
      <c r="B147" s="332" t="s">
        <v>623</v>
      </c>
      <c r="C147" s="333"/>
      <c r="D147" s="332"/>
      <c r="E147" s="333"/>
      <c r="F147" s="334"/>
      <c r="G147" s="332"/>
      <c r="H147" s="334"/>
      <c r="I147" s="334"/>
    </row>
    <row r="148" spans="2:9" x14ac:dyDescent="0.3">
      <c r="B148" s="332" t="s">
        <v>271</v>
      </c>
      <c r="C148" s="333"/>
      <c r="D148" s="332"/>
      <c r="E148" s="333" t="s">
        <v>624</v>
      </c>
      <c r="F148" s="334" t="s">
        <v>625</v>
      </c>
      <c r="G148" s="332" t="s">
        <v>626</v>
      </c>
      <c r="H148" s="334" t="s">
        <v>627</v>
      </c>
      <c r="I148" s="334"/>
    </row>
    <row r="149" spans="2:9" x14ac:dyDescent="0.3">
      <c r="B149" s="332" t="s">
        <v>642</v>
      </c>
      <c r="C149" s="333"/>
      <c r="D149" s="332"/>
      <c r="E149" s="333" t="s">
        <v>644</v>
      </c>
      <c r="F149" s="334">
        <v>1500</v>
      </c>
      <c r="G149" s="335">
        <v>4</v>
      </c>
      <c r="H149" s="334">
        <f>F149*G149</f>
        <v>6000</v>
      </c>
      <c r="I149" s="334"/>
    </row>
    <row r="150" spans="2:9" x14ac:dyDescent="0.3">
      <c r="B150" s="332"/>
      <c r="C150" s="333"/>
      <c r="D150" s="332"/>
      <c r="E150" s="333"/>
      <c r="F150" s="334"/>
      <c r="G150" s="335"/>
      <c r="H150" s="334"/>
      <c r="I150" s="334"/>
    </row>
    <row r="151" spans="2:9" x14ac:dyDescent="0.3">
      <c r="B151" s="332"/>
      <c r="C151" s="333"/>
      <c r="D151" s="332"/>
      <c r="E151" s="333"/>
      <c r="F151" s="334"/>
      <c r="G151" s="335"/>
      <c r="H151" s="334"/>
      <c r="I151" s="334"/>
    </row>
    <row r="152" spans="2:9" x14ac:dyDescent="0.3">
      <c r="B152" s="332"/>
      <c r="C152" s="333"/>
      <c r="D152" s="332"/>
      <c r="E152" s="333"/>
      <c r="F152" s="334"/>
      <c r="G152" s="332"/>
      <c r="H152" s="334" t="s">
        <v>628</v>
      </c>
      <c r="I152" s="334">
        <f>SUM(H149:H151)</f>
        <v>6000</v>
      </c>
    </row>
    <row r="153" spans="2:9" x14ac:dyDescent="0.3">
      <c r="B153" s="332" t="s">
        <v>629</v>
      </c>
      <c r="C153" s="333"/>
      <c r="D153" s="332"/>
      <c r="E153" s="333"/>
      <c r="F153" s="334"/>
      <c r="G153" s="332"/>
      <c r="H153" s="334"/>
      <c r="I153" s="334"/>
    </row>
    <row r="154" spans="2:9" x14ac:dyDescent="0.3">
      <c r="B154" s="332" t="s">
        <v>271</v>
      </c>
      <c r="C154" s="333"/>
      <c r="D154" s="332"/>
      <c r="E154" s="333" t="s">
        <v>624</v>
      </c>
      <c r="F154" s="334" t="s">
        <v>630</v>
      </c>
      <c r="G154" s="332" t="s">
        <v>631</v>
      </c>
      <c r="H154" s="334" t="s">
        <v>627</v>
      </c>
      <c r="I154" s="334"/>
    </row>
    <row r="155" spans="2:9" x14ac:dyDescent="0.3">
      <c r="B155" s="332" t="s">
        <v>663</v>
      </c>
      <c r="C155" s="333"/>
      <c r="D155" s="332"/>
      <c r="E155" s="333" t="s">
        <v>656</v>
      </c>
      <c r="F155" s="334">
        <v>16000</v>
      </c>
      <c r="G155" s="335">
        <v>0.67038250160133539</v>
      </c>
      <c r="H155" s="334">
        <f>F155*G155</f>
        <v>10726.120025621367</v>
      </c>
      <c r="I155" s="334"/>
    </row>
    <row r="156" spans="2:9" x14ac:dyDescent="0.3">
      <c r="B156" s="332"/>
      <c r="C156" s="333"/>
      <c r="D156" s="332"/>
      <c r="E156" s="333"/>
      <c r="F156" s="334"/>
      <c r="G156" s="332"/>
      <c r="H156" s="334"/>
      <c r="I156" s="334"/>
    </row>
    <row r="157" spans="2:9" x14ac:dyDescent="0.3">
      <c r="B157" s="332"/>
      <c r="C157" s="333"/>
      <c r="D157" s="332"/>
      <c r="E157" s="333"/>
      <c r="F157" s="334"/>
      <c r="G157" s="332"/>
      <c r="H157" s="334"/>
      <c r="I157" s="334"/>
    </row>
    <row r="158" spans="2:9" x14ac:dyDescent="0.3">
      <c r="B158" s="332"/>
      <c r="C158" s="333"/>
      <c r="D158" s="332"/>
      <c r="E158" s="333"/>
      <c r="F158" s="334"/>
      <c r="G158" s="332"/>
      <c r="H158" s="334"/>
      <c r="I158" s="334"/>
    </row>
    <row r="159" spans="2:9" x14ac:dyDescent="0.3">
      <c r="B159" s="332"/>
      <c r="C159" s="333"/>
      <c r="D159" s="332"/>
      <c r="E159" s="333"/>
      <c r="F159" s="334"/>
      <c r="G159" s="332"/>
      <c r="H159" s="334" t="s">
        <v>628</v>
      </c>
      <c r="I159" s="334">
        <f>SUM(H155:H158)</f>
        <v>10726.120025621367</v>
      </c>
    </row>
    <row r="160" spans="2:9" x14ac:dyDescent="0.3">
      <c r="B160" s="332" t="s">
        <v>632</v>
      </c>
      <c r="C160" s="333"/>
      <c r="D160" s="332"/>
      <c r="E160" s="333" t="s">
        <v>624</v>
      </c>
      <c r="F160" s="334" t="s">
        <v>633</v>
      </c>
      <c r="G160" s="332" t="s">
        <v>634</v>
      </c>
      <c r="H160" s="334" t="s">
        <v>627</v>
      </c>
      <c r="I160" s="334"/>
    </row>
    <row r="161" spans="2:9" x14ac:dyDescent="0.3">
      <c r="B161" s="332"/>
      <c r="C161" s="333"/>
      <c r="D161" s="332"/>
      <c r="E161" s="332"/>
      <c r="F161" s="332"/>
      <c r="G161" s="332"/>
      <c r="H161" s="332"/>
      <c r="I161" s="332"/>
    </row>
    <row r="162" spans="2:9" x14ac:dyDescent="0.3">
      <c r="B162" s="332"/>
      <c r="C162" s="333"/>
      <c r="D162" s="332"/>
      <c r="E162" s="333"/>
      <c r="F162" s="336"/>
      <c r="G162" s="334"/>
      <c r="H162" s="334"/>
      <c r="I162" s="334"/>
    </row>
    <row r="163" spans="2:9" x14ac:dyDescent="0.3">
      <c r="B163" s="332"/>
      <c r="C163" s="333"/>
      <c r="D163" s="332"/>
      <c r="E163" s="333"/>
      <c r="F163" s="334"/>
      <c r="G163" s="332"/>
      <c r="H163" s="334" t="s">
        <v>628</v>
      </c>
      <c r="I163" s="334">
        <f>SUM(H162)</f>
        <v>0</v>
      </c>
    </row>
    <row r="164" spans="2:9" x14ac:dyDescent="0.3">
      <c r="B164" s="332" t="s">
        <v>635</v>
      </c>
      <c r="C164" s="333"/>
      <c r="D164" s="332"/>
      <c r="E164" s="333"/>
      <c r="F164" s="334"/>
      <c r="G164" s="332"/>
      <c r="H164" s="334"/>
      <c r="I164" s="334"/>
    </row>
    <row r="165" spans="2:9" x14ac:dyDescent="0.3">
      <c r="B165" s="332" t="s">
        <v>636</v>
      </c>
      <c r="C165" s="333"/>
      <c r="D165" s="332"/>
      <c r="E165" s="333" t="s">
        <v>637</v>
      </c>
      <c r="F165" s="334" t="s">
        <v>638</v>
      </c>
      <c r="G165" s="332" t="s">
        <v>639</v>
      </c>
      <c r="H165" s="334" t="s">
        <v>627</v>
      </c>
      <c r="I165" s="334"/>
    </row>
    <row r="166" spans="2:9" x14ac:dyDescent="0.3">
      <c r="B166" s="332" t="s">
        <v>645</v>
      </c>
      <c r="C166" s="333"/>
      <c r="D166" s="332"/>
      <c r="E166" s="337">
        <v>168000</v>
      </c>
      <c r="F166" s="334">
        <v>1.8</v>
      </c>
      <c r="G166" s="338">
        <v>54.253051983544196</v>
      </c>
      <c r="H166" s="334">
        <f>E166*F166/G166</f>
        <v>5573.879974378634</v>
      </c>
      <c r="I166" s="334"/>
    </row>
    <row r="167" spans="2:9" x14ac:dyDescent="0.3">
      <c r="B167" s="332"/>
      <c r="C167" s="333"/>
      <c r="D167" s="332"/>
      <c r="E167" s="333"/>
      <c r="F167" s="334"/>
      <c r="G167" s="332"/>
      <c r="H167" s="334" t="s">
        <v>628</v>
      </c>
      <c r="I167" s="334">
        <f>H166</f>
        <v>5573.879974378634</v>
      </c>
    </row>
    <row r="168" spans="2:9" x14ac:dyDescent="0.3">
      <c r="B168" s="332"/>
      <c r="C168" s="333"/>
      <c r="D168" s="332"/>
      <c r="E168" s="333"/>
      <c r="F168" s="334"/>
      <c r="G168" s="332"/>
      <c r="H168" s="330" t="s">
        <v>640</v>
      </c>
      <c r="I168" s="330">
        <f>I167+I159+I152+I163</f>
        <v>22300</v>
      </c>
    </row>
    <row r="170" spans="2:9" ht="100.8" x14ac:dyDescent="0.3">
      <c r="B170" s="339" t="s">
        <v>664</v>
      </c>
      <c r="C170" s="339" t="s">
        <v>621</v>
      </c>
      <c r="D170" s="341" t="s">
        <v>596</v>
      </c>
      <c r="E170" s="339"/>
      <c r="F170" s="340"/>
      <c r="G170" s="340" t="s">
        <v>622</v>
      </c>
      <c r="H170" s="340" t="s">
        <v>60</v>
      </c>
      <c r="I170" s="340">
        <f>+ROUND(I192,0)</f>
        <v>180503</v>
      </c>
    </row>
    <row r="171" spans="2:9" x14ac:dyDescent="0.3">
      <c r="B171" s="332" t="s">
        <v>623</v>
      </c>
      <c r="C171" s="333"/>
      <c r="D171" s="332"/>
      <c r="E171" s="333"/>
      <c r="F171" s="334"/>
      <c r="G171" s="332"/>
      <c r="H171" s="334"/>
      <c r="I171" s="334"/>
    </row>
    <row r="172" spans="2:9" x14ac:dyDescent="0.3">
      <c r="B172" s="332" t="s">
        <v>271</v>
      </c>
      <c r="C172" s="333"/>
      <c r="D172" s="332"/>
      <c r="E172" s="333" t="s">
        <v>624</v>
      </c>
      <c r="F172" s="334" t="s">
        <v>625</v>
      </c>
      <c r="G172" s="332" t="s">
        <v>626</v>
      </c>
      <c r="H172" s="334" t="s">
        <v>627</v>
      </c>
      <c r="I172" s="334"/>
    </row>
    <row r="173" spans="2:9" x14ac:dyDescent="0.3">
      <c r="B173" s="332" t="s">
        <v>642</v>
      </c>
      <c r="C173" s="333"/>
      <c r="D173" s="332"/>
      <c r="E173" s="333" t="s">
        <v>644</v>
      </c>
      <c r="F173" s="334">
        <v>1500</v>
      </c>
      <c r="G173" s="335">
        <v>4</v>
      </c>
      <c r="H173" s="334">
        <f>F173*G173</f>
        <v>6000</v>
      </c>
      <c r="I173" s="334"/>
    </row>
    <row r="174" spans="2:9" x14ac:dyDescent="0.3">
      <c r="B174" s="332"/>
      <c r="C174" s="333"/>
      <c r="D174" s="332"/>
      <c r="E174" s="333"/>
      <c r="F174" s="334"/>
      <c r="G174" s="335"/>
      <c r="H174" s="334"/>
      <c r="I174" s="334"/>
    </row>
    <row r="175" spans="2:9" x14ac:dyDescent="0.3">
      <c r="B175" s="332"/>
      <c r="C175" s="333"/>
      <c r="D175" s="332"/>
      <c r="E175" s="333"/>
      <c r="F175" s="334"/>
      <c r="G175" s="335"/>
      <c r="H175" s="334"/>
      <c r="I175" s="334"/>
    </row>
    <row r="176" spans="2:9" x14ac:dyDescent="0.3">
      <c r="B176" s="332"/>
      <c r="C176" s="333"/>
      <c r="D176" s="332"/>
      <c r="E176" s="333"/>
      <c r="F176" s="334"/>
      <c r="G176" s="332"/>
      <c r="H176" s="334" t="s">
        <v>628</v>
      </c>
      <c r="I176" s="334">
        <f>SUM(H173:H175)</f>
        <v>6000</v>
      </c>
    </row>
    <row r="177" spans="2:9" x14ac:dyDescent="0.3">
      <c r="B177" s="332" t="s">
        <v>629</v>
      </c>
      <c r="C177" s="333"/>
      <c r="D177" s="332"/>
      <c r="E177" s="333"/>
      <c r="F177" s="334"/>
      <c r="G177" s="332"/>
      <c r="H177" s="334"/>
      <c r="I177" s="334"/>
    </row>
    <row r="178" spans="2:9" x14ac:dyDescent="0.3">
      <c r="B178" s="332" t="s">
        <v>271</v>
      </c>
      <c r="C178" s="333"/>
      <c r="D178" s="332"/>
      <c r="E178" s="333" t="s">
        <v>624</v>
      </c>
      <c r="F178" s="334" t="s">
        <v>630</v>
      </c>
      <c r="G178" s="332" t="s">
        <v>631</v>
      </c>
      <c r="H178" s="334" t="s">
        <v>627</v>
      </c>
      <c r="I178" s="334"/>
    </row>
    <row r="179" spans="2:9" x14ac:dyDescent="0.3">
      <c r="B179" s="332" t="s">
        <v>665</v>
      </c>
      <c r="C179" s="333"/>
      <c r="D179" s="332"/>
      <c r="E179" s="333" t="s">
        <v>656</v>
      </c>
      <c r="F179" s="334">
        <v>25000</v>
      </c>
      <c r="G179" s="335">
        <v>0.67038250160133539</v>
      </c>
      <c r="H179" s="334">
        <f>F179*G179</f>
        <v>16759.562540033385</v>
      </c>
      <c r="I179" s="334"/>
    </row>
    <row r="180" spans="2:9" x14ac:dyDescent="0.3">
      <c r="B180" s="332" t="s">
        <v>666</v>
      </c>
      <c r="C180" s="333"/>
      <c r="D180" s="332"/>
      <c r="E180" s="333" t="s">
        <v>60</v>
      </c>
      <c r="F180" s="334">
        <v>51000</v>
      </c>
      <c r="G180" s="332">
        <v>1.1000000000000001</v>
      </c>
      <c r="H180" s="334">
        <f>F180*G180</f>
        <v>56100.000000000007</v>
      </c>
      <c r="I180" s="334"/>
    </row>
    <row r="181" spans="2:9" x14ac:dyDescent="0.3">
      <c r="B181" s="332"/>
      <c r="C181" s="333"/>
      <c r="D181" s="332"/>
      <c r="E181" s="333"/>
      <c r="F181" s="334"/>
      <c r="G181" s="332"/>
      <c r="H181" s="334"/>
      <c r="I181" s="334"/>
    </row>
    <row r="182" spans="2:9" x14ac:dyDescent="0.3">
      <c r="B182" s="332"/>
      <c r="C182" s="333"/>
      <c r="D182" s="332"/>
      <c r="E182" s="333"/>
      <c r="F182" s="334"/>
      <c r="G182" s="332"/>
      <c r="H182" s="334"/>
      <c r="I182" s="334"/>
    </row>
    <row r="183" spans="2:9" x14ac:dyDescent="0.3">
      <c r="B183" s="332"/>
      <c r="C183" s="333"/>
      <c r="D183" s="332"/>
      <c r="E183" s="333"/>
      <c r="F183" s="334"/>
      <c r="G183" s="332"/>
      <c r="H183" s="334" t="s">
        <v>628</v>
      </c>
      <c r="I183" s="334">
        <f>SUM(H179:H182)</f>
        <v>72859.562540033396</v>
      </c>
    </row>
    <row r="184" spans="2:9" x14ac:dyDescent="0.3">
      <c r="B184" s="332" t="s">
        <v>632</v>
      </c>
      <c r="C184" s="333"/>
      <c r="D184" s="332"/>
      <c r="E184" s="333" t="s">
        <v>624</v>
      </c>
      <c r="F184" s="334" t="s">
        <v>633</v>
      </c>
      <c r="G184" s="332" t="s">
        <v>634</v>
      </c>
      <c r="H184" s="334" t="s">
        <v>627</v>
      </c>
      <c r="I184" s="334"/>
    </row>
    <row r="185" spans="2:9" x14ac:dyDescent="0.3">
      <c r="B185" s="332"/>
      <c r="C185" s="333"/>
      <c r="D185" s="332"/>
      <c r="E185" s="332"/>
      <c r="F185" s="332"/>
      <c r="G185" s="332"/>
      <c r="H185" s="332"/>
      <c r="I185" s="332"/>
    </row>
    <row r="186" spans="2:9" x14ac:dyDescent="0.3">
      <c r="B186" s="332"/>
      <c r="C186" s="333"/>
      <c r="D186" s="332"/>
      <c r="E186" s="333"/>
      <c r="F186" s="336"/>
      <c r="G186" s="334"/>
      <c r="H186" s="334"/>
      <c r="I186" s="334"/>
    </row>
    <row r="187" spans="2:9" x14ac:dyDescent="0.3">
      <c r="B187" s="332"/>
      <c r="C187" s="333"/>
      <c r="D187" s="332"/>
      <c r="E187" s="333"/>
      <c r="F187" s="334"/>
      <c r="G187" s="332"/>
      <c r="H187" s="334" t="s">
        <v>628</v>
      </c>
      <c r="I187" s="334">
        <f>SUM(H186)</f>
        <v>0</v>
      </c>
    </row>
    <row r="188" spans="2:9" x14ac:dyDescent="0.3">
      <c r="B188" s="332" t="s">
        <v>635</v>
      </c>
      <c r="C188" s="333"/>
      <c r="D188" s="332"/>
      <c r="E188" s="333"/>
      <c r="F188" s="334"/>
      <c r="G188" s="332"/>
      <c r="H188" s="334"/>
      <c r="I188" s="334"/>
    </row>
    <row r="189" spans="2:9" x14ac:dyDescent="0.3">
      <c r="B189" s="332" t="s">
        <v>636</v>
      </c>
      <c r="C189" s="333"/>
      <c r="D189" s="332"/>
      <c r="E189" s="333" t="s">
        <v>637</v>
      </c>
      <c r="F189" s="334" t="s">
        <v>638</v>
      </c>
      <c r="G189" s="332" t="s">
        <v>639</v>
      </c>
      <c r="H189" s="334" t="s">
        <v>627</v>
      </c>
      <c r="I189" s="334"/>
    </row>
    <row r="190" spans="2:9" x14ac:dyDescent="0.3">
      <c r="B190" s="332" t="s">
        <v>645</v>
      </c>
      <c r="C190" s="333"/>
      <c r="D190" s="332"/>
      <c r="E190" s="337">
        <v>168000</v>
      </c>
      <c r="F190" s="334">
        <v>1.8</v>
      </c>
      <c r="G190" s="338">
        <v>2.9751059934979374</v>
      </c>
      <c r="H190" s="334">
        <f>E190*F190/G190</f>
        <v>101643.43746437674</v>
      </c>
      <c r="I190" s="334"/>
    </row>
    <row r="191" spans="2:9" x14ac:dyDescent="0.3">
      <c r="B191" s="332"/>
      <c r="C191" s="333"/>
      <c r="D191" s="332"/>
      <c r="E191" s="333"/>
      <c r="F191" s="334"/>
      <c r="G191" s="332"/>
      <c r="H191" s="334" t="s">
        <v>628</v>
      </c>
      <c r="I191" s="334">
        <f>H190</f>
        <v>101643.43746437674</v>
      </c>
    </row>
    <row r="192" spans="2:9" x14ac:dyDescent="0.3">
      <c r="B192" s="332"/>
      <c r="C192" s="333"/>
      <c r="D192" s="332"/>
      <c r="E192" s="333"/>
      <c r="F192" s="334"/>
      <c r="G192" s="332"/>
      <c r="H192" s="330" t="s">
        <v>640</v>
      </c>
      <c r="I192" s="330">
        <f>I191+I183+I176+I187</f>
        <v>180503.00000441013</v>
      </c>
    </row>
    <row r="194" spans="2:9" ht="43.2" x14ac:dyDescent="0.3">
      <c r="B194" s="339" t="s">
        <v>751</v>
      </c>
      <c r="C194" s="339" t="s">
        <v>621</v>
      </c>
      <c r="D194" s="341" t="s">
        <v>520</v>
      </c>
      <c r="E194" s="339"/>
      <c r="F194" s="340"/>
      <c r="G194" s="340" t="s">
        <v>622</v>
      </c>
      <c r="H194" s="340" t="s">
        <v>33</v>
      </c>
      <c r="I194" s="340">
        <f>+ROUND(I216,0)</f>
        <v>691616</v>
      </c>
    </row>
    <row r="195" spans="2:9" x14ac:dyDescent="0.3">
      <c r="B195" s="332" t="s">
        <v>623</v>
      </c>
      <c r="C195" s="333"/>
      <c r="D195" s="332"/>
      <c r="E195" s="333"/>
      <c r="F195" s="334"/>
      <c r="G195" s="332"/>
      <c r="H195" s="334"/>
      <c r="I195" s="334"/>
    </row>
    <row r="196" spans="2:9" x14ac:dyDescent="0.3">
      <c r="B196" s="332" t="s">
        <v>271</v>
      </c>
      <c r="C196" s="333"/>
      <c r="D196" s="332"/>
      <c r="E196" s="333" t="s">
        <v>624</v>
      </c>
      <c r="F196" s="334" t="s">
        <v>625</v>
      </c>
      <c r="G196" s="332" t="s">
        <v>626</v>
      </c>
      <c r="H196" s="334" t="s">
        <v>627</v>
      </c>
      <c r="I196" s="334"/>
    </row>
    <row r="197" spans="2:9" x14ac:dyDescent="0.3">
      <c r="B197" s="332" t="s">
        <v>642</v>
      </c>
      <c r="C197" s="333"/>
      <c r="D197" s="332"/>
      <c r="E197" s="333" t="s">
        <v>644</v>
      </c>
      <c r="F197" s="334">
        <v>1500</v>
      </c>
      <c r="G197" s="335">
        <v>4</v>
      </c>
      <c r="H197" s="334">
        <f>F197*G197</f>
        <v>6000</v>
      </c>
      <c r="I197" s="334"/>
    </row>
    <row r="198" spans="2:9" x14ac:dyDescent="0.3">
      <c r="B198" s="332"/>
      <c r="C198" s="333"/>
      <c r="D198" s="332"/>
      <c r="E198" s="333"/>
      <c r="F198" s="334"/>
      <c r="G198" s="335"/>
      <c r="H198" s="334"/>
      <c r="I198" s="334"/>
    </row>
    <row r="199" spans="2:9" x14ac:dyDescent="0.3">
      <c r="B199" s="332"/>
      <c r="C199" s="333"/>
      <c r="D199" s="332"/>
      <c r="E199" s="333"/>
      <c r="F199" s="334"/>
      <c r="G199" s="335"/>
      <c r="H199" s="334"/>
      <c r="I199" s="334"/>
    </row>
    <row r="200" spans="2:9" x14ac:dyDescent="0.3">
      <c r="B200" s="332"/>
      <c r="C200" s="333"/>
      <c r="D200" s="332"/>
      <c r="E200" s="333"/>
      <c r="F200" s="334"/>
      <c r="G200" s="332"/>
      <c r="H200" s="334" t="s">
        <v>628</v>
      </c>
      <c r="I200" s="334">
        <f>SUM(H197:H199)</f>
        <v>6000</v>
      </c>
    </row>
    <row r="201" spans="2:9" x14ac:dyDescent="0.3">
      <c r="B201" s="332" t="s">
        <v>629</v>
      </c>
      <c r="C201" s="333"/>
      <c r="D201" s="332"/>
      <c r="E201" s="333"/>
      <c r="F201" s="334"/>
      <c r="G201" s="332"/>
      <c r="H201" s="334"/>
      <c r="I201" s="334"/>
    </row>
    <row r="202" spans="2:9" x14ac:dyDescent="0.3">
      <c r="B202" s="332" t="s">
        <v>271</v>
      </c>
      <c r="C202" s="333"/>
      <c r="D202" s="332"/>
      <c r="E202" s="333" t="s">
        <v>624</v>
      </c>
      <c r="F202" s="334" t="s">
        <v>630</v>
      </c>
      <c r="G202" s="332" t="s">
        <v>631</v>
      </c>
      <c r="H202" s="334" t="s">
        <v>627</v>
      </c>
      <c r="I202" s="334"/>
    </row>
    <row r="203" spans="2:9" ht="43.2" x14ac:dyDescent="0.3">
      <c r="B203" s="356" t="s">
        <v>752</v>
      </c>
      <c r="C203" s="333"/>
      <c r="D203" s="332"/>
      <c r="E203" s="357" t="s">
        <v>33</v>
      </c>
      <c r="F203" s="344">
        <v>655000</v>
      </c>
      <c r="G203" s="345">
        <v>1</v>
      </c>
      <c r="H203" s="344">
        <f>F203*G203</f>
        <v>655000</v>
      </c>
      <c r="I203" s="344"/>
    </row>
    <row r="204" spans="2:9" x14ac:dyDescent="0.3">
      <c r="B204" s="332"/>
      <c r="C204" s="333"/>
      <c r="D204" s="332"/>
      <c r="E204" s="333"/>
      <c r="F204" s="334"/>
      <c r="G204" s="332"/>
      <c r="H204" s="334">
        <f>F204*G204</f>
        <v>0</v>
      </c>
      <c r="I204" s="334"/>
    </row>
    <row r="205" spans="2:9" x14ac:dyDescent="0.3">
      <c r="B205" s="332"/>
      <c r="C205" s="333"/>
      <c r="D205" s="332"/>
      <c r="E205" s="333"/>
      <c r="F205" s="334"/>
      <c r="G205" s="332"/>
      <c r="H205" s="334"/>
      <c r="I205" s="334"/>
    </row>
    <row r="206" spans="2:9" x14ac:dyDescent="0.3">
      <c r="B206" s="332"/>
      <c r="C206" s="333"/>
      <c r="D206" s="332"/>
      <c r="E206" s="333"/>
      <c r="F206" s="334"/>
      <c r="G206" s="332"/>
      <c r="H206" s="334"/>
      <c r="I206" s="334"/>
    </row>
    <row r="207" spans="2:9" x14ac:dyDescent="0.3">
      <c r="B207" s="332"/>
      <c r="C207" s="333"/>
      <c r="D207" s="332"/>
      <c r="E207" s="333"/>
      <c r="F207" s="334"/>
      <c r="G207" s="332"/>
      <c r="H207" s="334" t="s">
        <v>628</v>
      </c>
      <c r="I207" s="334">
        <f>SUM(H203:H206)</f>
        <v>655000</v>
      </c>
    </row>
    <row r="208" spans="2:9" x14ac:dyDescent="0.3">
      <c r="B208" s="332" t="s">
        <v>632</v>
      </c>
      <c r="C208" s="333"/>
      <c r="D208" s="332"/>
      <c r="E208" s="333" t="s">
        <v>624</v>
      </c>
      <c r="F208" s="334" t="s">
        <v>633</v>
      </c>
      <c r="G208" s="332" t="s">
        <v>634</v>
      </c>
      <c r="H208" s="334" t="s">
        <v>627</v>
      </c>
      <c r="I208" s="334"/>
    </row>
    <row r="209" spans="2:9" x14ac:dyDescent="0.3">
      <c r="B209" s="332"/>
      <c r="C209" s="333"/>
      <c r="D209" s="332"/>
      <c r="E209" s="332"/>
      <c r="F209" s="332"/>
      <c r="G209" s="332"/>
      <c r="H209" s="332"/>
      <c r="I209" s="332"/>
    </row>
    <row r="210" spans="2:9" x14ac:dyDescent="0.3">
      <c r="B210" s="332"/>
      <c r="C210" s="333"/>
      <c r="D210" s="332"/>
      <c r="E210" s="333"/>
      <c r="F210" s="336"/>
      <c r="G210" s="334"/>
      <c r="H210" s="334"/>
      <c r="I210" s="334"/>
    </row>
    <row r="211" spans="2:9" x14ac:dyDescent="0.3">
      <c r="B211" s="332"/>
      <c r="C211" s="333"/>
      <c r="D211" s="332"/>
      <c r="E211" s="333"/>
      <c r="F211" s="334"/>
      <c r="G211" s="332"/>
      <c r="H211" s="334" t="s">
        <v>628</v>
      </c>
      <c r="I211" s="334">
        <f>SUM(H210)</f>
        <v>0</v>
      </c>
    </row>
    <row r="212" spans="2:9" x14ac:dyDescent="0.3">
      <c r="B212" s="332" t="s">
        <v>635</v>
      </c>
      <c r="C212" s="333"/>
      <c r="D212" s="332"/>
      <c r="E212" s="333"/>
      <c r="F212" s="334"/>
      <c r="G212" s="332"/>
      <c r="H212" s="334"/>
      <c r="I212" s="334"/>
    </row>
    <row r="213" spans="2:9" x14ac:dyDescent="0.3">
      <c r="B213" s="332" t="s">
        <v>636</v>
      </c>
      <c r="C213" s="333"/>
      <c r="D213" s="332"/>
      <c r="E213" s="333" t="s">
        <v>637</v>
      </c>
      <c r="F213" s="334" t="s">
        <v>638</v>
      </c>
      <c r="G213" s="332" t="s">
        <v>639</v>
      </c>
      <c r="H213" s="334" t="s">
        <v>627</v>
      </c>
      <c r="I213" s="334"/>
    </row>
    <row r="214" spans="2:9" x14ac:dyDescent="0.3">
      <c r="B214" s="332" t="s">
        <v>645</v>
      </c>
      <c r="C214" s="333"/>
      <c r="D214" s="332"/>
      <c r="E214" s="337">
        <v>168000</v>
      </c>
      <c r="F214" s="334">
        <v>1.8</v>
      </c>
      <c r="G214" s="338">
        <v>9.8771884094756874</v>
      </c>
      <c r="H214" s="334">
        <f>E214*F214/G214</f>
        <v>30615.999965120878</v>
      </c>
      <c r="I214" s="334"/>
    </row>
    <row r="215" spans="2:9" x14ac:dyDescent="0.3">
      <c r="B215" s="332"/>
      <c r="C215" s="333"/>
      <c r="D215" s="332"/>
      <c r="E215" s="333"/>
      <c r="F215" s="334"/>
      <c r="G215" s="332"/>
      <c r="H215" s="334" t="s">
        <v>628</v>
      </c>
      <c r="I215" s="334">
        <f>H214</f>
        <v>30615.999965120878</v>
      </c>
    </row>
    <row r="216" spans="2:9" x14ac:dyDescent="0.3">
      <c r="B216" s="332"/>
      <c r="C216" s="333"/>
      <c r="D216" s="332"/>
      <c r="E216" s="333"/>
      <c r="F216" s="334"/>
      <c r="G216" s="332"/>
      <c r="H216" s="330" t="s">
        <v>640</v>
      </c>
      <c r="I216" s="330">
        <f>I215+I207+I200+I211</f>
        <v>691615.99996512092</v>
      </c>
    </row>
    <row r="218" spans="2:9" ht="28.8" x14ac:dyDescent="0.3">
      <c r="B218" s="339" t="s">
        <v>667</v>
      </c>
      <c r="C218" s="339" t="s">
        <v>621</v>
      </c>
      <c r="D218" s="341" t="s">
        <v>495</v>
      </c>
      <c r="E218" s="339"/>
      <c r="F218" s="340"/>
      <c r="G218" s="340" t="s">
        <v>622</v>
      </c>
      <c r="H218" s="340" t="s">
        <v>60</v>
      </c>
      <c r="I218" s="340">
        <f>+ROUND(I240,0)</f>
        <v>28111</v>
      </c>
    </row>
    <row r="219" spans="2:9" x14ac:dyDescent="0.3">
      <c r="B219" s="332" t="s">
        <v>623</v>
      </c>
      <c r="C219" s="333"/>
      <c r="D219" s="332"/>
      <c r="E219" s="333"/>
      <c r="F219" s="334"/>
      <c r="G219" s="332"/>
      <c r="H219" s="334"/>
      <c r="I219" s="334"/>
    </row>
    <row r="220" spans="2:9" x14ac:dyDescent="0.3">
      <c r="B220" s="332" t="s">
        <v>271</v>
      </c>
      <c r="C220" s="333"/>
      <c r="D220" s="332"/>
      <c r="E220" s="333" t="s">
        <v>624</v>
      </c>
      <c r="F220" s="334" t="s">
        <v>625</v>
      </c>
      <c r="G220" s="332" t="s">
        <v>626</v>
      </c>
      <c r="H220" s="334" t="s">
        <v>627</v>
      </c>
      <c r="I220" s="334"/>
    </row>
    <row r="221" spans="2:9" x14ac:dyDescent="0.3">
      <c r="B221" s="332" t="s">
        <v>642</v>
      </c>
      <c r="C221" s="333"/>
      <c r="D221" s="332"/>
      <c r="E221" s="333" t="s">
        <v>644</v>
      </c>
      <c r="F221" s="334">
        <v>1500</v>
      </c>
      <c r="G221" s="335">
        <v>4</v>
      </c>
      <c r="H221" s="334">
        <f>F221*G221</f>
        <v>6000</v>
      </c>
      <c r="I221" s="334"/>
    </row>
    <row r="222" spans="2:9" x14ac:dyDescent="0.3">
      <c r="B222" s="332"/>
      <c r="C222" s="333"/>
      <c r="D222" s="332"/>
      <c r="E222" s="333"/>
      <c r="F222" s="334"/>
      <c r="G222" s="335"/>
      <c r="H222" s="334"/>
      <c r="I222" s="334"/>
    </row>
    <row r="223" spans="2:9" x14ac:dyDescent="0.3">
      <c r="B223" s="332"/>
      <c r="C223" s="333"/>
      <c r="D223" s="332"/>
      <c r="E223" s="333"/>
      <c r="F223" s="334"/>
      <c r="G223" s="335"/>
      <c r="H223" s="334"/>
      <c r="I223" s="334"/>
    </row>
    <row r="224" spans="2:9" x14ac:dyDescent="0.3">
      <c r="B224" s="332"/>
      <c r="C224" s="333"/>
      <c r="D224" s="332"/>
      <c r="E224" s="333"/>
      <c r="F224" s="334"/>
      <c r="G224" s="332"/>
      <c r="H224" s="334" t="s">
        <v>628</v>
      </c>
      <c r="I224" s="334">
        <f>SUM(H221:H223)</f>
        <v>6000</v>
      </c>
    </row>
    <row r="225" spans="2:9" x14ac:dyDescent="0.3">
      <c r="B225" s="332" t="s">
        <v>629</v>
      </c>
      <c r="C225" s="333"/>
      <c r="D225" s="332"/>
      <c r="E225" s="333"/>
      <c r="F225" s="334"/>
      <c r="G225" s="332"/>
      <c r="H225" s="334"/>
      <c r="I225" s="334"/>
    </row>
    <row r="226" spans="2:9" x14ac:dyDescent="0.3">
      <c r="B226" s="332" t="s">
        <v>271</v>
      </c>
      <c r="C226" s="333"/>
      <c r="D226" s="332"/>
      <c r="E226" s="333" t="s">
        <v>624</v>
      </c>
      <c r="F226" s="334" t="s">
        <v>630</v>
      </c>
      <c r="G226" s="332" t="s">
        <v>631</v>
      </c>
      <c r="H226" s="334" t="s">
        <v>627</v>
      </c>
      <c r="I226" s="334"/>
    </row>
    <row r="227" spans="2:9" ht="28.8" x14ac:dyDescent="0.3">
      <c r="B227" s="342" t="s">
        <v>668</v>
      </c>
      <c r="C227" s="333"/>
      <c r="D227" s="332"/>
      <c r="E227" s="343" t="s">
        <v>60</v>
      </c>
      <c r="F227" s="344">
        <v>16517</v>
      </c>
      <c r="G227" s="345">
        <v>1</v>
      </c>
      <c r="H227" s="344">
        <f>F227*G227</f>
        <v>16517</v>
      </c>
      <c r="I227" s="344"/>
    </row>
    <row r="228" spans="2:9" x14ac:dyDescent="0.3">
      <c r="B228" s="332"/>
      <c r="C228" s="333"/>
      <c r="D228" s="332"/>
      <c r="E228" s="333"/>
      <c r="F228" s="334"/>
      <c r="G228" s="332"/>
      <c r="H228" s="334">
        <f>F228*G228</f>
        <v>0</v>
      </c>
      <c r="I228" s="334"/>
    </row>
    <row r="229" spans="2:9" x14ac:dyDescent="0.3">
      <c r="B229" s="332"/>
      <c r="C229" s="333"/>
      <c r="D229" s="332"/>
      <c r="E229" s="333"/>
      <c r="F229" s="334"/>
      <c r="G229" s="332"/>
      <c r="H229" s="334"/>
      <c r="I229" s="334"/>
    </row>
    <row r="230" spans="2:9" x14ac:dyDescent="0.3">
      <c r="B230" s="332"/>
      <c r="C230" s="333"/>
      <c r="D230" s="332"/>
      <c r="E230" s="333"/>
      <c r="F230" s="334"/>
      <c r="G230" s="332"/>
      <c r="H230" s="334"/>
      <c r="I230" s="334"/>
    </row>
    <row r="231" spans="2:9" x14ac:dyDescent="0.3">
      <c r="B231" s="332"/>
      <c r="C231" s="333"/>
      <c r="D231" s="332"/>
      <c r="E231" s="333"/>
      <c r="F231" s="334"/>
      <c r="G231" s="332"/>
      <c r="H231" s="334" t="s">
        <v>628</v>
      </c>
      <c r="I231" s="334">
        <f>SUM(H227:H230)</f>
        <v>16517</v>
      </c>
    </row>
    <row r="232" spans="2:9" x14ac:dyDescent="0.3">
      <c r="B232" s="332" t="s">
        <v>632</v>
      </c>
      <c r="C232" s="333"/>
      <c r="D232" s="332"/>
      <c r="E232" s="333" t="s">
        <v>624</v>
      </c>
      <c r="F232" s="334" t="s">
        <v>633</v>
      </c>
      <c r="G232" s="332" t="s">
        <v>634</v>
      </c>
      <c r="H232" s="334" t="s">
        <v>627</v>
      </c>
      <c r="I232" s="334"/>
    </row>
    <row r="233" spans="2:9" x14ac:dyDescent="0.3">
      <c r="B233" s="332"/>
      <c r="C233" s="333"/>
      <c r="D233" s="332"/>
      <c r="E233" s="332"/>
      <c r="F233" s="332"/>
      <c r="G233" s="332"/>
      <c r="H233" s="332"/>
      <c r="I233" s="332"/>
    </row>
    <row r="234" spans="2:9" x14ac:dyDescent="0.3">
      <c r="B234" s="332"/>
      <c r="C234" s="333"/>
      <c r="D234" s="332"/>
      <c r="E234" s="333"/>
      <c r="F234" s="336"/>
      <c r="G234" s="334"/>
      <c r="H234" s="334"/>
      <c r="I234" s="334"/>
    </row>
    <row r="235" spans="2:9" x14ac:dyDescent="0.3">
      <c r="B235" s="332"/>
      <c r="C235" s="333"/>
      <c r="D235" s="332"/>
      <c r="E235" s="333"/>
      <c r="F235" s="334"/>
      <c r="G235" s="332"/>
      <c r="H235" s="334" t="s">
        <v>628</v>
      </c>
      <c r="I235" s="334">
        <f>SUM(H234)</f>
        <v>0</v>
      </c>
    </row>
    <row r="236" spans="2:9" x14ac:dyDescent="0.3">
      <c r="B236" s="332" t="s">
        <v>635</v>
      </c>
      <c r="C236" s="333"/>
      <c r="D236" s="332"/>
      <c r="E236" s="333"/>
      <c r="F236" s="334"/>
      <c r="G236" s="332"/>
      <c r="H236" s="334"/>
      <c r="I236" s="334"/>
    </row>
    <row r="237" spans="2:9" x14ac:dyDescent="0.3">
      <c r="B237" s="332" t="s">
        <v>636</v>
      </c>
      <c r="C237" s="333"/>
      <c r="D237" s="332"/>
      <c r="E237" s="333" t="s">
        <v>637</v>
      </c>
      <c r="F237" s="334" t="s">
        <v>638</v>
      </c>
      <c r="G237" s="332" t="s">
        <v>639</v>
      </c>
      <c r="H237" s="334" t="s">
        <v>627</v>
      </c>
      <c r="I237" s="334"/>
    </row>
    <row r="238" spans="2:9" x14ac:dyDescent="0.3">
      <c r="B238" s="332" t="s">
        <v>645</v>
      </c>
      <c r="C238" s="333"/>
      <c r="D238" s="332"/>
      <c r="E238" s="337">
        <v>168000</v>
      </c>
      <c r="F238" s="334">
        <v>1.8</v>
      </c>
      <c r="G238" s="338">
        <v>54.057918992875031</v>
      </c>
      <c r="H238" s="334">
        <f>E238*F238/G238</f>
        <v>5594.0000213448293</v>
      </c>
      <c r="I238" s="334"/>
    </row>
    <row r="239" spans="2:9" x14ac:dyDescent="0.3">
      <c r="B239" s="332"/>
      <c r="C239" s="333"/>
      <c r="D239" s="332"/>
      <c r="E239" s="333"/>
      <c r="F239" s="334"/>
      <c r="G239" s="332"/>
      <c r="H239" s="334" t="s">
        <v>628</v>
      </c>
      <c r="I239" s="334">
        <f>H238</f>
        <v>5594.0000213448293</v>
      </c>
    </row>
    <row r="240" spans="2:9" x14ac:dyDescent="0.3">
      <c r="B240" s="332"/>
      <c r="C240" s="333"/>
      <c r="D240" s="332"/>
      <c r="E240" s="333"/>
      <c r="F240" s="334"/>
      <c r="G240" s="332"/>
      <c r="H240" s="330" t="s">
        <v>640</v>
      </c>
      <c r="I240" s="330">
        <f>I239+I231+I224+I235</f>
        <v>28111.000021344829</v>
      </c>
    </row>
    <row r="242" spans="2:9" ht="28.8" x14ac:dyDescent="0.3">
      <c r="B242" s="339" t="s">
        <v>669</v>
      </c>
      <c r="C242" s="339" t="s">
        <v>621</v>
      </c>
      <c r="D242" s="341" t="s">
        <v>614</v>
      </c>
      <c r="E242" s="339"/>
      <c r="F242" s="340"/>
      <c r="G242" s="340" t="s">
        <v>622</v>
      </c>
      <c r="H242" s="340" t="s">
        <v>60</v>
      </c>
      <c r="I242" s="340">
        <f>+ROUND(I264,0)</f>
        <v>35000</v>
      </c>
    </row>
    <row r="243" spans="2:9" x14ac:dyDescent="0.3">
      <c r="B243" s="332" t="s">
        <v>623</v>
      </c>
      <c r="C243" s="333"/>
      <c r="D243" s="332"/>
      <c r="E243" s="333"/>
      <c r="F243" s="334"/>
      <c r="G243" s="332"/>
      <c r="H243" s="334"/>
      <c r="I243" s="334"/>
    </row>
    <row r="244" spans="2:9" x14ac:dyDescent="0.3">
      <c r="B244" s="332" t="s">
        <v>271</v>
      </c>
      <c r="C244" s="333"/>
      <c r="D244" s="332"/>
      <c r="E244" s="333" t="s">
        <v>624</v>
      </c>
      <c r="F244" s="334" t="s">
        <v>625</v>
      </c>
      <c r="G244" s="332" t="s">
        <v>626</v>
      </c>
      <c r="H244" s="334" t="s">
        <v>627</v>
      </c>
      <c r="I244" s="334"/>
    </row>
    <row r="245" spans="2:9" x14ac:dyDescent="0.3">
      <c r="B245" s="332" t="s">
        <v>642</v>
      </c>
      <c r="C245" s="333"/>
      <c r="D245" s="332"/>
      <c r="E245" s="333" t="s">
        <v>644</v>
      </c>
      <c r="F245" s="334">
        <v>1500</v>
      </c>
      <c r="G245" s="335">
        <v>4</v>
      </c>
      <c r="H245" s="334">
        <f>F245*G245</f>
        <v>6000</v>
      </c>
      <c r="I245" s="334"/>
    </row>
    <row r="246" spans="2:9" x14ac:dyDescent="0.3">
      <c r="B246" s="332"/>
      <c r="C246" s="333"/>
      <c r="D246" s="332"/>
      <c r="E246" s="333"/>
      <c r="F246" s="334"/>
      <c r="G246" s="335"/>
      <c r="H246" s="334"/>
      <c r="I246" s="334"/>
    </row>
    <row r="247" spans="2:9" x14ac:dyDescent="0.3">
      <c r="B247" s="332"/>
      <c r="C247" s="333"/>
      <c r="D247" s="332"/>
      <c r="E247" s="333"/>
      <c r="F247" s="334"/>
      <c r="G247" s="335"/>
      <c r="H247" s="334"/>
      <c r="I247" s="334"/>
    </row>
    <row r="248" spans="2:9" x14ac:dyDescent="0.3">
      <c r="B248" s="332"/>
      <c r="C248" s="333"/>
      <c r="D248" s="332"/>
      <c r="E248" s="333"/>
      <c r="F248" s="334"/>
      <c r="G248" s="332"/>
      <c r="H248" s="334" t="s">
        <v>628</v>
      </c>
      <c r="I248" s="334">
        <f>SUM(H245:H247)</f>
        <v>6000</v>
      </c>
    </row>
    <row r="249" spans="2:9" x14ac:dyDescent="0.3">
      <c r="B249" s="332" t="s">
        <v>629</v>
      </c>
      <c r="C249" s="333"/>
      <c r="D249" s="332"/>
      <c r="E249" s="333"/>
      <c r="F249" s="334"/>
      <c r="G249" s="332"/>
      <c r="H249" s="334"/>
      <c r="I249" s="334"/>
    </row>
    <row r="250" spans="2:9" x14ac:dyDescent="0.3">
      <c r="B250" s="332" t="s">
        <v>271</v>
      </c>
      <c r="C250" s="333"/>
      <c r="D250" s="332"/>
      <c r="E250" s="333" t="s">
        <v>624</v>
      </c>
      <c r="F250" s="334" t="s">
        <v>630</v>
      </c>
      <c r="G250" s="332" t="s">
        <v>631</v>
      </c>
      <c r="H250" s="334" t="s">
        <v>627</v>
      </c>
      <c r="I250" s="334"/>
    </row>
    <row r="251" spans="2:9" x14ac:dyDescent="0.3">
      <c r="B251" s="342" t="s">
        <v>670</v>
      </c>
      <c r="C251" s="333"/>
      <c r="D251" s="332"/>
      <c r="E251" s="343" t="s">
        <v>671</v>
      </c>
      <c r="F251" s="344">
        <v>626828.6</v>
      </c>
      <c r="G251" s="345">
        <v>0.03</v>
      </c>
      <c r="H251" s="344">
        <f>F251*G251</f>
        <v>18804.858</v>
      </c>
      <c r="I251" s="344"/>
    </row>
    <row r="252" spans="2:9" x14ac:dyDescent="0.3">
      <c r="B252" s="332"/>
      <c r="C252" s="333"/>
      <c r="D252" s="332"/>
      <c r="E252" s="333"/>
      <c r="F252" s="334"/>
      <c r="G252" s="332"/>
      <c r="H252" s="334">
        <f>F252*G252</f>
        <v>0</v>
      </c>
      <c r="I252" s="334"/>
    </row>
    <row r="253" spans="2:9" x14ac:dyDescent="0.3">
      <c r="B253" s="332"/>
      <c r="C253" s="333"/>
      <c r="D253" s="332"/>
      <c r="E253" s="333"/>
      <c r="F253" s="334"/>
      <c r="G253" s="332"/>
      <c r="H253" s="334"/>
      <c r="I253" s="334"/>
    </row>
    <row r="254" spans="2:9" x14ac:dyDescent="0.3">
      <c r="B254" s="332"/>
      <c r="C254" s="333"/>
      <c r="D254" s="332"/>
      <c r="E254" s="333"/>
      <c r="F254" s="334"/>
      <c r="G254" s="332"/>
      <c r="H254" s="334"/>
      <c r="I254" s="334"/>
    </row>
    <row r="255" spans="2:9" x14ac:dyDescent="0.3">
      <c r="B255" s="332"/>
      <c r="C255" s="333"/>
      <c r="D255" s="332"/>
      <c r="E255" s="333"/>
      <c r="F255" s="334"/>
      <c r="G255" s="332"/>
      <c r="H255" s="334" t="s">
        <v>628</v>
      </c>
      <c r="I255" s="334">
        <f>SUM(H251:H254)</f>
        <v>18804.858</v>
      </c>
    </row>
    <row r="256" spans="2:9" x14ac:dyDescent="0.3">
      <c r="B256" s="332" t="s">
        <v>632</v>
      </c>
      <c r="C256" s="333"/>
      <c r="D256" s="332"/>
      <c r="E256" s="333" t="s">
        <v>624</v>
      </c>
      <c r="F256" s="334" t="s">
        <v>633</v>
      </c>
      <c r="G256" s="332" t="s">
        <v>634</v>
      </c>
      <c r="H256" s="334" t="s">
        <v>627</v>
      </c>
      <c r="I256" s="334"/>
    </row>
    <row r="257" spans="2:9" x14ac:dyDescent="0.3">
      <c r="B257" s="332"/>
      <c r="C257" s="333"/>
      <c r="D257" s="332"/>
      <c r="E257" s="332"/>
      <c r="F257" s="332"/>
      <c r="G257" s="332"/>
      <c r="H257" s="332"/>
      <c r="I257" s="332"/>
    </row>
    <row r="258" spans="2:9" x14ac:dyDescent="0.3">
      <c r="B258" s="332"/>
      <c r="C258" s="333"/>
      <c r="D258" s="332"/>
      <c r="E258" s="333"/>
      <c r="F258" s="336"/>
      <c r="G258" s="334"/>
      <c r="H258" s="334"/>
      <c r="I258" s="334"/>
    </row>
    <row r="259" spans="2:9" x14ac:dyDescent="0.3">
      <c r="B259" s="332"/>
      <c r="C259" s="333"/>
      <c r="D259" s="332"/>
      <c r="E259" s="333"/>
      <c r="F259" s="334"/>
      <c r="G259" s="332"/>
      <c r="H259" s="334" t="s">
        <v>628</v>
      </c>
      <c r="I259" s="334">
        <f>SUM(H258)</f>
        <v>0</v>
      </c>
    </row>
    <row r="260" spans="2:9" x14ac:dyDescent="0.3">
      <c r="B260" s="332" t="s">
        <v>635</v>
      </c>
      <c r="C260" s="333"/>
      <c r="D260" s="332"/>
      <c r="E260" s="333"/>
      <c r="F260" s="334"/>
      <c r="G260" s="332"/>
      <c r="H260" s="334"/>
      <c r="I260" s="334"/>
    </row>
    <row r="261" spans="2:9" x14ac:dyDescent="0.3">
      <c r="B261" s="332" t="s">
        <v>636</v>
      </c>
      <c r="C261" s="333"/>
      <c r="D261" s="332"/>
      <c r="E261" s="333" t="s">
        <v>637</v>
      </c>
      <c r="F261" s="334" t="s">
        <v>638</v>
      </c>
      <c r="G261" s="332" t="s">
        <v>639</v>
      </c>
      <c r="H261" s="334" t="s">
        <v>627</v>
      </c>
      <c r="I261" s="334"/>
    </row>
    <row r="262" spans="2:9" x14ac:dyDescent="0.3">
      <c r="B262" s="332" t="s">
        <v>645</v>
      </c>
      <c r="C262" s="333"/>
      <c r="D262" s="332"/>
      <c r="E262" s="337">
        <v>168000</v>
      </c>
      <c r="F262" s="334">
        <v>1.8</v>
      </c>
      <c r="G262" s="338">
        <v>29.661185704778255</v>
      </c>
      <c r="H262" s="334">
        <f>E262*F262/G262</f>
        <v>10195.141994990612</v>
      </c>
      <c r="I262" s="334"/>
    </row>
    <row r="263" spans="2:9" x14ac:dyDescent="0.3">
      <c r="B263" s="332"/>
      <c r="C263" s="333"/>
      <c r="D263" s="332"/>
      <c r="E263" s="333"/>
      <c r="F263" s="334"/>
      <c r="G263" s="332"/>
      <c r="H263" s="334" t="s">
        <v>628</v>
      </c>
      <c r="I263" s="334">
        <f>H262</f>
        <v>10195.141994990612</v>
      </c>
    </row>
    <row r="264" spans="2:9" x14ac:dyDescent="0.3">
      <c r="B264" s="332"/>
      <c r="C264" s="333"/>
      <c r="D264" s="332"/>
      <c r="E264" s="333"/>
      <c r="F264" s="334"/>
      <c r="G264" s="332"/>
      <c r="H264" s="330" t="s">
        <v>640</v>
      </c>
      <c r="I264" s="330">
        <f>I263+I255+I248+I259</f>
        <v>34999.999994990612</v>
      </c>
    </row>
    <row r="266" spans="2:9" x14ac:dyDescent="0.3">
      <c r="B266" s="339" t="s">
        <v>672</v>
      </c>
      <c r="C266" s="339" t="s">
        <v>621</v>
      </c>
      <c r="D266" s="341" t="s">
        <v>620</v>
      </c>
      <c r="E266" s="339"/>
      <c r="F266" s="340"/>
      <c r="G266" s="340" t="s">
        <v>622</v>
      </c>
      <c r="H266" s="340" t="s">
        <v>33</v>
      </c>
      <c r="I266" s="340">
        <f>+ROUND(I288,0)</f>
        <v>4800000</v>
      </c>
    </row>
    <row r="267" spans="2:9" x14ac:dyDescent="0.3">
      <c r="B267" s="332" t="s">
        <v>623</v>
      </c>
      <c r="C267" s="333"/>
      <c r="D267" s="332"/>
      <c r="E267" s="333"/>
      <c r="F267" s="334"/>
      <c r="G267" s="332"/>
      <c r="H267" s="334"/>
      <c r="I267" s="334"/>
    </row>
    <row r="268" spans="2:9" x14ac:dyDescent="0.3">
      <c r="B268" s="332" t="s">
        <v>271</v>
      </c>
      <c r="C268" s="333"/>
      <c r="D268" s="332"/>
      <c r="E268" s="333" t="s">
        <v>624</v>
      </c>
      <c r="F268" s="334" t="s">
        <v>625</v>
      </c>
      <c r="G268" s="332" t="s">
        <v>626</v>
      </c>
      <c r="H268" s="334" t="s">
        <v>627</v>
      </c>
      <c r="I268" s="334"/>
    </row>
    <row r="269" spans="2:9" x14ac:dyDescent="0.3">
      <c r="B269" s="332" t="s">
        <v>642</v>
      </c>
      <c r="C269" s="333"/>
      <c r="D269" s="332"/>
      <c r="E269" s="333" t="s">
        <v>644</v>
      </c>
      <c r="F269" s="334">
        <v>1500</v>
      </c>
      <c r="G269" s="335">
        <v>4</v>
      </c>
      <c r="H269" s="334">
        <f>F269*G269</f>
        <v>6000</v>
      </c>
      <c r="I269" s="334"/>
    </row>
    <row r="270" spans="2:9" x14ac:dyDescent="0.3">
      <c r="B270" s="332"/>
      <c r="C270" s="333"/>
      <c r="D270" s="332"/>
      <c r="E270" s="333"/>
      <c r="F270" s="334"/>
      <c r="G270" s="335"/>
      <c r="H270" s="334"/>
      <c r="I270" s="334"/>
    </row>
    <row r="271" spans="2:9" x14ac:dyDescent="0.3">
      <c r="B271" s="332"/>
      <c r="C271" s="333"/>
      <c r="D271" s="332"/>
      <c r="E271" s="333"/>
      <c r="F271" s="334"/>
      <c r="G271" s="335"/>
      <c r="H271" s="334"/>
      <c r="I271" s="334"/>
    </row>
    <row r="272" spans="2:9" x14ac:dyDescent="0.3">
      <c r="B272" s="332"/>
      <c r="C272" s="333"/>
      <c r="D272" s="332"/>
      <c r="E272" s="333"/>
      <c r="F272" s="334"/>
      <c r="G272" s="332"/>
      <c r="H272" s="334" t="s">
        <v>628</v>
      </c>
      <c r="I272" s="334">
        <f>SUM(H269:H271)</f>
        <v>6000</v>
      </c>
    </row>
    <row r="273" spans="2:9" x14ac:dyDescent="0.3">
      <c r="B273" s="332" t="s">
        <v>629</v>
      </c>
      <c r="C273" s="333"/>
      <c r="D273" s="332"/>
      <c r="E273" s="333"/>
      <c r="F273" s="334"/>
      <c r="G273" s="332"/>
      <c r="H273" s="334"/>
      <c r="I273" s="334"/>
    </row>
    <row r="274" spans="2:9" x14ac:dyDescent="0.3">
      <c r="B274" s="332" t="s">
        <v>271</v>
      </c>
      <c r="C274" s="333"/>
      <c r="D274" s="332"/>
      <c r="E274" s="333" t="s">
        <v>624</v>
      </c>
      <c r="F274" s="334" t="s">
        <v>630</v>
      </c>
      <c r="G274" s="332" t="s">
        <v>631</v>
      </c>
      <c r="H274" s="334" t="s">
        <v>627</v>
      </c>
      <c r="I274" s="334"/>
    </row>
    <row r="275" spans="2:9" ht="28.8" x14ac:dyDescent="0.3">
      <c r="B275" s="342" t="s">
        <v>673</v>
      </c>
      <c r="C275" s="333"/>
      <c r="D275" s="332"/>
      <c r="E275" s="343" t="s">
        <v>33</v>
      </c>
      <c r="F275" s="344">
        <v>3786000</v>
      </c>
      <c r="G275" s="345">
        <v>1</v>
      </c>
      <c r="H275" s="344">
        <f>F275*G275</f>
        <v>3786000</v>
      </c>
      <c r="I275" s="344"/>
    </row>
    <row r="276" spans="2:9" x14ac:dyDescent="0.3">
      <c r="B276" s="332"/>
      <c r="C276" s="333"/>
      <c r="D276" s="332"/>
      <c r="E276" s="333"/>
      <c r="F276" s="334"/>
      <c r="G276" s="332"/>
      <c r="H276" s="334">
        <f>F276*G276</f>
        <v>0</v>
      </c>
      <c r="I276" s="334"/>
    </row>
    <row r="277" spans="2:9" x14ac:dyDescent="0.3">
      <c r="B277" s="332"/>
      <c r="C277" s="333"/>
      <c r="D277" s="332"/>
      <c r="E277" s="333"/>
      <c r="F277" s="334"/>
      <c r="G277" s="332"/>
      <c r="H277" s="334"/>
      <c r="I277" s="334"/>
    </row>
    <row r="278" spans="2:9" x14ac:dyDescent="0.3">
      <c r="B278" s="332"/>
      <c r="C278" s="333"/>
      <c r="D278" s="332"/>
      <c r="E278" s="333"/>
      <c r="F278" s="334"/>
      <c r="G278" s="332"/>
      <c r="H278" s="334"/>
      <c r="I278" s="334"/>
    </row>
    <row r="279" spans="2:9" x14ac:dyDescent="0.3">
      <c r="B279" s="332"/>
      <c r="C279" s="333"/>
      <c r="D279" s="332"/>
      <c r="E279" s="333"/>
      <c r="F279" s="334"/>
      <c r="G279" s="332"/>
      <c r="H279" s="334" t="s">
        <v>628</v>
      </c>
      <c r="I279" s="334">
        <f>SUM(H275:H278)</f>
        <v>3786000</v>
      </c>
    </row>
    <row r="280" spans="2:9" x14ac:dyDescent="0.3">
      <c r="B280" s="332" t="s">
        <v>632</v>
      </c>
      <c r="C280" s="333"/>
      <c r="D280" s="332"/>
      <c r="E280" s="333" t="s">
        <v>624</v>
      </c>
      <c r="F280" s="334" t="s">
        <v>633</v>
      </c>
      <c r="G280" s="332" t="s">
        <v>634</v>
      </c>
      <c r="H280" s="334" t="s">
        <v>627</v>
      </c>
      <c r="I280" s="334"/>
    </row>
    <row r="281" spans="2:9" x14ac:dyDescent="0.3">
      <c r="B281" s="332"/>
      <c r="C281" s="333"/>
      <c r="D281" s="332"/>
      <c r="E281" s="332"/>
      <c r="F281" s="332"/>
      <c r="G281" s="332"/>
      <c r="H281" s="332"/>
      <c r="I281" s="332"/>
    </row>
    <row r="282" spans="2:9" x14ac:dyDescent="0.3">
      <c r="B282" s="332"/>
      <c r="C282" s="333"/>
      <c r="D282" s="332"/>
      <c r="E282" s="333"/>
      <c r="F282" s="336"/>
      <c r="G282" s="334"/>
      <c r="H282" s="334"/>
      <c r="I282" s="334"/>
    </row>
    <row r="283" spans="2:9" x14ac:dyDescent="0.3">
      <c r="B283" s="332"/>
      <c r="C283" s="333"/>
      <c r="D283" s="332"/>
      <c r="E283" s="333"/>
      <c r="F283" s="334"/>
      <c r="G283" s="332"/>
      <c r="H283" s="334" t="s">
        <v>628</v>
      </c>
      <c r="I283" s="334">
        <f>SUM(H282)</f>
        <v>0</v>
      </c>
    </row>
    <row r="284" spans="2:9" x14ac:dyDescent="0.3">
      <c r="B284" s="332" t="s">
        <v>635</v>
      </c>
      <c r="C284" s="333"/>
      <c r="D284" s="332"/>
      <c r="E284" s="333"/>
      <c r="F284" s="334"/>
      <c r="G284" s="332"/>
      <c r="H284" s="334"/>
      <c r="I284" s="334"/>
    </row>
    <row r="285" spans="2:9" x14ac:dyDescent="0.3">
      <c r="B285" s="332" t="s">
        <v>636</v>
      </c>
      <c r="C285" s="333"/>
      <c r="D285" s="332"/>
      <c r="E285" s="333" t="s">
        <v>637</v>
      </c>
      <c r="F285" s="334" t="s">
        <v>638</v>
      </c>
      <c r="G285" s="332" t="s">
        <v>639</v>
      </c>
      <c r="H285" s="334" t="s">
        <v>627</v>
      </c>
      <c r="I285" s="334"/>
    </row>
    <row r="286" spans="2:9" x14ac:dyDescent="0.3">
      <c r="B286" s="332" t="s">
        <v>645</v>
      </c>
      <c r="C286" s="333"/>
      <c r="D286" s="332"/>
      <c r="E286" s="337">
        <v>168000</v>
      </c>
      <c r="F286" s="334">
        <v>1.8</v>
      </c>
      <c r="G286" s="338">
        <v>0.3</v>
      </c>
      <c r="H286" s="334">
        <f>E286*F286/G286</f>
        <v>1008000</v>
      </c>
      <c r="I286" s="334"/>
    </row>
    <row r="287" spans="2:9" x14ac:dyDescent="0.3">
      <c r="B287" s="332"/>
      <c r="C287" s="333"/>
      <c r="D287" s="332"/>
      <c r="E287" s="333"/>
      <c r="F287" s="334"/>
      <c r="G287" s="332"/>
      <c r="H287" s="334" t="s">
        <v>628</v>
      </c>
      <c r="I287" s="334">
        <f>H286</f>
        <v>1008000</v>
      </c>
    </row>
    <row r="288" spans="2:9" x14ac:dyDescent="0.3">
      <c r="B288" s="332"/>
      <c r="C288" s="333"/>
      <c r="D288" s="332"/>
      <c r="E288" s="333"/>
      <c r="F288" s="334"/>
      <c r="G288" s="332"/>
      <c r="H288" s="330" t="s">
        <v>640</v>
      </c>
      <c r="I288" s="330">
        <f>I287+I279+I272+I283</f>
        <v>4800000</v>
      </c>
    </row>
    <row r="290" spans="2:9" ht="72" x14ac:dyDescent="0.3">
      <c r="B290" s="339" t="s">
        <v>674</v>
      </c>
      <c r="C290" s="339" t="s">
        <v>621</v>
      </c>
      <c r="D290" s="341" t="s">
        <v>531</v>
      </c>
      <c r="E290" s="339"/>
      <c r="F290" s="340"/>
      <c r="G290" s="340" t="s">
        <v>622</v>
      </c>
      <c r="H290" s="340" t="s">
        <v>60</v>
      </c>
      <c r="I290" s="340">
        <f>+ROUND(I312,0)</f>
        <v>9500</v>
      </c>
    </row>
    <row r="291" spans="2:9" x14ac:dyDescent="0.3">
      <c r="B291" s="332" t="s">
        <v>623</v>
      </c>
      <c r="C291" s="333"/>
      <c r="D291" s="332"/>
      <c r="E291" s="333"/>
      <c r="F291" s="334"/>
      <c r="G291" s="332"/>
      <c r="H291" s="334"/>
      <c r="I291" s="334"/>
    </row>
    <row r="292" spans="2:9" x14ac:dyDescent="0.3">
      <c r="B292" s="332" t="s">
        <v>271</v>
      </c>
      <c r="C292" s="333"/>
      <c r="D292" s="332"/>
      <c r="E292" s="333" t="s">
        <v>624</v>
      </c>
      <c r="F292" s="334" t="s">
        <v>625</v>
      </c>
      <c r="G292" s="332" t="s">
        <v>626</v>
      </c>
      <c r="H292" s="334" t="s">
        <v>627</v>
      </c>
      <c r="I292" s="334"/>
    </row>
    <row r="293" spans="2:9" x14ac:dyDescent="0.3">
      <c r="B293" s="332" t="s">
        <v>642</v>
      </c>
      <c r="C293" s="333"/>
      <c r="D293" s="332"/>
      <c r="E293" s="333" t="s">
        <v>644</v>
      </c>
      <c r="F293" s="334">
        <v>1500</v>
      </c>
      <c r="G293" s="335">
        <v>1</v>
      </c>
      <c r="H293" s="334">
        <f>F293*G293</f>
        <v>1500</v>
      </c>
      <c r="I293" s="334"/>
    </row>
    <row r="294" spans="2:9" x14ac:dyDescent="0.3">
      <c r="B294" s="332"/>
      <c r="C294" s="333"/>
      <c r="D294" s="332"/>
      <c r="E294" s="333"/>
      <c r="F294" s="334"/>
      <c r="G294" s="335"/>
      <c r="H294" s="334"/>
      <c r="I294" s="334"/>
    </row>
    <row r="295" spans="2:9" x14ac:dyDescent="0.3">
      <c r="B295" s="332"/>
      <c r="C295" s="333"/>
      <c r="D295" s="332"/>
      <c r="E295" s="333"/>
      <c r="F295" s="334"/>
      <c r="G295" s="335"/>
      <c r="H295" s="334"/>
      <c r="I295" s="334"/>
    </row>
    <row r="296" spans="2:9" x14ac:dyDescent="0.3">
      <c r="B296" s="332"/>
      <c r="C296" s="333"/>
      <c r="D296" s="332"/>
      <c r="E296" s="333"/>
      <c r="F296" s="334"/>
      <c r="G296" s="332"/>
      <c r="H296" s="334" t="s">
        <v>628</v>
      </c>
      <c r="I296" s="334">
        <f>SUM(H293:H295)</f>
        <v>1500</v>
      </c>
    </row>
    <row r="297" spans="2:9" x14ac:dyDescent="0.3">
      <c r="B297" s="332" t="s">
        <v>629</v>
      </c>
      <c r="C297" s="333"/>
      <c r="D297" s="332"/>
      <c r="E297" s="333"/>
      <c r="F297" s="334"/>
      <c r="G297" s="332"/>
      <c r="H297" s="334"/>
      <c r="I297" s="334"/>
    </row>
    <row r="298" spans="2:9" x14ac:dyDescent="0.3">
      <c r="B298" s="332" t="s">
        <v>271</v>
      </c>
      <c r="C298" s="333"/>
      <c r="D298" s="332"/>
      <c r="E298" s="333" t="s">
        <v>624</v>
      </c>
      <c r="F298" s="334" t="s">
        <v>630</v>
      </c>
      <c r="G298" s="332" t="s">
        <v>631</v>
      </c>
      <c r="H298" s="334" t="s">
        <v>627</v>
      </c>
      <c r="I298" s="334"/>
    </row>
    <row r="299" spans="2:9" x14ac:dyDescent="0.3">
      <c r="B299" s="342" t="s">
        <v>675</v>
      </c>
      <c r="C299" s="333"/>
      <c r="D299" s="332"/>
      <c r="E299" s="343" t="s">
        <v>102</v>
      </c>
      <c r="F299" s="344">
        <v>78600</v>
      </c>
      <c r="G299" s="345">
        <v>0.03</v>
      </c>
      <c r="H299" s="344">
        <f>F299*G299</f>
        <v>2358</v>
      </c>
      <c r="I299" s="344"/>
    </row>
    <row r="300" spans="2:9" x14ac:dyDescent="0.3">
      <c r="B300" s="332" t="s">
        <v>678</v>
      </c>
      <c r="C300" s="333"/>
      <c r="D300" s="332"/>
      <c r="E300" s="333" t="s">
        <v>677</v>
      </c>
      <c r="F300" s="334">
        <v>66599</v>
      </c>
      <c r="G300" s="332">
        <v>0.05</v>
      </c>
      <c r="H300" s="334">
        <f>F300*G300</f>
        <v>3329.9500000000003</v>
      </c>
      <c r="I300" s="334"/>
    </row>
    <row r="301" spans="2:9" x14ac:dyDescent="0.3">
      <c r="B301" s="332" t="s">
        <v>676</v>
      </c>
      <c r="C301" s="333"/>
      <c r="D301" s="332"/>
      <c r="E301" s="333" t="s">
        <v>33</v>
      </c>
      <c r="F301" s="334">
        <v>2604</v>
      </c>
      <c r="G301" s="332">
        <v>0.03</v>
      </c>
      <c r="H301" s="334">
        <f>F301*G301</f>
        <v>78.11999999999999</v>
      </c>
      <c r="I301" s="334"/>
    </row>
    <row r="302" spans="2:9" x14ac:dyDescent="0.3">
      <c r="B302" s="332"/>
      <c r="C302" s="333"/>
      <c r="D302" s="332"/>
      <c r="E302" s="333"/>
      <c r="F302" s="334"/>
      <c r="G302" s="332"/>
      <c r="H302" s="334"/>
      <c r="I302" s="334"/>
    </row>
    <row r="303" spans="2:9" x14ac:dyDescent="0.3">
      <c r="B303" s="332"/>
      <c r="C303" s="333"/>
      <c r="D303" s="332"/>
      <c r="E303" s="333"/>
      <c r="F303" s="334"/>
      <c r="G303" s="332"/>
      <c r="H303" s="334" t="s">
        <v>628</v>
      </c>
      <c r="I303" s="334">
        <f>SUM(H299:H302)</f>
        <v>5766.0700000000006</v>
      </c>
    </row>
    <row r="304" spans="2:9" x14ac:dyDescent="0.3">
      <c r="B304" s="332" t="s">
        <v>632</v>
      </c>
      <c r="C304" s="333"/>
      <c r="D304" s="332"/>
      <c r="E304" s="333" t="s">
        <v>624</v>
      </c>
      <c r="F304" s="334" t="s">
        <v>633</v>
      </c>
      <c r="G304" s="332" t="s">
        <v>634</v>
      </c>
      <c r="H304" s="334" t="s">
        <v>627</v>
      </c>
      <c r="I304" s="334"/>
    </row>
    <row r="305" spans="2:9" x14ac:dyDescent="0.3">
      <c r="B305" s="332"/>
      <c r="C305" s="333"/>
      <c r="D305" s="332"/>
      <c r="E305" s="332"/>
      <c r="F305" s="332"/>
      <c r="G305" s="332"/>
      <c r="H305" s="332"/>
      <c r="I305" s="332"/>
    </row>
    <row r="306" spans="2:9" x14ac:dyDescent="0.3">
      <c r="B306" s="332"/>
      <c r="C306" s="333"/>
      <c r="D306" s="332"/>
      <c r="E306" s="333"/>
      <c r="F306" s="336"/>
      <c r="G306" s="334"/>
      <c r="H306" s="334"/>
      <c r="I306" s="334"/>
    </row>
    <row r="307" spans="2:9" x14ac:dyDescent="0.3">
      <c r="B307" s="332"/>
      <c r="C307" s="333"/>
      <c r="D307" s="332"/>
      <c r="E307" s="333"/>
      <c r="F307" s="334"/>
      <c r="G307" s="332"/>
      <c r="H307" s="334" t="s">
        <v>628</v>
      </c>
      <c r="I307" s="334">
        <f>SUM(H306)</f>
        <v>0</v>
      </c>
    </row>
    <row r="308" spans="2:9" x14ac:dyDescent="0.3">
      <c r="B308" s="332" t="s">
        <v>635</v>
      </c>
      <c r="C308" s="333"/>
      <c r="D308" s="332"/>
      <c r="E308" s="333"/>
      <c r="F308" s="334"/>
      <c r="G308" s="332"/>
      <c r="H308" s="334"/>
      <c r="I308" s="334"/>
    </row>
    <row r="309" spans="2:9" x14ac:dyDescent="0.3">
      <c r="B309" s="332" t="s">
        <v>636</v>
      </c>
      <c r="C309" s="333"/>
      <c r="D309" s="332"/>
      <c r="E309" s="333" t="s">
        <v>637</v>
      </c>
      <c r="F309" s="334" t="s">
        <v>638</v>
      </c>
      <c r="G309" s="332" t="s">
        <v>639</v>
      </c>
      <c r="H309" s="334" t="s">
        <v>627</v>
      </c>
      <c r="I309" s="334"/>
    </row>
    <row r="310" spans="2:9" x14ac:dyDescent="0.3">
      <c r="B310" s="332" t="s">
        <v>645</v>
      </c>
      <c r="C310" s="333"/>
      <c r="D310" s="332"/>
      <c r="E310" s="337">
        <v>168000</v>
      </c>
      <c r="F310" s="334">
        <v>1.8</v>
      </c>
      <c r="G310" s="338">
        <v>135.36682010797767</v>
      </c>
      <c r="H310" s="334">
        <f>E310*F310/G310</f>
        <v>2233.9299967213933</v>
      </c>
      <c r="I310" s="334"/>
    </row>
    <row r="311" spans="2:9" x14ac:dyDescent="0.3">
      <c r="B311" s="332"/>
      <c r="C311" s="333"/>
      <c r="D311" s="332"/>
      <c r="E311" s="333"/>
      <c r="F311" s="334"/>
      <c r="G311" s="332"/>
      <c r="H311" s="334" t="s">
        <v>628</v>
      </c>
      <c r="I311" s="334">
        <f>H310</f>
        <v>2233.9299967213933</v>
      </c>
    </row>
    <row r="312" spans="2:9" x14ac:dyDescent="0.3">
      <c r="B312" s="332"/>
      <c r="C312" s="333"/>
      <c r="D312" s="332"/>
      <c r="E312" s="333"/>
      <c r="F312" s="334"/>
      <c r="G312" s="332"/>
      <c r="H312" s="330" t="s">
        <v>640</v>
      </c>
      <c r="I312" s="330">
        <f>I311+I303+I296+I307</f>
        <v>9499.9999967213935</v>
      </c>
    </row>
    <row r="314" spans="2:9" ht="57.6" x14ac:dyDescent="0.3">
      <c r="B314" s="339" t="s">
        <v>679</v>
      </c>
      <c r="C314" s="339" t="s">
        <v>621</v>
      </c>
      <c r="D314" s="341" t="s">
        <v>501</v>
      </c>
      <c r="E314" s="339"/>
      <c r="F314" s="340"/>
      <c r="G314" s="340" t="s">
        <v>622</v>
      </c>
      <c r="H314" s="340" t="s">
        <v>60</v>
      </c>
      <c r="I314" s="340">
        <f>+ROUND(I336,0)</f>
        <v>13974</v>
      </c>
    </row>
    <row r="315" spans="2:9" x14ac:dyDescent="0.3">
      <c r="B315" s="332" t="s">
        <v>623</v>
      </c>
      <c r="C315" s="333"/>
      <c r="D315" s="332"/>
      <c r="E315" s="333"/>
      <c r="F315" s="334"/>
      <c r="G315" s="332"/>
      <c r="H315" s="334"/>
      <c r="I315" s="334"/>
    </row>
    <row r="316" spans="2:9" x14ac:dyDescent="0.3">
      <c r="B316" s="332" t="s">
        <v>271</v>
      </c>
      <c r="C316" s="333"/>
      <c r="D316" s="332"/>
      <c r="E316" s="333" t="s">
        <v>624</v>
      </c>
      <c r="F316" s="334" t="s">
        <v>625</v>
      </c>
      <c r="G316" s="332" t="s">
        <v>626</v>
      </c>
      <c r="H316" s="334" t="s">
        <v>627</v>
      </c>
      <c r="I316" s="334"/>
    </row>
    <row r="317" spans="2:9" x14ac:dyDescent="0.3">
      <c r="B317" s="332" t="s">
        <v>642</v>
      </c>
      <c r="C317" s="333"/>
      <c r="D317" s="332"/>
      <c r="E317" s="333" t="s">
        <v>644</v>
      </c>
      <c r="F317" s="334">
        <v>1500</v>
      </c>
      <c r="G317" s="335">
        <v>1</v>
      </c>
      <c r="H317" s="334">
        <f>F317*G317</f>
        <v>1500</v>
      </c>
      <c r="I317" s="334"/>
    </row>
    <row r="318" spans="2:9" x14ac:dyDescent="0.3">
      <c r="B318" s="332"/>
      <c r="C318" s="333"/>
      <c r="D318" s="332"/>
      <c r="E318" s="333"/>
      <c r="F318" s="334"/>
      <c r="G318" s="335"/>
      <c r="H318" s="334"/>
      <c r="I318" s="334"/>
    </row>
    <row r="319" spans="2:9" x14ac:dyDescent="0.3">
      <c r="B319" s="332"/>
      <c r="C319" s="333"/>
      <c r="D319" s="332"/>
      <c r="E319" s="333"/>
      <c r="F319" s="334"/>
      <c r="G319" s="335"/>
      <c r="H319" s="334"/>
      <c r="I319" s="334"/>
    </row>
    <row r="320" spans="2:9" x14ac:dyDescent="0.3">
      <c r="B320" s="332"/>
      <c r="C320" s="333"/>
      <c r="D320" s="332"/>
      <c r="E320" s="333"/>
      <c r="F320" s="334"/>
      <c r="G320" s="332"/>
      <c r="H320" s="334" t="s">
        <v>628</v>
      </c>
      <c r="I320" s="334">
        <f>SUM(H317:H319)</f>
        <v>1500</v>
      </c>
    </row>
    <row r="321" spans="2:9" x14ac:dyDescent="0.3">
      <c r="B321" s="332" t="s">
        <v>629</v>
      </c>
      <c r="C321" s="333"/>
      <c r="D321" s="332"/>
      <c r="E321" s="333"/>
      <c r="F321" s="334"/>
      <c r="G321" s="332"/>
      <c r="H321" s="334"/>
      <c r="I321" s="334"/>
    </row>
    <row r="322" spans="2:9" x14ac:dyDescent="0.3">
      <c r="B322" s="332" t="s">
        <v>271</v>
      </c>
      <c r="C322" s="333"/>
      <c r="D322" s="332"/>
      <c r="E322" s="333" t="s">
        <v>624</v>
      </c>
      <c r="F322" s="334" t="s">
        <v>630</v>
      </c>
      <c r="G322" s="332" t="s">
        <v>631</v>
      </c>
      <c r="H322" s="334" t="s">
        <v>627</v>
      </c>
      <c r="I322" s="334"/>
    </row>
    <row r="323" spans="2:9" x14ac:dyDescent="0.3">
      <c r="B323" s="342" t="s">
        <v>675</v>
      </c>
      <c r="C323" s="333"/>
      <c r="D323" s="332"/>
      <c r="E323" s="343" t="s">
        <v>102</v>
      </c>
      <c r="F323" s="344">
        <v>97380</v>
      </c>
      <c r="G323" s="345">
        <v>0.04</v>
      </c>
      <c r="H323" s="344">
        <f>F323*G323</f>
        <v>3895.2000000000003</v>
      </c>
      <c r="I323" s="344"/>
    </row>
    <row r="324" spans="2:9" x14ac:dyDescent="0.3">
      <c r="B324" s="332" t="s">
        <v>680</v>
      </c>
      <c r="C324" s="333"/>
      <c r="D324" s="332"/>
      <c r="E324" s="333" t="s">
        <v>677</v>
      </c>
      <c r="F324" s="334">
        <v>66599</v>
      </c>
      <c r="G324" s="332">
        <v>0.05</v>
      </c>
      <c r="H324" s="334">
        <f>F324*G324</f>
        <v>3329.9500000000003</v>
      </c>
      <c r="I324" s="334"/>
    </row>
    <row r="325" spans="2:9" x14ac:dyDescent="0.3">
      <c r="B325" s="332" t="s">
        <v>676</v>
      </c>
      <c r="C325" s="333"/>
      <c r="D325" s="332"/>
      <c r="E325" s="333" t="s">
        <v>33</v>
      </c>
      <c r="F325" s="334">
        <v>2604</v>
      </c>
      <c r="G325" s="332">
        <v>0.04</v>
      </c>
      <c r="H325" s="334">
        <f>F325*G325</f>
        <v>104.16</v>
      </c>
      <c r="I325" s="334"/>
    </row>
    <row r="326" spans="2:9" x14ac:dyDescent="0.3">
      <c r="B326" s="332"/>
      <c r="C326" s="333"/>
      <c r="D326" s="332"/>
      <c r="E326" s="333"/>
      <c r="F326" s="334"/>
      <c r="G326" s="332"/>
      <c r="H326" s="334"/>
      <c r="I326" s="334"/>
    </row>
    <row r="327" spans="2:9" x14ac:dyDescent="0.3">
      <c r="B327" s="332"/>
      <c r="C327" s="333"/>
      <c r="D327" s="332"/>
      <c r="E327" s="333"/>
      <c r="F327" s="334"/>
      <c r="G327" s="332"/>
      <c r="H327" s="334" t="s">
        <v>628</v>
      </c>
      <c r="I327" s="334">
        <f>SUM(H323:H326)</f>
        <v>7329.31</v>
      </c>
    </row>
    <row r="328" spans="2:9" x14ac:dyDescent="0.3">
      <c r="B328" s="332" t="s">
        <v>632</v>
      </c>
      <c r="C328" s="333"/>
      <c r="D328" s="332"/>
      <c r="E328" s="333" t="s">
        <v>624</v>
      </c>
      <c r="F328" s="334" t="s">
        <v>633</v>
      </c>
      <c r="G328" s="332" t="s">
        <v>634</v>
      </c>
      <c r="H328" s="334" t="s">
        <v>627</v>
      </c>
      <c r="I328" s="334"/>
    </row>
    <row r="329" spans="2:9" x14ac:dyDescent="0.3">
      <c r="B329" s="332"/>
      <c r="C329" s="333"/>
      <c r="D329" s="332"/>
      <c r="E329" s="332"/>
      <c r="F329" s="332"/>
      <c r="G329" s="332"/>
      <c r="H329" s="332"/>
      <c r="I329" s="332"/>
    </row>
    <row r="330" spans="2:9" x14ac:dyDescent="0.3">
      <c r="B330" s="332"/>
      <c r="C330" s="333"/>
      <c r="D330" s="332"/>
      <c r="E330" s="333"/>
      <c r="F330" s="336"/>
      <c r="G330" s="334"/>
      <c r="H330" s="334"/>
      <c r="I330" s="334"/>
    </row>
    <row r="331" spans="2:9" x14ac:dyDescent="0.3">
      <c r="B331" s="332"/>
      <c r="C331" s="333"/>
      <c r="D331" s="332"/>
      <c r="E331" s="333"/>
      <c r="F331" s="334"/>
      <c r="G331" s="332"/>
      <c r="H331" s="334" t="s">
        <v>628</v>
      </c>
      <c r="I331" s="334">
        <f>SUM(H330)</f>
        <v>0</v>
      </c>
    </row>
    <row r="332" spans="2:9" x14ac:dyDescent="0.3">
      <c r="B332" s="332" t="s">
        <v>635</v>
      </c>
      <c r="C332" s="333"/>
      <c r="D332" s="332"/>
      <c r="E332" s="333"/>
      <c r="F332" s="334"/>
      <c r="G332" s="332"/>
      <c r="H332" s="334"/>
      <c r="I332" s="334"/>
    </row>
    <row r="333" spans="2:9" x14ac:dyDescent="0.3">
      <c r="B333" s="332" t="s">
        <v>636</v>
      </c>
      <c r="C333" s="333"/>
      <c r="D333" s="332"/>
      <c r="E333" s="333" t="s">
        <v>637</v>
      </c>
      <c r="F333" s="334" t="s">
        <v>638</v>
      </c>
      <c r="G333" s="332" t="s">
        <v>639</v>
      </c>
      <c r="H333" s="334" t="s">
        <v>627</v>
      </c>
      <c r="I333" s="334"/>
    </row>
    <row r="334" spans="2:9" x14ac:dyDescent="0.3">
      <c r="B334" s="332" t="s">
        <v>645</v>
      </c>
      <c r="C334" s="333"/>
      <c r="D334" s="332"/>
      <c r="E334" s="337">
        <v>168000</v>
      </c>
      <c r="F334" s="334">
        <v>1.8</v>
      </c>
      <c r="G334" s="338">
        <v>58.779051289024636</v>
      </c>
      <c r="H334" s="334">
        <f>E334*F334/G334</f>
        <v>5144.6900446395066</v>
      </c>
      <c r="I334" s="334"/>
    </row>
    <row r="335" spans="2:9" x14ac:dyDescent="0.3">
      <c r="B335" s="332"/>
      <c r="C335" s="333"/>
      <c r="D335" s="332"/>
      <c r="E335" s="333"/>
      <c r="F335" s="334"/>
      <c r="G335" s="332"/>
      <c r="H335" s="334" t="s">
        <v>628</v>
      </c>
      <c r="I335" s="334">
        <f>H334</f>
        <v>5144.6900446395066</v>
      </c>
    </row>
    <row r="336" spans="2:9" x14ac:dyDescent="0.3">
      <c r="B336" s="332"/>
      <c r="C336" s="333"/>
      <c r="D336" s="332"/>
      <c r="E336" s="333"/>
      <c r="F336" s="334"/>
      <c r="G336" s="332"/>
      <c r="H336" s="330" t="s">
        <v>640</v>
      </c>
      <c r="I336" s="330">
        <f>I335+I327+I320+I331</f>
        <v>13974.000044639506</v>
      </c>
    </row>
    <row r="338" spans="2:9" ht="86.4" x14ac:dyDescent="0.3">
      <c r="B338" s="339" t="s">
        <v>681</v>
      </c>
      <c r="C338" s="339" t="s">
        <v>621</v>
      </c>
      <c r="D338" s="341" t="s">
        <v>552</v>
      </c>
      <c r="E338" s="339"/>
      <c r="F338" s="340"/>
      <c r="G338" s="340" t="s">
        <v>622</v>
      </c>
      <c r="H338" s="340" t="s">
        <v>60</v>
      </c>
      <c r="I338" s="340">
        <f>+ROUND(I360,0)</f>
        <v>30000</v>
      </c>
    </row>
    <row r="339" spans="2:9" x14ac:dyDescent="0.3">
      <c r="B339" s="332" t="s">
        <v>623</v>
      </c>
      <c r="C339" s="333"/>
      <c r="D339" s="332"/>
      <c r="E339" s="333"/>
      <c r="F339" s="334"/>
      <c r="G339" s="332"/>
      <c r="H339" s="334"/>
      <c r="I339" s="334"/>
    </row>
    <row r="340" spans="2:9" x14ac:dyDescent="0.3">
      <c r="B340" s="332" t="s">
        <v>271</v>
      </c>
      <c r="C340" s="333"/>
      <c r="D340" s="332"/>
      <c r="E340" s="333" t="s">
        <v>624</v>
      </c>
      <c r="F340" s="334" t="s">
        <v>625</v>
      </c>
      <c r="G340" s="332" t="s">
        <v>626</v>
      </c>
      <c r="H340" s="334" t="s">
        <v>627</v>
      </c>
      <c r="I340" s="334"/>
    </row>
    <row r="341" spans="2:9" x14ac:dyDescent="0.3">
      <c r="B341" s="332" t="s">
        <v>642</v>
      </c>
      <c r="C341" s="333"/>
      <c r="D341" s="332"/>
      <c r="E341" s="333" t="s">
        <v>644</v>
      </c>
      <c r="F341" s="334">
        <v>1500</v>
      </c>
      <c r="G341" s="335">
        <v>2</v>
      </c>
      <c r="H341" s="334">
        <f>F341*G341</f>
        <v>3000</v>
      </c>
      <c r="I341" s="334"/>
    </row>
    <row r="342" spans="2:9" x14ac:dyDescent="0.3">
      <c r="B342" s="332"/>
      <c r="C342" s="333"/>
      <c r="D342" s="332"/>
      <c r="E342" s="333"/>
      <c r="F342" s="334"/>
      <c r="G342" s="335"/>
      <c r="H342" s="334"/>
      <c r="I342" s="334"/>
    </row>
    <row r="343" spans="2:9" x14ac:dyDescent="0.3">
      <c r="B343" s="332"/>
      <c r="C343" s="333"/>
      <c r="D343" s="332"/>
      <c r="E343" s="333"/>
      <c r="F343" s="334"/>
      <c r="G343" s="335"/>
      <c r="H343" s="334"/>
      <c r="I343" s="334"/>
    </row>
    <row r="344" spans="2:9" x14ac:dyDescent="0.3">
      <c r="B344" s="332"/>
      <c r="C344" s="333"/>
      <c r="D344" s="332"/>
      <c r="E344" s="333"/>
      <c r="F344" s="334"/>
      <c r="G344" s="332"/>
      <c r="H344" s="334" t="s">
        <v>628</v>
      </c>
      <c r="I344" s="334">
        <f>SUM(H341:H343)</f>
        <v>3000</v>
      </c>
    </row>
    <row r="345" spans="2:9" x14ac:dyDescent="0.3">
      <c r="B345" s="332" t="s">
        <v>629</v>
      </c>
      <c r="C345" s="333"/>
      <c r="D345" s="332"/>
      <c r="E345" s="333"/>
      <c r="F345" s="334"/>
      <c r="G345" s="332"/>
      <c r="H345" s="334"/>
      <c r="I345" s="334"/>
    </row>
    <row r="346" spans="2:9" x14ac:dyDescent="0.3">
      <c r="B346" s="332" t="s">
        <v>271</v>
      </c>
      <c r="C346" s="333"/>
      <c r="D346" s="332"/>
      <c r="E346" s="333" t="s">
        <v>624</v>
      </c>
      <c r="F346" s="334" t="s">
        <v>630</v>
      </c>
      <c r="G346" s="332" t="s">
        <v>631</v>
      </c>
      <c r="H346" s="334" t="s">
        <v>627</v>
      </c>
      <c r="I346" s="334"/>
    </row>
    <row r="347" spans="2:9" x14ac:dyDescent="0.3">
      <c r="B347" s="342"/>
      <c r="C347" s="333"/>
      <c r="D347" s="332"/>
      <c r="E347" s="343"/>
      <c r="F347" s="344"/>
      <c r="G347" s="345"/>
      <c r="H347" s="344"/>
      <c r="I347" s="344"/>
    </row>
    <row r="348" spans="2:9" x14ac:dyDescent="0.3">
      <c r="B348" s="332"/>
      <c r="C348" s="333"/>
      <c r="D348" s="332"/>
      <c r="E348" s="333"/>
      <c r="F348" s="334"/>
      <c r="G348" s="332"/>
      <c r="H348" s="334"/>
      <c r="I348" s="334"/>
    </row>
    <row r="349" spans="2:9" x14ac:dyDescent="0.3">
      <c r="B349" s="332"/>
      <c r="C349" s="333"/>
      <c r="D349" s="332"/>
      <c r="E349" s="333"/>
      <c r="F349" s="334"/>
      <c r="G349" s="332"/>
      <c r="H349" s="334"/>
      <c r="I349" s="334"/>
    </row>
    <row r="350" spans="2:9" x14ac:dyDescent="0.3">
      <c r="B350" s="332"/>
      <c r="C350" s="333"/>
      <c r="D350" s="332"/>
      <c r="E350" s="333"/>
      <c r="F350" s="334"/>
      <c r="G350" s="332"/>
      <c r="H350" s="334"/>
      <c r="I350" s="334"/>
    </row>
    <row r="351" spans="2:9" x14ac:dyDescent="0.3">
      <c r="B351" s="332"/>
      <c r="C351" s="333"/>
      <c r="D351" s="332"/>
      <c r="E351" s="333"/>
      <c r="F351" s="334"/>
      <c r="G351" s="332"/>
      <c r="H351" s="334" t="s">
        <v>628</v>
      </c>
      <c r="I351" s="334">
        <f>SUM(H347:H350)</f>
        <v>0</v>
      </c>
    </row>
    <row r="352" spans="2:9" x14ac:dyDescent="0.3">
      <c r="B352" s="332" t="s">
        <v>632</v>
      </c>
      <c r="C352" s="333"/>
      <c r="D352" s="332"/>
      <c r="E352" s="333" t="s">
        <v>624</v>
      </c>
      <c r="F352" s="334" t="s">
        <v>633</v>
      </c>
      <c r="G352" s="332" t="s">
        <v>634</v>
      </c>
      <c r="H352" s="334" t="s">
        <v>627</v>
      </c>
      <c r="I352" s="334"/>
    </row>
    <row r="353" spans="2:9" x14ac:dyDescent="0.3">
      <c r="B353" s="332"/>
      <c r="C353" s="333"/>
      <c r="D353" s="332"/>
      <c r="E353" s="332"/>
      <c r="F353" s="332"/>
      <c r="G353" s="332"/>
      <c r="H353" s="332"/>
      <c r="I353" s="332"/>
    </row>
    <row r="354" spans="2:9" x14ac:dyDescent="0.3">
      <c r="B354" s="332"/>
      <c r="C354" s="333"/>
      <c r="D354" s="332"/>
      <c r="E354" s="333"/>
      <c r="F354" s="336"/>
      <c r="G354" s="334"/>
      <c r="H354" s="334"/>
      <c r="I354" s="334"/>
    </row>
    <row r="355" spans="2:9" x14ac:dyDescent="0.3">
      <c r="B355" s="332"/>
      <c r="C355" s="333"/>
      <c r="D355" s="332"/>
      <c r="E355" s="333"/>
      <c r="F355" s="334"/>
      <c r="G355" s="332"/>
      <c r="H355" s="334" t="s">
        <v>628</v>
      </c>
      <c r="I355" s="334">
        <f>SUM(H354)</f>
        <v>0</v>
      </c>
    </row>
    <row r="356" spans="2:9" x14ac:dyDescent="0.3">
      <c r="B356" s="332" t="s">
        <v>635</v>
      </c>
      <c r="C356" s="333"/>
      <c r="D356" s="332"/>
      <c r="E356" s="333"/>
      <c r="F356" s="334"/>
      <c r="G356" s="332"/>
      <c r="H356" s="334"/>
      <c r="I356" s="334"/>
    </row>
    <row r="357" spans="2:9" x14ac:dyDescent="0.3">
      <c r="B357" s="332" t="s">
        <v>636</v>
      </c>
      <c r="C357" s="333"/>
      <c r="D357" s="332"/>
      <c r="E357" s="333" t="s">
        <v>637</v>
      </c>
      <c r="F357" s="334" t="s">
        <v>638</v>
      </c>
      <c r="G357" s="332" t="s">
        <v>639</v>
      </c>
      <c r="H357" s="334" t="s">
        <v>627</v>
      </c>
      <c r="I357" s="334"/>
    </row>
    <row r="358" spans="2:9" x14ac:dyDescent="0.3">
      <c r="B358" s="332" t="s">
        <v>645</v>
      </c>
      <c r="C358" s="333"/>
      <c r="D358" s="332"/>
      <c r="E358" s="337">
        <v>168000</v>
      </c>
      <c r="F358" s="334">
        <v>1.8</v>
      </c>
      <c r="G358" s="338">
        <v>11.199999874112965</v>
      </c>
      <c r="H358" s="334">
        <f>E358*F358/G358</f>
        <v>27000.000303477678</v>
      </c>
      <c r="I358" s="334"/>
    </row>
    <row r="359" spans="2:9" x14ac:dyDescent="0.3">
      <c r="B359" s="332"/>
      <c r="C359" s="333"/>
      <c r="D359" s="332"/>
      <c r="E359" s="333"/>
      <c r="F359" s="334"/>
      <c r="G359" s="332"/>
      <c r="H359" s="334" t="s">
        <v>628</v>
      </c>
      <c r="I359" s="334">
        <f>H358</f>
        <v>27000.000303477678</v>
      </c>
    </row>
    <row r="360" spans="2:9" x14ac:dyDescent="0.3">
      <c r="B360" s="332"/>
      <c r="C360" s="333"/>
      <c r="D360" s="332"/>
      <c r="E360" s="333"/>
      <c r="F360" s="334"/>
      <c r="G360" s="332"/>
      <c r="H360" s="330" t="s">
        <v>640</v>
      </c>
      <c r="I360" s="330">
        <f>I359+I351+I344+I355</f>
        <v>30000.000303477678</v>
      </c>
    </row>
    <row r="362" spans="2:9" ht="28.8" x14ac:dyDescent="0.3">
      <c r="B362" s="339" t="s">
        <v>682</v>
      </c>
      <c r="C362" s="339" t="s">
        <v>621</v>
      </c>
      <c r="D362" s="341" t="s">
        <v>572</v>
      </c>
      <c r="E362" s="339"/>
      <c r="F362" s="340"/>
      <c r="G362" s="340" t="s">
        <v>622</v>
      </c>
      <c r="H362" s="340" t="s">
        <v>93</v>
      </c>
      <c r="I362" s="340">
        <f>+ROUND(I384,0)</f>
        <v>72360</v>
      </c>
    </row>
    <row r="363" spans="2:9" x14ac:dyDescent="0.3">
      <c r="B363" s="332" t="s">
        <v>623</v>
      </c>
      <c r="C363" s="333"/>
      <c r="D363" s="332"/>
      <c r="E363" s="333"/>
      <c r="F363" s="334"/>
      <c r="G363" s="332"/>
      <c r="H363" s="334"/>
      <c r="I363" s="334"/>
    </row>
    <row r="364" spans="2:9" x14ac:dyDescent="0.3">
      <c r="B364" s="332" t="s">
        <v>271</v>
      </c>
      <c r="C364" s="333"/>
      <c r="D364" s="332"/>
      <c r="E364" s="333" t="s">
        <v>624</v>
      </c>
      <c r="F364" s="334" t="s">
        <v>625</v>
      </c>
      <c r="G364" s="332" t="s">
        <v>626</v>
      </c>
      <c r="H364" s="334" t="s">
        <v>627</v>
      </c>
      <c r="I364" s="334"/>
    </row>
    <row r="365" spans="2:9" x14ac:dyDescent="0.3">
      <c r="B365" s="332" t="s">
        <v>642</v>
      </c>
      <c r="C365" s="333"/>
      <c r="D365" s="332"/>
      <c r="E365" s="333" t="s">
        <v>644</v>
      </c>
      <c r="F365" s="334">
        <v>1500</v>
      </c>
      <c r="G365" s="335">
        <v>2</v>
      </c>
      <c r="H365" s="334">
        <f>F365*G365</f>
        <v>3000</v>
      </c>
      <c r="I365" s="334"/>
    </row>
    <row r="366" spans="2:9" x14ac:dyDescent="0.3">
      <c r="B366" s="332"/>
      <c r="C366" s="333"/>
      <c r="D366" s="332"/>
      <c r="E366" s="333"/>
      <c r="F366" s="334"/>
      <c r="G366" s="335"/>
      <c r="H366" s="334"/>
      <c r="I366" s="334"/>
    </row>
    <row r="367" spans="2:9" x14ac:dyDescent="0.3">
      <c r="B367" s="332"/>
      <c r="C367" s="333"/>
      <c r="D367" s="332"/>
      <c r="E367" s="333"/>
      <c r="F367" s="334"/>
      <c r="G367" s="335"/>
      <c r="H367" s="334"/>
      <c r="I367" s="334"/>
    </row>
    <row r="368" spans="2:9" x14ac:dyDescent="0.3">
      <c r="B368" s="332"/>
      <c r="C368" s="333"/>
      <c r="D368" s="332"/>
      <c r="E368" s="333"/>
      <c r="F368" s="334"/>
      <c r="G368" s="332"/>
      <c r="H368" s="334" t="s">
        <v>628</v>
      </c>
      <c r="I368" s="334">
        <f>SUM(H365:H367)</f>
        <v>3000</v>
      </c>
    </row>
    <row r="369" spans="2:9" x14ac:dyDescent="0.3">
      <c r="B369" s="332" t="s">
        <v>629</v>
      </c>
      <c r="C369" s="333"/>
      <c r="D369" s="332"/>
      <c r="E369" s="333"/>
      <c r="F369" s="334"/>
      <c r="G369" s="332"/>
      <c r="H369" s="334"/>
      <c r="I369" s="334"/>
    </row>
    <row r="370" spans="2:9" x14ac:dyDescent="0.3">
      <c r="B370" s="332" t="s">
        <v>271</v>
      </c>
      <c r="C370" s="333"/>
      <c r="D370" s="332"/>
      <c r="E370" s="333" t="s">
        <v>624</v>
      </c>
      <c r="F370" s="334" t="s">
        <v>630</v>
      </c>
      <c r="G370" s="332" t="s">
        <v>631</v>
      </c>
      <c r="H370" s="334" t="s">
        <v>627</v>
      </c>
      <c r="I370" s="334"/>
    </row>
    <row r="371" spans="2:9" ht="28.8" x14ac:dyDescent="0.3">
      <c r="B371" s="342" t="s">
        <v>683</v>
      </c>
      <c r="C371" s="333"/>
      <c r="D371" s="332"/>
      <c r="E371" s="343" t="s">
        <v>93</v>
      </c>
      <c r="F371" s="344">
        <v>22372</v>
      </c>
      <c r="G371" s="345">
        <v>1.1000000000000001</v>
      </c>
      <c r="H371" s="344">
        <f>F371*G371</f>
        <v>24609.200000000001</v>
      </c>
      <c r="I371" s="344"/>
    </row>
    <row r="372" spans="2:9" x14ac:dyDescent="0.3">
      <c r="B372" s="332"/>
      <c r="C372" s="333"/>
      <c r="D372" s="332"/>
      <c r="E372" s="333"/>
      <c r="F372" s="334"/>
      <c r="G372" s="332"/>
      <c r="H372" s="334"/>
      <c r="I372" s="334"/>
    </row>
    <row r="373" spans="2:9" x14ac:dyDescent="0.3">
      <c r="B373" s="332"/>
      <c r="C373" s="333"/>
      <c r="D373" s="332"/>
      <c r="E373" s="333"/>
      <c r="F373" s="334"/>
      <c r="G373" s="332"/>
      <c r="H373" s="334"/>
      <c r="I373" s="334"/>
    </row>
    <row r="374" spans="2:9" x14ac:dyDescent="0.3">
      <c r="B374" s="332"/>
      <c r="C374" s="333"/>
      <c r="D374" s="332"/>
      <c r="E374" s="333"/>
      <c r="F374" s="334"/>
      <c r="G374" s="332"/>
      <c r="H374" s="334"/>
      <c r="I374" s="334"/>
    </row>
    <row r="375" spans="2:9" x14ac:dyDescent="0.3">
      <c r="B375" s="332"/>
      <c r="C375" s="333"/>
      <c r="D375" s="332"/>
      <c r="E375" s="333"/>
      <c r="F375" s="334"/>
      <c r="G375" s="332"/>
      <c r="H375" s="334" t="s">
        <v>628</v>
      </c>
      <c r="I375" s="334">
        <f>SUM(H371:H374)</f>
        <v>24609.200000000001</v>
      </c>
    </row>
    <row r="376" spans="2:9" x14ac:dyDescent="0.3">
      <c r="B376" s="332" t="s">
        <v>632</v>
      </c>
      <c r="C376" s="333"/>
      <c r="D376" s="332"/>
      <c r="E376" s="333" t="s">
        <v>624</v>
      </c>
      <c r="F376" s="334" t="s">
        <v>633</v>
      </c>
      <c r="G376" s="332" t="s">
        <v>634</v>
      </c>
      <c r="H376" s="334" t="s">
        <v>627</v>
      </c>
      <c r="I376" s="334"/>
    </row>
    <row r="377" spans="2:9" x14ac:dyDescent="0.3">
      <c r="B377" s="332"/>
      <c r="C377" s="333"/>
      <c r="D377" s="332"/>
      <c r="E377" s="332"/>
      <c r="F377" s="332"/>
      <c r="G377" s="332"/>
      <c r="H377" s="332"/>
      <c r="I377" s="332"/>
    </row>
    <row r="378" spans="2:9" x14ac:dyDescent="0.3">
      <c r="B378" s="332"/>
      <c r="C378" s="333"/>
      <c r="D378" s="332"/>
      <c r="E378" s="333"/>
      <c r="F378" s="336"/>
      <c r="G378" s="334"/>
      <c r="H378" s="334"/>
      <c r="I378" s="334"/>
    </row>
    <row r="379" spans="2:9" x14ac:dyDescent="0.3">
      <c r="B379" s="332"/>
      <c r="C379" s="333"/>
      <c r="D379" s="332"/>
      <c r="E379" s="333"/>
      <c r="F379" s="334"/>
      <c r="G379" s="332"/>
      <c r="H379" s="334" t="s">
        <v>628</v>
      </c>
      <c r="I379" s="334">
        <f>SUM(H378)</f>
        <v>0</v>
      </c>
    </row>
    <row r="380" spans="2:9" x14ac:dyDescent="0.3">
      <c r="B380" s="332" t="s">
        <v>635</v>
      </c>
      <c r="C380" s="333"/>
      <c r="D380" s="332"/>
      <c r="E380" s="333"/>
      <c r="F380" s="334"/>
      <c r="G380" s="332"/>
      <c r="H380" s="334"/>
      <c r="I380" s="334"/>
    </row>
    <row r="381" spans="2:9" x14ac:dyDescent="0.3">
      <c r="B381" s="332" t="s">
        <v>636</v>
      </c>
      <c r="C381" s="333"/>
      <c r="D381" s="332"/>
      <c r="E381" s="333" t="s">
        <v>637</v>
      </c>
      <c r="F381" s="334" t="s">
        <v>638</v>
      </c>
      <c r="G381" s="332" t="s">
        <v>639</v>
      </c>
      <c r="H381" s="334" t="s">
        <v>627</v>
      </c>
      <c r="I381" s="334"/>
    </row>
    <row r="382" spans="2:9" x14ac:dyDescent="0.3">
      <c r="B382" s="332" t="s">
        <v>645</v>
      </c>
      <c r="C382" s="333"/>
      <c r="D382" s="332"/>
      <c r="E382" s="337">
        <v>168000</v>
      </c>
      <c r="F382" s="334">
        <v>1.8</v>
      </c>
      <c r="G382" s="338">
        <v>6.7574211260167054</v>
      </c>
      <c r="H382" s="334">
        <f>E382*F382/G382</f>
        <v>44750.799803749338</v>
      </c>
      <c r="I382" s="334"/>
    </row>
    <row r="383" spans="2:9" x14ac:dyDescent="0.3">
      <c r="B383" s="332"/>
      <c r="C383" s="333"/>
      <c r="D383" s="332"/>
      <c r="E383" s="333"/>
      <c r="F383" s="334"/>
      <c r="G383" s="332"/>
      <c r="H383" s="334" t="s">
        <v>628</v>
      </c>
      <c r="I383" s="334">
        <f>H382</f>
        <v>44750.799803749338</v>
      </c>
    </row>
    <row r="384" spans="2:9" x14ac:dyDescent="0.3">
      <c r="B384" s="332"/>
      <c r="C384" s="333"/>
      <c r="D384" s="332"/>
      <c r="E384" s="333"/>
      <c r="F384" s="334"/>
      <c r="G384" s="332"/>
      <c r="H384" s="330" t="s">
        <v>640</v>
      </c>
      <c r="I384" s="330">
        <f>I383+I375+I368+I379</f>
        <v>72359.999803749335</v>
      </c>
    </row>
    <row r="386" spans="2:9" ht="28.8" x14ac:dyDescent="0.3">
      <c r="B386" s="339" t="s">
        <v>684</v>
      </c>
      <c r="C386" s="339" t="s">
        <v>621</v>
      </c>
      <c r="D386" s="341" t="s">
        <v>573</v>
      </c>
      <c r="E386" s="339"/>
      <c r="F386" s="340"/>
      <c r="G386" s="340" t="s">
        <v>622</v>
      </c>
      <c r="H386" s="340" t="s">
        <v>93</v>
      </c>
      <c r="I386" s="340">
        <f>+ROUND(I408,0)</f>
        <v>40000</v>
      </c>
    </row>
    <row r="387" spans="2:9" x14ac:dyDescent="0.3">
      <c r="B387" s="332" t="s">
        <v>623</v>
      </c>
      <c r="C387" s="333"/>
      <c r="D387" s="332"/>
      <c r="E387" s="333"/>
      <c r="F387" s="334"/>
      <c r="G387" s="332"/>
      <c r="H387" s="334"/>
      <c r="I387" s="334"/>
    </row>
    <row r="388" spans="2:9" x14ac:dyDescent="0.3">
      <c r="B388" s="332" t="s">
        <v>271</v>
      </c>
      <c r="C388" s="333"/>
      <c r="D388" s="332"/>
      <c r="E388" s="333" t="s">
        <v>624</v>
      </c>
      <c r="F388" s="334" t="s">
        <v>625</v>
      </c>
      <c r="G388" s="332" t="s">
        <v>626</v>
      </c>
      <c r="H388" s="334" t="s">
        <v>627</v>
      </c>
      <c r="I388" s="334"/>
    </row>
    <row r="389" spans="2:9" x14ac:dyDescent="0.3">
      <c r="B389" s="332" t="s">
        <v>642</v>
      </c>
      <c r="C389" s="333"/>
      <c r="D389" s="332"/>
      <c r="E389" s="333" t="s">
        <v>644</v>
      </c>
      <c r="F389" s="334">
        <v>1500</v>
      </c>
      <c r="G389" s="335">
        <v>2</v>
      </c>
      <c r="H389" s="334">
        <f>F389*G389</f>
        <v>3000</v>
      </c>
      <c r="I389" s="334"/>
    </row>
    <row r="390" spans="2:9" x14ac:dyDescent="0.3">
      <c r="B390" s="332"/>
      <c r="C390" s="333"/>
      <c r="D390" s="332"/>
      <c r="E390" s="333"/>
      <c r="F390" s="334"/>
      <c r="G390" s="335"/>
      <c r="H390" s="334"/>
      <c r="I390" s="334"/>
    </row>
    <row r="391" spans="2:9" x14ac:dyDescent="0.3">
      <c r="B391" s="332"/>
      <c r="C391" s="333"/>
      <c r="D391" s="332"/>
      <c r="E391" s="333"/>
      <c r="F391" s="334"/>
      <c r="G391" s="335"/>
      <c r="H391" s="334"/>
      <c r="I391" s="334"/>
    </row>
    <row r="392" spans="2:9" x14ac:dyDescent="0.3">
      <c r="B392" s="332"/>
      <c r="C392" s="333"/>
      <c r="D392" s="332"/>
      <c r="E392" s="333"/>
      <c r="F392" s="334"/>
      <c r="G392" s="332"/>
      <c r="H392" s="334" t="s">
        <v>628</v>
      </c>
      <c r="I392" s="334">
        <f>SUM(H389:H391)</f>
        <v>3000</v>
      </c>
    </row>
    <row r="393" spans="2:9" x14ac:dyDescent="0.3">
      <c r="B393" s="332" t="s">
        <v>629</v>
      </c>
      <c r="C393" s="333"/>
      <c r="D393" s="332"/>
      <c r="E393" s="333"/>
      <c r="F393" s="334"/>
      <c r="G393" s="332"/>
      <c r="H393" s="334"/>
      <c r="I393" s="334"/>
    </row>
    <row r="394" spans="2:9" x14ac:dyDescent="0.3">
      <c r="B394" s="332" t="s">
        <v>271</v>
      </c>
      <c r="C394" s="333"/>
      <c r="D394" s="332"/>
      <c r="E394" s="333" t="s">
        <v>624</v>
      </c>
      <c r="F394" s="334" t="s">
        <v>630</v>
      </c>
      <c r="G394" s="332" t="s">
        <v>631</v>
      </c>
      <c r="H394" s="334" t="s">
        <v>627</v>
      </c>
      <c r="I394" s="334"/>
    </row>
    <row r="395" spans="2:9" ht="28.8" x14ac:dyDescent="0.3">
      <c r="B395" s="342" t="s">
        <v>685</v>
      </c>
      <c r="C395" s="333"/>
      <c r="D395" s="332"/>
      <c r="E395" s="343" t="s">
        <v>93</v>
      </c>
      <c r="F395" s="344">
        <v>22372</v>
      </c>
      <c r="G395" s="345">
        <v>1.5</v>
      </c>
      <c r="H395" s="344">
        <f>F395*G395</f>
        <v>33558</v>
      </c>
      <c r="I395" s="344"/>
    </row>
    <row r="396" spans="2:9" x14ac:dyDescent="0.3">
      <c r="B396" s="332"/>
      <c r="C396" s="333"/>
      <c r="D396" s="332"/>
      <c r="E396" s="333"/>
      <c r="F396" s="334"/>
      <c r="G396" s="332"/>
      <c r="H396" s="334"/>
      <c r="I396" s="334"/>
    </row>
    <row r="397" spans="2:9" x14ac:dyDescent="0.3">
      <c r="B397" s="332"/>
      <c r="C397" s="333"/>
      <c r="D397" s="332"/>
      <c r="E397" s="333"/>
      <c r="F397" s="334"/>
      <c r="G397" s="332"/>
      <c r="H397" s="334"/>
      <c r="I397" s="334"/>
    </row>
    <row r="398" spans="2:9" x14ac:dyDescent="0.3">
      <c r="B398" s="332"/>
      <c r="C398" s="333"/>
      <c r="D398" s="332"/>
      <c r="E398" s="333"/>
      <c r="F398" s="334"/>
      <c r="G398" s="332"/>
      <c r="H398" s="334"/>
      <c r="I398" s="334"/>
    </row>
    <row r="399" spans="2:9" x14ac:dyDescent="0.3">
      <c r="B399" s="332"/>
      <c r="C399" s="333"/>
      <c r="D399" s="332"/>
      <c r="E399" s="333"/>
      <c r="F399" s="334"/>
      <c r="G399" s="332"/>
      <c r="H399" s="334" t="s">
        <v>628</v>
      </c>
      <c r="I399" s="334">
        <f>SUM(H395:H398)</f>
        <v>33558</v>
      </c>
    </row>
    <row r="400" spans="2:9" x14ac:dyDescent="0.3">
      <c r="B400" s="332" t="s">
        <v>632</v>
      </c>
      <c r="C400" s="333"/>
      <c r="D400" s="332"/>
      <c r="E400" s="333" t="s">
        <v>624</v>
      </c>
      <c r="F400" s="334" t="s">
        <v>633</v>
      </c>
      <c r="G400" s="332" t="s">
        <v>634</v>
      </c>
      <c r="H400" s="334" t="s">
        <v>627</v>
      </c>
      <c r="I400" s="334"/>
    </row>
    <row r="401" spans="2:9" x14ac:dyDescent="0.3">
      <c r="B401" s="332"/>
      <c r="C401" s="333"/>
      <c r="D401" s="332"/>
      <c r="E401" s="332"/>
      <c r="F401" s="332"/>
      <c r="G401" s="332"/>
      <c r="H401" s="332"/>
      <c r="I401" s="332"/>
    </row>
    <row r="402" spans="2:9" x14ac:dyDescent="0.3">
      <c r="B402" s="332"/>
      <c r="C402" s="333"/>
      <c r="D402" s="332"/>
      <c r="E402" s="333"/>
      <c r="F402" s="336"/>
      <c r="G402" s="334"/>
      <c r="H402" s="334"/>
      <c r="I402" s="334"/>
    </row>
    <row r="403" spans="2:9" x14ac:dyDescent="0.3">
      <c r="B403" s="332"/>
      <c r="C403" s="333"/>
      <c r="D403" s="332"/>
      <c r="E403" s="333"/>
      <c r="F403" s="334"/>
      <c r="G403" s="332"/>
      <c r="H403" s="334" t="s">
        <v>628</v>
      </c>
      <c r="I403" s="334">
        <f>SUM(H402)</f>
        <v>0</v>
      </c>
    </row>
    <row r="404" spans="2:9" x14ac:dyDescent="0.3">
      <c r="B404" s="332" t="s">
        <v>635</v>
      </c>
      <c r="C404" s="333"/>
      <c r="D404" s="332"/>
      <c r="E404" s="333"/>
      <c r="F404" s="334"/>
      <c r="G404" s="332"/>
      <c r="H404" s="334"/>
      <c r="I404" s="334"/>
    </row>
    <row r="405" spans="2:9" x14ac:dyDescent="0.3">
      <c r="B405" s="332" t="s">
        <v>636</v>
      </c>
      <c r="C405" s="333"/>
      <c r="D405" s="332"/>
      <c r="E405" s="333" t="s">
        <v>637</v>
      </c>
      <c r="F405" s="334" t="s">
        <v>638</v>
      </c>
      <c r="G405" s="332" t="s">
        <v>639</v>
      </c>
      <c r="H405" s="334" t="s">
        <v>627</v>
      </c>
      <c r="I405" s="334"/>
    </row>
    <row r="406" spans="2:9" x14ac:dyDescent="0.3">
      <c r="B406" s="332" t="s">
        <v>645</v>
      </c>
      <c r="C406" s="333"/>
      <c r="D406" s="332"/>
      <c r="E406" s="337">
        <v>168000</v>
      </c>
      <c r="F406" s="334">
        <v>1.8</v>
      </c>
      <c r="G406" s="338">
        <v>87.855892264832818</v>
      </c>
      <c r="H406" s="334">
        <f>E406*F406/G406</f>
        <v>3442.0002142650305</v>
      </c>
      <c r="I406" s="334"/>
    </row>
    <row r="407" spans="2:9" x14ac:dyDescent="0.3">
      <c r="B407" s="332"/>
      <c r="C407" s="333"/>
      <c r="D407" s="332"/>
      <c r="E407" s="333"/>
      <c r="F407" s="334"/>
      <c r="G407" s="332"/>
      <c r="H407" s="334" t="s">
        <v>628</v>
      </c>
      <c r="I407" s="334">
        <f>H406</f>
        <v>3442.0002142650305</v>
      </c>
    </row>
    <row r="408" spans="2:9" x14ac:dyDescent="0.3">
      <c r="B408" s="332"/>
      <c r="C408" s="333"/>
      <c r="D408" s="332"/>
      <c r="E408" s="333"/>
      <c r="F408" s="334"/>
      <c r="G408" s="332"/>
      <c r="H408" s="330" t="s">
        <v>640</v>
      </c>
      <c r="I408" s="330">
        <f>I407+I399+I392+I403</f>
        <v>40000.000214265034</v>
      </c>
    </row>
    <row r="410" spans="2:9" x14ac:dyDescent="0.3">
      <c r="B410" s="339" t="s">
        <v>686</v>
      </c>
      <c r="C410" s="339" t="s">
        <v>621</v>
      </c>
      <c r="D410" s="341" t="s">
        <v>523</v>
      </c>
      <c r="E410" s="339"/>
      <c r="F410" s="340"/>
      <c r="G410" s="340" t="s">
        <v>622</v>
      </c>
      <c r="H410" s="340" t="s">
        <v>671</v>
      </c>
      <c r="I410" s="340">
        <f>+ROUND(I432,0)</f>
        <v>25000</v>
      </c>
    </row>
    <row r="411" spans="2:9" x14ac:dyDescent="0.3">
      <c r="B411" s="332" t="s">
        <v>623</v>
      </c>
      <c r="C411" s="333"/>
      <c r="D411" s="332"/>
      <c r="E411" s="333"/>
      <c r="F411" s="334"/>
      <c r="G411" s="332"/>
      <c r="H411" s="334"/>
      <c r="I411" s="334"/>
    </row>
    <row r="412" spans="2:9" x14ac:dyDescent="0.3">
      <c r="B412" s="332" t="s">
        <v>271</v>
      </c>
      <c r="C412" s="333"/>
      <c r="D412" s="332"/>
      <c r="E412" s="333" t="s">
        <v>624</v>
      </c>
      <c r="F412" s="334" t="s">
        <v>625</v>
      </c>
      <c r="G412" s="332" t="s">
        <v>626</v>
      </c>
      <c r="H412" s="334" t="s">
        <v>627</v>
      </c>
      <c r="I412" s="334"/>
    </row>
    <row r="413" spans="2:9" x14ac:dyDescent="0.3">
      <c r="B413" s="332" t="s">
        <v>642</v>
      </c>
      <c r="C413" s="333"/>
      <c r="D413" s="332"/>
      <c r="E413" s="333" t="s">
        <v>644</v>
      </c>
      <c r="F413" s="334">
        <v>1500</v>
      </c>
      <c r="G413" s="335">
        <v>2</v>
      </c>
      <c r="H413" s="334">
        <f>F413*G413</f>
        <v>3000</v>
      </c>
      <c r="I413" s="334"/>
    </row>
    <row r="414" spans="2:9" x14ac:dyDescent="0.3">
      <c r="B414" s="332"/>
      <c r="C414" s="333"/>
      <c r="D414" s="332"/>
      <c r="E414" s="333"/>
      <c r="F414" s="334"/>
      <c r="G414" s="335"/>
      <c r="H414" s="334"/>
      <c r="I414" s="334"/>
    </row>
    <row r="415" spans="2:9" x14ac:dyDescent="0.3">
      <c r="B415" s="332"/>
      <c r="C415" s="333"/>
      <c r="D415" s="332"/>
      <c r="E415" s="333"/>
      <c r="F415" s="334"/>
      <c r="G415" s="335"/>
      <c r="H415" s="334"/>
      <c r="I415" s="334"/>
    </row>
    <row r="416" spans="2:9" x14ac:dyDescent="0.3">
      <c r="B416" s="332"/>
      <c r="C416" s="333"/>
      <c r="D416" s="332"/>
      <c r="E416" s="333"/>
      <c r="F416" s="334"/>
      <c r="G416" s="332"/>
      <c r="H416" s="334" t="s">
        <v>628</v>
      </c>
      <c r="I416" s="334">
        <f>SUM(H413:H415)</f>
        <v>3000</v>
      </c>
    </row>
    <row r="417" spans="2:9" x14ac:dyDescent="0.3">
      <c r="B417" s="332" t="s">
        <v>629</v>
      </c>
      <c r="C417" s="333"/>
      <c r="D417" s="332"/>
      <c r="E417" s="333"/>
      <c r="F417" s="334"/>
      <c r="G417" s="332"/>
      <c r="H417" s="334"/>
      <c r="I417" s="334"/>
    </row>
    <row r="418" spans="2:9" x14ac:dyDescent="0.3">
      <c r="B418" s="332" t="s">
        <v>271</v>
      </c>
      <c r="C418" s="333"/>
      <c r="D418" s="332"/>
      <c r="E418" s="333" t="s">
        <v>624</v>
      </c>
      <c r="F418" s="334" t="s">
        <v>630</v>
      </c>
      <c r="G418" s="332" t="s">
        <v>631</v>
      </c>
      <c r="H418" s="334" t="s">
        <v>627</v>
      </c>
      <c r="I418" s="334"/>
    </row>
    <row r="419" spans="2:9" x14ac:dyDescent="0.3">
      <c r="B419" s="342"/>
      <c r="C419" s="333"/>
      <c r="D419" s="332"/>
      <c r="E419" s="343"/>
      <c r="F419" s="344"/>
      <c r="G419" s="345"/>
      <c r="H419" s="344"/>
      <c r="I419" s="344"/>
    </row>
    <row r="420" spans="2:9" x14ac:dyDescent="0.3">
      <c r="B420" s="332"/>
      <c r="C420" s="333"/>
      <c r="D420" s="332"/>
      <c r="E420" s="333"/>
      <c r="F420" s="334"/>
      <c r="G420" s="332"/>
      <c r="H420" s="334"/>
      <c r="I420" s="334"/>
    </row>
    <row r="421" spans="2:9" x14ac:dyDescent="0.3">
      <c r="B421" s="332"/>
      <c r="C421" s="333"/>
      <c r="D421" s="332"/>
      <c r="E421" s="333"/>
      <c r="F421" s="334"/>
      <c r="G421" s="332"/>
      <c r="H421" s="334"/>
      <c r="I421" s="334"/>
    </row>
    <row r="422" spans="2:9" x14ac:dyDescent="0.3">
      <c r="B422" s="332"/>
      <c r="C422" s="333"/>
      <c r="D422" s="332"/>
      <c r="E422" s="333"/>
      <c r="F422" s="334"/>
      <c r="G422" s="332"/>
      <c r="H422" s="334"/>
      <c r="I422" s="334"/>
    </row>
    <row r="423" spans="2:9" x14ac:dyDescent="0.3">
      <c r="B423" s="332"/>
      <c r="C423" s="333"/>
      <c r="D423" s="332"/>
      <c r="E423" s="333"/>
      <c r="F423" s="334"/>
      <c r="G423" s="332"/>
      <c r="H423" s="334" t="s">
        <v>628</v>
      </c>
      <c r="I423" s="334">
        <f>SUM(H419:H422)</f>
        <v>0</v>
      </c>
    </row>
    <row r="424" spans="2:9" x14ac:dyDescent="0.3">
      <c r="B424" s="332" t="s">
        <v>632</v>
      </c>
      <c r="C424" s="333"/>
      <c r="D424" s="332"/>
      <c r="E424" s="333" t="s">
        <v>624</v>
      </c>
      <c r="F424" s="334" t="s">
        <v>633</v>
      </c>
      <c r="G424" s="332" t="s">
        <v>634</v>
      </c>
      <c r="H424" s="334" t="s">
        <v>627</v>
      </c>
      <c r="I424" s="334"/>
    </row>
    <row r="425" spans="2:9" x14ac:dyDescent="0.3">
      <c r="B425" s="332"/>
      <c r="C425" s="333"/>
      <c r="D425" s="332"/>
      <c r="E425" s="332"/>
      <c r="F425" s="332"/>
      <c r="G425" s="332"/>
      <c r="H425" s="332"/>
      <c r="I425" s="332"/>
    </row>
    <row r="426" spans="2:9" x14ac:dyDescent="0.3">
      <c r="B426" s="332"/>
      <c r="C426" s="333"/>
      <c r="D426" s="332"/>
      <c r="E426" s="333"/>
      <c r="F426" s="336"/>
      <c r="G426" s="334"/>
      <c r="H426" s="334"/>
      <c r="I426" s="334"/>
    </row>
    <row r="427" spans="2:9" x14ac:dyDescent="0.3">
      <c r="B427" s="332"/>
      <c r="C427" s="333"/>
      <c r="D427" s="332"/>
      <c r="E427" s="333"/>
      <c r="F427" s="334"/>
      <c r="G427" s="332"/>
      <c r="H427" s="334" t="s">
        <v>628</v>
      </c>
      <c r="I427" s="334">
        <f>SUM(H426)</f>
        <v>0</v>
      </c>
    </row>
    <row r="428" spans="2:9" x14ac:dyDescent="0.3">
      <c r="B428" s="332" t="s">
        <v>635</v>
      </c>
      <c r="C428" s="333"/>
      <c r="D428" s="332"/>
      <c r="E428" s="333"/>
      <c r="F428" s="334"/>
      <c r="G428" s="332"/>
      <c r="H428" s="334"/>
      <c r="I428" s="334"/>
    </row>
    <row r="429" spans="2:9" x14ac:dyDescent="0.3">
      <c r="B429" s="332" t="s">
        <v>636</v>
      </c>
      <c r="C429" s="333"/>
      <c r="D429" s="332"/>
      <c r="E429" s="333" t="s">
        <v>637</v>
      </c>
      <c r="F429" s="334" t="s">
        <v>638</v>
      </c>
      <c r="G429" s="332" t="s">
        <v>626</v>
      </c>
      <c r="H429" s="334" t="s">
        <v>627</v>
      </c>
      <c r="I429" s="334"/>
    </row>
    <row r="430" spans="2:9" x14ac:dyDescent="0.3">
      <c r="B430" s="332" t="s">
        <v>645</v>
      </c>
      <c r="C430" s="333"/>
      <c r="D430" s="332"/>
      <c r="E430" s="337">
        <v>168000</v>
      </c>
      <c r="F430" s="334">
        <v>1.8</v>
      </c>
      <c r="G430" s="338">
        <v>13.745454566932787</v>
      </c>
      <c r="H430" s="334">
        <f>E430*F430/G430</f>
        <v>21999.99996562345</v>
      </c>
      <c r="I430" s="334"/>
    </row>
    <row r="431" spans="2:9" x14ac:dyDescent="0.3">
      <c r="B431" s="332"/>
      <c r="C431" s="333"/>
      <c r="D431" s="332"/>
      <c r="E431" s="333"/>
      <c r="F431" s="334"/>
      <c r="G431" s="332"/>
      <c r="H431" s="334" t="s">
        <v>628</v>
      </c>
      <c r="I431" s="334">
        <f>H430</f>
        <v>21999.99996562345</v>
      </c>
    </row>
    <row r="432" spans="2:9" x14ac:dyDescent="0.3">
      <c r="B432" s="332"/>
      <c r="C432" s="333"/>
      <c r="D432" s="332"/>
      <c r="E432" s="333"/>
      <c r="F432" s="334"/>
      <c r="G432" s="332"/>
      <c r="H432" s="330" t="s">
        <v>640</v>
      </c>
      <c r="I432" s="330">
        <f>I431+I423+I416+I427</f>
        <v>24999.99996562345</v>
      </c>
    </row>
    <row r="434" spans="2:9" x14ac:dyDescent="0.3">
      <c r="B434" s="339" t="s">
        <v>687</v>
      </c>
      <c r="C434" s="339" t="s">
        <v>621</v>
      </c>
      <c r="D434" s="341" t="s">
        <v>518</v>
      </c>
      <c r="E434" s="339"/>
      <c r="F434" s="340"/>
      <c r="G434" s="340" t="s">
        <v>622</v>
      </c>
      <c r="H434" s="340" t="s">
        <v>93</v>
      </c>
      <c r="I434" s="340">
        <f>+ROUND(I456,0)</f>
        <v>44000</v>
      </c>
    </row>
    <row r="435" spans="2:9" x14ac:dyDescent="0.3">
      <c r="B435" s="332" t="s">
        <v>623</v>
      </c>
      <c r="C435" s="333"/>
      <c r="D435" s="332"/>
      <c r="E435" s="333"/>
      <c r="F435" s="334"/>
      <c r="G435" s="332"/>
      <c r="H435" s="334"/>
      <c r="I435" s="334"/>
    </row>
    <row r="436" spans="2:9" x14ac:dyDescent="0.3">
      <c r="B436" s="332" t="s">
        <v>271</v>
      </c>
      <c r="C436" s="333"/>
      <c r="D436" s="332"/>
      <c r="E436" s="333" t="s">
        <v>624</v>
      </c>
      <c r="F436" s="334" t="s">
        <v>625</v>
      </c>
      <c r="G436" s="332" t="s">
        <v>626</v>
      </c>
      <c r="H436" s="334" t="s">
        <v>627</v>
      </c>
      <c r="I436" s="334"/>
    </row>
    <row r="437" spans="2:9" x14ac:dyDescent="0.3">
      <c r="B437" s="332" t="s">
        <v>642</v>
      </c>
      <c r="C437" s="333"/>
      <c r="D437" s="332"/>
      <c r="E437" s="333" t="s">
        <v>644</v>
      </c>
      <c r="F437" s="334">
        <v>1500</v>
      </c>
      <c r="G437" s="335">
        <v>2</v>
      </c>
      <c r="H437" s="334">
        <f>F437*G437</f>
        <v>3000</v>
      </c>
      <c r="I437" s="334"/>
    </row>
    <row r="438" spans="2:9" x14ac:dyDescent="0.3">
      <c r="B438" s="332"/>
      <c r="C438" s="333"/>
      <c r="D438" s="332"/>
      <c r="E438" s="333"/>
      <c r="F438" s="334"/>
      <c r="G438" s="335"/>
      <c r="H438" s="334"/>
      <c r="I438" s="334"/>
    </row>
    <row r="439" spans="2:9" x14ac:dyDescent="0.3">
      <c r="B439" s="332"/>
      <c r="C439" s="333"/>
      <c r="D439" s="332"/>
      <c r="E439" s="333"/>
      <c r="F439" s="334"/>
      <c r="G439" s="335"/>
      <c r="H439" s="334"/>
      <c r="I439" s="334"/>
    </row>
    <row r="440" spans="2:9" x14ac:dyDescent="0.3">
      <c r="B440" s="332"/>
      <c r="C440" s="333"/>
      <c r="D440" s="332"/>
      <c r="E440" s="333"/>
      <c r="F440" s="334"/>
      <c r="G440" s="332"/>
      <c r="H440" s="334" t="s">
        <v>628</v>
      </c>
      <c r="I440" s="334">
        <f>SUM(H437:H439)</f>
        <v>3000</v>
      </c>
    </row>
    <row r="441" spans="2:9" x14ac:dyDescent="0.3">
      <c r="B441" s="332" t="s">
        <v>629</v>
      </c>
      <c r="C441" s="333"/>
      <c r="D441" s="332"/>
      <c r="E441" s="333"/>
      <c r="F441" s="334"/>
      <c r="G441" s="332"/>
      <c r="H441" s="334"/>
      <c r="I441" s="334"/>
    </row>
    <row r="442" spans="2:9" x14ac:dyDescent="0.3">
      <c r="B442" s="332" t="s">
        <v>271</v>
      </c>
      <c r="C442" s="333"/>
      <c r="D442" s="332"/>
      <c r="E442" s="333" t="s">
        <v>624</v>
      </c>
      <c r="F442" s="334" t="s">
        <v>630</v>
      </c>
      <c r="G442" s="332" t="s">
        <v>631</v>
      </c>
      <c r="H442" s="334" t="s">
        <v>627</v>
      </c>
      <c r="I442" s="334"/>
    </row>
    <row r="443" spans="2:9" x14ac:dyDescent="0.3">
      <c r="B443" s="342" t="s">
        <v>688</v>
      </c>
      <c r="C443" s="333"/>
      <c r="D443" s="332"/>
      <c r="E443" s="343" t="s">
        <v>93</v>
      </c>
      <c r="F443" s="344">
        <v>19218</v>
      </c>
      <c r="G443" s="345">
        <v>1.05</v>
      </c>
      <c r="H443" s="344">
        <f>F443*G443</f>
        <v>20178.900000000001</v>
      </c>
      <c r="I443" s="344"/>
    </row>
    <row r="444" spans="2:9" x14ac:dyDescent="0.3">
      <c r="B444" s="332"/>
      <c r="C444" s="333"/>
      <c r="D444" s="332"/>
      <c r="E444" s="333"/>
      <c r="F444" s="334"/>
      <c r="G444" s="332"/>
      <c r="H444" s="334"/>
      <c r="I444" s="334"/>
    </row>
    <row r="445" spans="2:9" x14ac:dyDescent="0.3">
      <c r="B445" s="332"/>
      <c r="C445" s="333"/>
      <c r="D445" s="332"/>
      <c r="E445" s="333"/>
      <c r="F445" s="334"/>
      <c r="G445" s="332"/>
      <c r="H445" s="334"/>
      <c r="I445" s="334"/>
    </row>
    <row r="446" spans="2:9" x14ac:dyDescent="0.3">
      <c r="B446" s="332"/>
      <c r="C446" s="333"/>
      <c r="D446" s="332"/>
      <c r="E446" s="333"/>
      <c r="F446" s="334"/>
      <c r="G446" s="332"/>
      <c r="H446" s="334"/>
      <c r="I446" s="334"/>
    </row>
    <row r="447" spans="2:9" x14ac:dyDescent="0.3">
      <c r="B447" s="332"/>
      <c r="C447" s="333"/>
      <c r="D447" s="332"/>
      <c r="E447" s="333"/>
      <c r="F447" s="334"/>
      <c r="G447" s="332"/>
      <c r="H447" s="334" t="s">
        <v>628</v>
      </c>
      <c r="I447" s="334">
        <f>SUM(H443:H446)</f>
        <v>20178.900000000001</v>
      </c>
    </row>
    <row r="448" spans="2:9" x14ac:dyDescent="0.3">
      <c r="B448" s="332" t="s">
        <v>632</v>
      </c>
      <c r="C448" s="333"/>
      <c r="D448" s="332"/>
      <c r="E448" s="333" t="s">
        <v>624</v>
      </c>
      <c r="F448" s="334" t="s">
        <v>633</v>
      </c>
      <c r="G448" s="332" t="s">
        <v>634</v>
      </c>
      <c r="H448" s="334" t="s">
        <v>627</v>
      </c>
      <c r="I448" s="334"/>
    </row>
    <row r="449" spans="2:9" x14ac:dyDescent="0.3">
      <c r="B449" s="332"/>
      <c r="C449" s="333"/>
      <c r="D449" s="332"/>
      <c r="E449" s="332"/>
      <c r="F449" s="332"/>
      <c r="G449" s="332"/>
      <c r="H449" s="332"/>
      <c r="I449" s="332"/>
    </row>
    <row r="450" spans="2:9" x14ac:dyDescent="0.3">
      <c r="B450" s="332"/>
      <c r="C450" s="333"/>
      <c r="D450" s="332"/>
      <c r="E450" s="333"/>
      <c r="F450" s="336"/>
      <c r="G450" s="334"/>
      <c r="H450" s="334"/>
      <c r="I450" s="334"/>
    </row>
    <row r="451" spans="2:9" x14ac:dyDescent="0.3">
      <c r="B451" s="332"/>
      <c r="C451" s="333"/>
      <c r="D451" s="332"/>
      <c r="E451" s="333"/>
      <c r="F451" s="334"/>
      <c r="G451" s="332"/>
      <c r="H451" s="334" t="s">
        <v>628</v>
      </c>
      <c r="I451" s="334">
        <f>SUM(H450)</f>
        <v>0</v>
      </c>
    </row>
    <row r="452" spans="2:9" x14ac:dyDescent="0.3">
      <c r="B452" s="332" t="s">
        <v>635</v>
      </c>
      <c r="C452" s="333"/>
      <c r="D452" s="332"/>
      <c r="E452" s="333"/>
      <c r="F452" s="334"/>
      <c r="G452" s="332"/>
      <c r="H452" s="334"/>
      <c r="I452" s="334"/>
    </row>
    <row r="453" spans="2:9" x14ac:dyDescent="0.3">
      <c r="B453" s="332" t="s">
        <v>636</v>
      </c>
      <c r="C453" s="333"/>
      <c r="D453" s="332"/>
      <c r="E453" s="333" t="s">
        <v>637</v>
      </c>
      <c r="F453" s="334" t="s">
        <v>638</v>
      </c>
      <c r="G453" s="332" t="s">
        <v>626</v>
      </c>
      <c r="H453" s="334" t="s">
        <v>627</v>
      </c>
      <c r="I453" s="334"/>
    </row>
    <row r="454" spans="2:9" x14ac:dyDescent="0.3">
      <c r="B454" s="332" t="s">
        <v>645</v>
      </c>
      <c r="C454" s="333"/>
      <c r="D454" s="332"/>
      <c r="E454" s="337">
        <v>168000</v>
      </c>
      <c r="F454" s="334">
        <v>1.8</v>
      </c>
      <c r="G454" s="338">
        <v>14.523728332903595</v>
      </c>
      <c r="H454" s="334">
        <f>E454*F454/G454</f>
        <v>20821.100000535742</v>
      </c>
      <c r="I454" s="334"/>
    </row>
    <row r="455" spans="2:9" x14ac:dyDescent="0.3">
      <c r="B455" s="332"/>
      <c r="C455" s="333"/>
      <c r="D455" s="332"/>
      <c r="E455" s="333"/>
      <c r="F455" s="334"/>
      <c r="G455" s="332"/>
      <c r="H455" s="334" t="s">
        <v>628</v>
      </c>
      <c r="I455" s="334">
        <f>H454</f>
        <v>20821.100000535742</v>
      </c>
    </row>
    <row r="456" spans="2:9" x14ac:dyDescent="0.3">
      <c r="B456" s="332"/>
      <c r="C456" s="333"/>
      <c r="D456" s="332"/>
      <c r="E456" s="333"/>
      <c r="F456" s="334"/>
      <c r="G456" s="332"/>
      <c r="H456" s="330" t="s">
        <v>640</v>
      </c>
      <c r="I456" s="330">
        <f>I455+I447+I440+I451</f>
        <v>44000.000000535743</v>
      </c>
    </row>
    <row r="458" spans="2:9" ht="57.6" x14ac:dyDescent="0.3">
      <c r="B458" s="339" t="s">
        <v>689</v>
      </c>
      <c r="C458" s="339" t="s">
        <v>621</v>
      </c>
      <c r="D458" s="341" t="s">
        <v>98</v>
      </c>
      <c r="E458" s="339"/>
      <c r="F458" s="340"/>
      <c r="G458" s="340" t="s">
        <v>622</v>
      </c>
      <c r="H458" s="340" t="s">
        <v>33</v>
      </c>
      <c r="I458" s="340">
        <f>+ROUND(I480,0)</f>
        <v>565781</v>
      </c>
    </row>
    <row r="459" spans="2:9" x14ac:dyDescent="0.3">
      <c r="B459" s="332" t="s">
        <v>623</v>
      </c>
      <c r="C459" s="333"/>
      <c r="D459" s="332"/>
      <c r="E459" s="333"/>
      <c r="F459" s="334"/>
      <c r="G459" s="332"/>
      <c r="H459" s="334"/>
      <c r="I459" s="334"/>
    </row>
    <row r="460" spans="2:9" x14ac:dyDescent="0.3">
      <c r="B460" s="332" t="s">
        <v>271</v>
      </c>
      <c r="C460" s="333"/>
      <c r="D460" s="332"/>
      <c r="E460" s="333" t="s">
        <v>624</v>
      </c>
      <c r="F460" s="334" t="s">
        <v>625</v>
      </c>
      <c r="G460" s="332" t="s">
        <v>626</v>
      </c>
      <c r="H460" s="334" t="s">
        <v>627</v>
      </c>
      <c r="I460" s="334"/>
    </row>
    <row r="461" spans="2:9" x14ac:dyDescent="0.3">
      <c r="B461" s="332" t="s">
        <v>642</v>
      </c>
      <c r="C461" s="333"/>
      <c r="D461" s="332"/>
      <c r="E461" s="333" t="s">
        <v>644</v>
      </c>
      <c r="F461" s="334">
        <v>1500</v>
      </c>
      <c r="G461" s="335">
        <v>2</v>
      </c>
      <c r="H461" s="334">
        <f>F461*G461</f>
        <v>3000</v>
      </c>
      <c r="I461" s="334"/>
    </row>
    <row r="462" spans="2:9" x14ac:dyDescent="0.3">
      <c r="B462" s="332"/>
      <c r="C462" s="333"/>
      <c r="D462" s="332"/>
      <c r="E462" s="333"/>
      <c r="F462" s="334"/>
      <c r="G462" s="335"/>
      <c r="H462" s="334"/>
      <c r="I462" s="334"/>
    </row>
    <row r="463" spans="2:9" x14ac:dyDescent="0.3">
      <c r="B463" s="332"/>
      <c r="C463" s="333"/>
      <c r="D463" s="332"/>
      <c r="E463" s="333"/>
      <c r="F463" s="334"/>
      <c r="G463" s="335"/>
      <c r="H463" s="334"/>
      <c r="I463" s="334"/>
    </row>
    <row r="464" spans="2:9" x14ac:dyDescent="0.3">
      <c r="B464" s="332"/>
      <c r="C464" s="333"/>
      <c r="D464" s="332"/>
      <c r="E464" s="333"/>
      <c r="F464" s="334"/>
      <c r="G464" s="332"/>
      <c r="H464" s="334" t="s">
        <v>628</v>
      </c>
      <c r="I464" s="334">
        <f>SUM(H461:H463)</f>
        <v>3000</v>
      </c>
    </row>
    <row r="465" spans="2:9" x14ac:dyDescent="0.3">
      <c r="B465" s="332" t="s">
        <v>629</v>
      </c>
      <c r="C465" s="333"/>
      <c r="D465" s="332"/>
      <c r="E465" s="333"/>
      <c r="F465" s="334"/>
      <c r="G465" s="332"/>
      <c r="H465" s="334"/>
      <c r="I465" s="334"/>
    </row>
    <row r="466" spans="2:9" x14ac:dyDescent="0.3">
      <c r="B466" s="332" t="s">
        <v>271</v>
      </c>
      <c r="C466" s="333"/>
      <c r="D466" s="332"/>
      <c r="E466" s="333" t="s">
        <v>624</v>
      </c>
      <c r="F466" s="334" t="s">
        <v>630</v>
      </c>
      <c r="G466" s="332" t="s">
        <v>631</v>
      </c>
      <c r="H466" s="334" t="s">
        <v>627</v>
      </c>
      <c r="I466" s="334"/>
    </row>
    <row r="467" spans="2:9" ht="86.4" x14ac:dyDescent="0.3">
      <c r="B467" s="342" t="s">
        <v>690</v>
      </c>
      <c r="C467" s="333"/>
      <c r="D467" s="332"/>
      <c r="E467" s="343" t="s">
        <v>33</v>
      </c>
      <c r="F467" s="344">
        <v>499900</v>
      </c>
      <c r="G467" s="345">
        <v>1</v>
      </c>
      <c r="H467" s="344">
        <f>F467*G467</f>
        <v>499900</v>
      </c>
      <c r="I467" s="344"/>
    </row>
    <row r="468" spans="2:9" x14ac:dyDescent="0.3">
      <c r="B468" s="332"/>
      <c r="C468" s="333"/>
      <c r="D468" s="332"/>
      <c r="E468" s="333"/>
      <c r="F468" s="334"/>
      <c r="G468" s="332"/>
      <c r="H468" s="334"/>
      <c r="I468" s="334"/>
    </row>
    <row r="469" spans="2:9" x14ac:dyDescent="0.3">
      <c r="B469" s="332"/>
      <c r="C469" s="333"/>
      <c r="D469" s="332"/>
      <c r="E469" s="333"/>
      <c r="F469" s="334"/>
      <c r="G469" s="332"/>
      <c r="H469" s="334"/>
      <c r="I469" s="334"/>
    </row>
    <row r="470" spans="2:9" x14ac:dyDescent="0.3">
      <c r="B470" s="332"/>
      <c r="C470" s="333"/>
      <c r="D470" s="332"/>
      <c r="E470" s="333"/>
      <c r="F470" s="334"/>
      <c r="G470" s="332"/>
      <c r="H470" s="334"/>
      <c r="I470" s="334"/>
    </row>
    <row r="471" spans="2:9" x14ac:dyDescent="0.3">
      <c r="B471" s="332"/>
      <c r="C471" s="333"/>
      <c r="D471" s="332"/>
      <c r="E471" s="333"/>
      <c r="F471" s="334"/>
      <c r="G471" s="332"/>
      <c r="H471" s="334" t="s">
        <v>628</v>
      </c>
      <c r="I471" s="334">
        <f>SUM(H467:H470)</f>
        <v>499900</v>
      </c>
    </row>
    <row r="472" spans="2:9" x14ac:dyDescent="0.3">
      <c r="B472" s="332" t="s">
        <v>632</v>
      </c>
      <c r="C472" s="333"/>
      <c r="D472" s="332"/>
      <c r="E472" s="333" t="s">
        <v>624</v>
      </c>
      <c r="F472" s="334" t="s">
        <v>633</v>
      </c>
      <c r="G472" s="332" t="s">
        <v>634</v>
      </c>
      <c r="H472" s="334" t="s">
        <v>627</v>
      </c>
      <c r="I472" s="334"/>
    </row>
    <row r="473" spans="2:9" x14ac:dyDescent="0.3">
      <c r="B473" s="332"/>
      <c r="C473" s="333"/>
      <c r="D473" s="332"/>
      <c r="E473" s="332"/>
      <c r="F473" s="332"/>
      <c r="G473" s="332"/>
      <c r="H473" s="332"/>
      <c r="I473" s="332"/>
    </row>
    <row r="474" spans="2:9" x14ac:dyDescent="0.3">
      <c r="B474" s="332"/>
      <c r="C474" s="333"/>
      <c r="D474" s="332"/>
      <c r="E474" s="333"/>
      <c r="F474" s="336"/>
      <c r="G474" s="334"/>
      <c r="H474" s="334"/>
      <c r="I474" s="334"/>
    </row>
    <row r="475" spans="2:9" x14ac:dyDescent="0.3">
      <c r="B475" s="332"/>
      <c r="C475" s="333"/>
      <c r="D475" s="332"/>
      <c r="E475" s="333"/>
      <c r="F475" s="334"/>
      <c r="G475" s="332"/>
      <c r="H475" s="334" t="s">
        <v>628</v>
      </c>
      <c r="I475" s="334">
        <f>SUM(H474)</f>
        <v>0</v>
      </c>
    </row>
    <row r="476" spans="2:9" x14ac:dyDescent="0.3">
      <c r="B476" s="332" t="s">
        <v>635</v>
      </c>
      <c r="C476" s="333"/>
      <c r="D476" s="332"/>
      <c r="E476" s="333"/>
      <c r="F476" s="334"/>
      <c r="G476" s="332"/>
      <c r="H476" s="334"/>
      <c r="I476" s="334"/>
    </row>
    <row r="477" spans="2:9" x14ac:dyDescent="0.3">
      <c r="B477" s="332" t="s">
        <v>636</v>
      </c>
      <c r="C477" s="333"/>
      <c r="D477" s="332"/>
      <c r="E477" s="333" t="s">
        <v>637</v>
      </c>
      <c r="F477" s="334" t="s">
        <v>638</v>
      </c>
      <c r="G477" s="332" t="s">
        <v>626</v>
      </c>
      <c r="H477" s="334" t="s">
        <v>627</v>
      </c>
      <c r="I477" s="334"/>
    </row>
    <row r="478" spans="2:9" x14ac:dyDescent="0.3">
      <c r="B478" s="332" t="s">
        <v>645</v>
      </c>
      <c r="C478" s="333"/>
      <c r="D478" s="332"/>
      <c r="E478" s="337">
        <v>168000</v>
      </c>
      <c r="F478" s="334">
        <v>1.8</v>
      </c>
      <c r="G478" s="338">
        <v>4.8090838249874892</v>
      </c>
      <c r="H478" s="334">
        <f>E478*F478/G478</f>
        <v>62881.000000199972</v>
      </c>
      <c r="I478" s="334"/>
    </row>
    <row r="479" spans="2:9" x14ac:dyDescent="0.3">
      <c r="B479" s="332"/>
      <c r="C479" s="333"/>
      <c r="D479" s="332"/>
      <c r="E479" s="333"/>
      <c r="F479" s="334"/>
      <c r="G479" s="332"/>
      <c r="H479" s="334" t="s">
        <v>628</v>
      </c>
      <c r="I479" s="334">
        <f>H478</f>
        <v>62881.000000199972</v>
      </c>
    </row>
    <row r="480" spans="2:9" x14ac:dyDescent="0.3">
      <c r="B480" s="332"/>
      <c r="C480" s="333"/>
      <c r="D480" s="332"/>
      <c r="E480" s="333"/>
      <c r="F480" s="334"/>
      <c r="G480" s="332"/>
      <c r="H480" s="330" t="s">
        <v>640</v>
      </c>
      <c r="I480" s="330">
        <f>I479+I471+I464+I475</f>
        <v>565781.0000002</v>
      </c>
    </row>
    <row r="482" spans="2:9" ht="57.6" x14ac:dyDescent="0.3">
      <c r="B482" s="339" t="s">
        <v>691</v>
      </c>
      <c r="C482" s="339" t="s">
        <v>621</v>
      </c>
      <c r="D482" s="341" t="s">
        <v>498</v>
      </c>
      <c r="E482" s="339"/>
      <c r="F482" s="340"/>
      <c r="G482" s="340" t="s">
        <v>622</v>
      </c>
      <c r="H482" s="340" t="s">
        <v>33</v>
      </c>
      <c r="I482" s="340">
        <f>+ROUND(I504,0)</f>
        <v>250287</v>
      </c>
    </row>
    <row r="483" spans="2:9" x14ac:dyDescent="0.3">
      <c r="B483" s="332" t="s">
        <v>623</v>
      </c>
      <c r="C483" s="333"/>
      <c r="D483" s="332"/>
      <c r="E483" s="333"/>
      <c r="F483" s="334"/>
      <c r="G483" s="332"/>
      <c r="H483" s="334"/>
      <c r="I483" s="334"/>
    </row>
    <row r="484" spans="2:9" x14ac:dyDescent="0.3">
      <c r="B484" s="332" t="s">
        <v>271</v>
      </c>
      <c r="C484" s="333"/>
      <c r="D484" s="332"/>
      <c r="E484" s="333" t="s">
        <v>624</v>
      </c>
      <c r="F484" s="334" t="s">
        <v>625</v>
      </c>
      <c r="G484" s="332" t="s">
        <v>626</v>
      </c>
      <c r="H484" s="334" t="s">
        <v>627</v>
      </c>
      <c r="I484" s="334"/>
    </row>
    <row r="485" spans="2:9" x14ac:dyDescent="0.3">
      <c r="B485" s="332" t="s">
        <v>642</v>
      </c>
      <c r="C485" s="333"/>
      <c r="D485" s="332"/>
      <c r="E485" s="333" t="s">
        <v>644</v>
      </c>
      <c r="F485" s="334">
        <v>1500</v>
      </c>
      <c r="G485" s="335">
        <v>2</v>
      </c>
      <c r="H485" s="334">
        <f>F485*G485</f>
        <v>3000</v>
      </c>
      <c r="I485" s="334"/>
    </row>
    <row r="486" spans="2:9" x14ac:dyDescent="0.3">
      <c r="B486" s="332"/>
      <c r="C486" s="333"/>
      <c r="D486" s="332"/>
      <c r="E486" s="333"/>
      <c r="F486" s="334"/>
      <c r="G486" s="335"/>
      <c r="H486" s="334"/>
      <c r="I486" s="334"/>
    </row>
    <row r="487" spans="2:9" x14ac:dyDescent="0.3">
      <c r="B487" s="332"/>
      <c r="C487" s="333"/>
      <c r="D487" s="332"/>
      <c r="E487" s="333"/>
      <c r="F487" s="334"/>
      <c r="G487" s="335"/>
      <c r="H487" s="334"/>
      <c r="I487" s="334"/>
    </row>
    <row r="488" spans="2:9" x14ac:dyDescent="0.3">
      <c r="B488" s="332"/>
      <c r="C488" s="333"/>
      <c r="D488" s="332"/>
      <c r="E488" s="333"/>
      <c r="F488" s="334"/>
      <c r="G488" s="332"/>
      <c r="H488" s="334" t="s">
        <v>628</v>
      </c>
      <c r="I488" s="334">
        <f>SUM(H485:H487)</f>
        <v>3000</v>
      </c>
    </row>
    <row r="489" spans="2:9" x14ac:dyDescent="0.3">
      <c r="B489" s="332" t="s">
        <v>629</v>
      </c>
      <c r="C489" s="333"/>
      <c r="D489" s="332"/>
      <c r="E489" s="333"/>
      <c r="F489" s="334"/>
      <c r="G489" s="332"/>
      <c r="H489" s="334"/>
      <c r="I489" s="334"/>
    </row>
    <row r="490" spans="2:9" x14ac:dyDescent="0.3">
      <c r="B490" s="332" t="s">
        <v>271</v>
      </c>
      <c r="C490" s="333"/>
      <c r="D490" s="332"/>
      <c r="E490" s="333" t="s">
        <v>624</v>
      </c>
      <c r="F490" s="334" t="s">
        <v>630</v>
      </c>
      <c r="G490" s="332" t="s">
        <v>631</v>
      </c>
      <c r="H490" s="334" t="s">
        <v>627</v>
      </c>
      <c r="I490" s="334"/>
    </row>
    <row r="491" spans="2:9" ht="86.4" x14ac:dyDescent="0.3">
      <c r="B491" s="342" t="s">
        <v>692</v>
      </c>
      <c r="C491" s="333"/>
      <c r="D491" s="332"/>
      <c r="E491" s="343" t="s">
        <v>33</v>
      </c>
      <c r="F491" s="344">
        <v>217999</v>
      </c>
      <c r="G491" s="345">
        <v>1</v>
      </c>
      <c r="H491" s="344">
        <f>F491*G491</f>
        <v>217999</v>
      </c>
      <c r="I491" s="344"/>
    </row>
    <row r="492" spans="2:9" x14ac:dyDescent="0.3">
      <c r="B492" s="332"/>
      <c r="C492" s="333"/>
      <c r="D492" s="332"/>
      <c r="E492" s="333"/>
      <c r="F492" s="334"/>
      <c r="G492" s="332"/>
      <c r="H492" s="334"/>
      <c r="I492" s="334"/>
    </row>
    <row r="493" spans="2:9" x14ac:dyDescent="0.3">
      <c r="B493" s="332"/>
      <c r="C493" s="333"/>
      <c r="D493" s="332"/>
      <c r="E493" s="333"/>
      <c r="F493" s="334"/>
      <c r="G493" s="332"/>
      <c r="H493" s="334"/>
      <c r="I493" s="334"/>
    </row>
    <row r="494" spans="2:9" x14ac:dyDescent="0.3">
      <c r="B494" s="332"/>
      <c r="C494" s="333"/>
      <c r="D494" s="332"/>
      <c r="E494" s="333"/>
      <c r="F494" s="334"/>
      <c r="G494" s="332"/>
      <c r="H494" s="334"/>
      <c r="I494" s="334"/>
    </row>
    <row r="495" spans="2:9" x14ac:dyDescent="0.3">
      <c r="B495" s="332"/>
      <c r="C495" s="333"/>
      <c r="D495" s="332"/>
      <c r="E495" s="333"/>
      <c r="F495" s="334"/>
      <c r="G495" s="332"/>
      <c r="H495" s="334" t="s">
        <v>628</v>
      </c>
      <c r="I495" s="334">
        <f>SUM(H491:H494)</f>
        <v>217999</v>
      </c>
    </row>
    <row r="496" spans="2:9" x14ac:dyDescent="0.3">
      <c r="B496" s="332" t="s">
        <v>632</v>
      </c>
      <c r="C496" s="333"/>
      <c r="D496" s="332"/>
      <c r="E496" s="333" t="s">
        <v>624</v>
      </c>
      <c r="F496" s="334" t="s">
        <v>633</v>
      </c>
      <c r="G496" s="332" t="s">
        <v>634</v>
      </c>
      <c r="H496" s="334" t="s">
        <v>627</v>
      </c>
      <c r="I496" s="334"/>
    </row>
    <row r="497" spans="2:9" x14ac:dyDescent="0.3">
      <c r="B497" s="332"/>
      <c r="C497" s="333"/>
      <c r="D497" s="332"/>
      <c r="E497" s="332"/>
      <c r="F497" s="332"/>
      <c r="G497" s="332"/>
      <c r="H497" s="332"/>
      <c r="I497" s="332"/>
    </row>
    <row r="498" spans="2:9" x14ac:dyDescent="0.3">
      <c r="B498" s="332"/>
      <c r="C498" s="333"/>
      <c r="D498" s="332"/>
      <c r="E498" s="333"/>
      <c r="F498" s="336"/>
      <c r="G498" s="334"/>
      <c r="H498" s="334"/>
      <c r="I498" s="334"/>
    </row>
    <row r="499" spans="2:9" x14ac:dyDescent="0.3">
      <c r="B499" s="332"/>
      <c r="C499" s="333"/>
      <c r="D499" s="332"/>
      <c r="E499" s="333"/>
      <c r="F499" s="334"/>
      <c r="G499" s="332"/>
      <c r="H499" s="334" t="s">
        <v>628</v>
      </c>
      <c r="I499" s="334">
        <f>SUM(H498)</f>
        <v>0</v>
      </c>
    </row>
    <row r="500" spans="2:9" x14ac:dyDescent="0.3">
      <c r="B500" s="332" t="s">
        <v>635</v>
      </c>
      <c r="C500" s="333"/>
      <c r="D500" s="332"/>
      <c r="E500" s="333"/>
      <c r="F500" s="334"/>
      <c r="G500" s="332"/>
      <c r="H500" s="334"/>
      <c r="I500" s="334"/>
    </row>
    <row r="501" spans="2:9" x14ac:dyDescent="0.3">
      <c r="B501" s="332" t="s">
        <v>636</v>
      </c>
      <c r="C501" s="333"/>
      <c r="D501" s="332"/>
      <c r="E501" s="333" t="s">
        <v>637</v>
      </c>
      <c r="F501" s="334" t="s">
        <v>638</v>
      </c>
      <c r="G501" s="332" t="s">
        <v>626</v>
      </c>
      <c r="H501" s="334" t="s">
        <v>627</v>
      </c>
      <c r="I501" s="334"/>
    </row>
    <row r="502" spans="2:9" x14ac:dyDescent="0.3">
      <c r="B502" s="332" t="s">
        <v>645</v>
      </c>
      <c r="C502" s="333"/>
      <c r="D502" s="332"/>
      <c r="E502" s="337">
        <v>168000</v>
      </c>
      <c r="F502" s="334">
        <v>1.8</v>
      </c>
      <c r="G502" s="338">
        <v>10.325047527328291</v>
      </c>
      <c r="H502" s="334">
        <f>E502*F502/G502</f>
        <v>29288.000776714005</v>
      </c>
      <c r="I502" s="334"/>
    </row>
    <row r="503" spans="2:9" x14ac:dyDescent="0.3">
      <c r="B503" s="332"/>
      <c r="C503" s="333"/>
      <c r="D503" s="332"/>
      <c r="E503" s="333"/>
      <c r="F503" s="334"/>
      <c r="G503" s="332"/>
      <c r="H503" s="334" t="s">
        <v>628</v>
      </c>
      <c r="I503" s="334">
        <f>H502</f>
        <v>29288.000776714005</v>
      </c>
    </row>
    <row r="504" spans="2:9" x14ac:dyDescent="0.3">
      <c r="B504" s="332"/>
      <c r="C504" s="333"/>
      <c r="D504" s="332"/>
      <c r="E504" s="333"/>
      <c r="F504" s="334"/>
      <c r="G504" s="332"/>
      <c r="H504" s="330" t="s">
        <v>640</v>
      </c>
      <c r="I504" s="330">
        <f>I503+I495+I488+I499</f>
        <v>250287.00077671401</v>
      </c>
    </row>
    <row r="506" spans="2:9" ht="43.2" x14ac:dyDescent="0.3">
      <c r="B506" s="339" t="s">
        <v>693</v>
      </c>
      <c r="C506" s="339" t="s">
        <v>621</v>
      </c>
      <c r="D506" s="341" t="s">
        <v>508</v>
      </c>
      <c r="E506" s="339"/>
      <c r="F506" s="340"/>
      <c r="G506" s="340" t="s">
        <v>622</v>
      </c>
      <c r="H506" s="340" t="s">
        <v>33</v>
      </c>
      <c r="I506" s="340">
        <f>+ROUND(I528,0)</f>
        <v>250547</v>
      </c>
    </row>
    <row r="507" spans="2:9" x14ac:dyDescent="0.3">
      <c r="B507" s="332" t="s">
        <v>623</v>
      </c>
      <c r="C507" s="333"/>
      <c r="D507" s="332"/>
      <c r="E507" s="333"/>
      <c r="F507" s="334"/>
      <c r="G507" s="332"/>
      <c r="H507" s="334"/>
      <c r="I507" s="334"/>
    </row>
    <row r="508" spans="2:9" x14ac:dyDescent="0.3">
      <c r="B508" s="332" t="s">
        <v>271</v>
      </c>
      <c r="C508" s="333"/>
      <c r="D508" s="332"/>
      <c r="E508" s="333" t="s">
        <v>624</v>
      </c>
      <c r="F508" s="334" t="s">
        <v>625</v>
      </c>
      <c r="G508" s="332" t="s">
        <v>626</v>
      </c>
      <c r="H508" s="334" t="s">
        <v>627</v>
      </c>
      <c r="I508" s="334"/>
    </row>
    <row r="509" spans="2:9" x14ac:dyDescent="0.3">
      <c r="B509" s="332" t="s">
        <v>642</v>
      </c>
      <c r="C509" s="333"/>
      <c r="D509" s="332"/>
      <c r="E509" s="333" t="s">
        <v>644</v>
      </c>
      <c r="F509" s="334">
        <v>1500</v>
      </c>
      <c r="G509" s="335">
        <v>2</v>
      </c>
      <c r="H509" s="334">
        <f>F509*G509</f>
        <v>3000</v>
      </c>
      <c r="I509" s="334"/>
    </row>
    <row r="510" spans="2:9" x14ac:dyDescent="0.3">
      <c r="B510" s="332"/>
      <c r="C510" s="333"/>
      <c r="D510" s="332"/>
      <c r="E510" s="333"/>
      <c r="F510" s="334"/>
      <c r="G510" s="335"/>
      <c r="H510" s="334"/>
      <c r="I510" s="334"/>
    </row>
    <row r="511" spans="2:9" x14ac:dyDescent="0.3">
      <c r="B511" s="332"/>
      <c r="C511" s="333"/>
      <c r="D511" s="332"/>
      <c r="E511" s="333"/>
      <c r="F511" s="334"/>
      <c r="G511" s="335"/>
      <c r="H511" s="334"/>
      <c r="I511" s="334"/>
    </row>
    <row r="512" spans="2:9" x14ac:dyDescent="0.3">
      <c r="B512" s="332"/>
      <c r="C512" s="333"/>
      <c r="D512" s="332"/>
      <c r="E512" s="333"/>
      <c r="F512" s="334"/>
      <c r="G512" s="332"/>
      <c r="H512" s="334" t="s">
        <v>628</v>
      </c>
      <c r="I512" s="334">
        <f>SUM(H509:H511)</f>
        <v>3000</v>
      </c>
    </row>
    <row r="513" spans="2:9" x14ac:dyDescent="0.3">
      <c r="B513" s="332" t="s">
        <v>629</v>
      </c>
      <c r="C513" s="333"/>
      <c r="D513" s="332"/>
      <c r="E513" s="333"/>
      <c r="F513" s="334"/>
      <c r="G513" s="332"/>
      <c r="H513" s="334"/>
      <c r="I513" s="334"/>
    </row>
    <row r="514" spans="2:9" x14ac:dyDescent="0.3">
      <c r="B514" s="332" t="s">
        <v>271</v>
      </c>
      <c r="C514" s="333"/>
      <c r="D514" s="332"/>
      <c r="E514" s="333" t="s">
        <v>624</v>
      </c>
      <c r="F514" s="334" t="s">
        <v>630</v>
      </c>
      <c r="G514" s="332" t="s">
        <v>631</v>
      </c>
      <c r="H514" s="334" t="s">
        <v>627</v>
      </c>
      <c r="I514" s="334"/>
    </row>
    <row r="515" spans="2:9" ht="57.6" x14ac:dyDescent="0.3">
      <c r="B515" s="342" t="s">
        <v>694</v>
      </c>
      <c r="C515" s="333"/>
      <c r="D515" s="332"/>
      <c r="E515" s="343" t="s">
        <v>33</v>
      </c>
      <c r="F515" s="344">
        <v>199900</v>
      </c>
      <c r="G515" s="345">
        <v>1</v>
      </c>
      <c r="H515" s="344">
        <f>F515*G515</f>
        <v>199900</v>
      </c>
      <c r="I515" s="344"/>
    </row>
    <row r="516" spans="2:9" x14ac:dyDescent="0.3">
      <c r="B516" s="332"/>
      <c r="C516" s="333"/>
      <c r="D516" s="332"/>
      <c r="E516" s="333"/>
      <c r="F516" s="334"/>
      <c r="G516" s="332"/>
      <c r="H516" s="334"/>
      <c r="I516" s="334"/>
    </row>
    <row r="517" spans="2:9" x14ac:dyDescent="0.3">
      <c r="B517" s="332"/>
      <c r="C517" s="333"/>
      <c r="D517" s="332"/>
      <c r="E517" s="333"/>
      <c r="F517" s="334"/>
      <c r="G517" s="332"/>
      <c r="H517" s="334"/>
      <c r="I517" s="334"/>
    </row>
    <row r="518" spans="2:9" x14ac:dyDescent="0.3">
      <c r="B518" s="332"/>
      <c r="C518" s="333"/>
      <c r="D518" s="332"/>
      <c r="E518" s="333"/>
      <c r="F518" s="334"/>
      <c r="G518" s="332"/>
      <c r="H518" s="334"/>
      <c r="I518" s="334"/>
    </row>
    <row r="519" spans="2:9" x14ac:dyDescent="0.3">
      <c r="B519" s="332"/>
      <c r="C519" s="333"/>
      <c r="D519" s="332"/>
      <c r="E519" s="333"/>
      <c r="F519" s="334"/>
      <c r="G519" s="332"/>
      <c r="H519" s="334" t="s">
        <v>628</v>
      </c>
      <c r="I519" s="334">
        <f>SUM(H515:H518)</f>
        <v>199900</v>
      </c>
    </row>
    <row r="520" spans="2:9" x14ac:dyDescent="0.3">
      <c r="B520" s="332" t="s">
        <v>632</v>
      </c>
      <c r="C520" s="333"/>
      <c r="D520" s="332"/>
      <c r="E520" s="333" t="s">
        <v>624</v>
      </c>
      <c r="F520" s="334" t="s">
        <v>633</v>
      </c>
      <c r="G520" s="332" t="s">
        <v>634</v>
      </c>
      <c r="H520" s="334" t="s">
        <v>627</v>
      </c>
      <c r="I520" s="334"/>
    </row>
    <row r="521" spans="2:9" x14ac:dyDescent="0.3">
      <c r="B521" s="332"/>
      <c r="C521" s="333"/>
      <c r="D521" s="332"/>
      <c r="E521" s="332"/>
      <c r="F521" s="332"/>
      <c r="G521" s="332"/>
      <c r="H521" s="332"/>
      <c r="I521" s="332"/>
    </row>
    <row r="522" spans="2:9" x14ac:dyDescent="0.3">
      <c r="B522" s="332"/>
      <c r="C522" s="333"/>
      <c r="D522" s="332"/>
      <c r="E522" s="333"/>
      <c r="F522" s="336"/>
      <c r="G522" s="334"/>
      <c r="H522" s="334"/>
      <c r="I522" s="334"/>
    </row>
    <row r="523" spans="2:9" x14ac:dyDescent="0.3">
      <c r="B523" s="332"/>
      <c r="C523" s="333"/>
      <c r="D523" s="332"/>
      <c r="E523" s="333"/>
      <c r="F523" s="334"/>
      <c r="G523" s="332"/>
      <c r="H523" s="334" t="s">
        <v>628</v>
      </c>
      <c r="I523" s="334">
        <f>SUM(H522)</f>
        <v>0</v>
      </c>
    </row>
    <row r="524" spans="2:9" x14ac:dyDescent="0.3">
      <c r="B524" s="332" t="s">
        <v>635</v>
      </c>
      <c r="C524" s="333"/>
      <c r="D524" s="332"/>
      <c r="E524" s="333"/>
      <c r="F524" s="334"/>
      <c r="G524" s="332"/>
      <c r="H524" s="334"/>
      <c r="I524" s="334"/>
    </row>
    <row r="525" spans="2:9" x14ac:dyDescent="0.3">
      <c r="B525" s="332" t="s">
        <v>636</v>
      </c>
      <c r="C525" s="333"/>
      <c r="D525" s="332"/>
      <c r="E525" s="333" t="s">
        <v>637</v>
      </c>
      <c r="F525" s="334" t="s">
        <v>638</v>
      </c>
      <c r="G525" s="332" t="s">
        <v>626</v>
      </c>
      <c r="H525" s="334" t="s">
        <v>627</v>
      </c>
      <c r="I525" s="334"/>
    </row>
    <row r="526" spans="2:9" x14ac:dyDescent="0.3">
      <c r="B526" s="332" t="s">
        <v>645</v>
      </c>
      <c r="C526" s="333"/>
      <c r="D526" s="332"/>
      <c r="E526" s="337">
        <v>168000</v>
      </c>
      <c r="F526" s="334">
        <v>1.8</v>
      </c>
      <c r="G526" s="338">
        <v>6.3466745078765996</v>
      </c>
      <c r="H526" s="334">
        <f>E526*F526/G526</f>
        <v>47646.999956387182</v>
      </c>
      <c r="I526" s="334"/>
    </row>
    <row r="527" spans="2:9" x14ac:dyDescent="0.3">
      <c r="B527" s="332"/>
      <c r="C527" s="333"/>
      <c r="D527" s="332"/>
      <c r="E527" s="333"/>
      <c r="F527" s="334"/>
      <c r="G527" s="332"/>
      <c r="H527" s="334" t="s">
        <v>628</v>
      </c>
      <c r="I527" s="334">
        <f>H526</f>
        <v>47646.999956387182</v>
      </c>
    </row>
    <row r="528" spans="2:9" x14ac:dyDescent="0.3">
      <c r="B528" s="332"/>
      <c r="C528" s="333"/>
      <c r="D528" s="332"/>
      <c r="E528" s="333"/>
      <c r="F528" s="334"/>
      <c r="G528" s="332"/>
      <c r="H528" s="330" t="s">
        <v>640</v>
      </c>
      <c r="I528" s="330">
        <f>I527+I519+I512+I523</f>
        <v>250546.99995638718</v>
      </c>
    </row>
    <row r="530" spans="2:9" ht="43.2" x14ac:dyDescent="0.3">
      <c r="B530" s="339" t="s">
        <v>695</v>
      </c>
      <c r="C530" s="339" t="s">
        <v>621</v>
      </c>
      <c r="D530" s="341" t="s">
        <v>521</v>
      </c>
      <c r="E530" s="339"/>
      <c r="F530" s="340"/>
      <c r="G530" s="340" t="s">
        <v>622</v>
      </c>
      <c r="H530" s="340" t="s">
        <v>33</v>
      </c>
      <c r="I530" s="340">
        <f>+ROUND(I552,0)</f>
        <v>292006</v>
      </c>
    </row>
    <row r="531" spans="2:9" x14ac:dyDescent="0.3">
      <c r="B531" s="332" t="s">
        <v>623</v>
      </c>
      <c r="C531" s="333"/>
      <c r="D531" s="332"/>
      <c r="E531" s="333"/>
      <c r="F531" s="334"/>
      <c r="G531" s="332"/>
      <c r="H531" s="334"/>
      <c r="I531" s="334"/>
    </row>
    <row r="532" spans="2:9" x14ac:dyDescent="0.3">
      <c r="B532" s="332" t="s">
        <v>271</v>
      </c>
      <c r="C532" s="333"/>
      <c r="D532" s="332"/>
      <c r="E532" s="333" t="s">
        <v>624</v>
      </c>
      <c r="F532" s="334" t="s">
        <v>625</v>
      </c>
      <c r="G532" s="332" t="s">
        <v>626</v>
      </c>
      <c r="H532" s="334" t="s">
        <v>627</v>
      </c>
      <c r="I532" s="334"/>
    </row>
    <row r="533" spans="2:9" x14ac:dyDescent="0.3">
      <c r="B533" s="332" t="s">
        <v>642</v>
      </c>
      <c r="C533" s="333"/>
      <c r="D533" s="332"/>
      <c r="E533" s="333" t="s">
        <v>644</v>
      </c>
      <c r="F533" s="334">
        <v>1500</v>
      </c>
      <c r="G533" s="335">
        <v>2</v>
      </c>
      <c r="H533" s="334">
        <f>F533*G533</f>
        <v>3000</v>
      </c>
      <c r="I533" s="334"/>
    </row>
    <row r="534" spans="2:9" x14ac:dyDescent="0.3">
      <c r="B534" s="332"/>
      <c r="C534" s="333"/>
      <c r="D534" s="332"/>
      <c r="E534" s="333"/>
      <c r="F534" s="334"/>
      <c r="G534" s="335"/>
      <c r="H534" s="334"/>
      <c r="I534" s="334"/>
    </row>
    <row r="535" spans="2:9" x14ac:dyDescent="0.3">
      <c r="B535" s="332"/>
      <c r="C535" s="333"/>
      <c r="D535" s="332"/>
      <c r="E535" s="333"/>
      <c r="F535" s="334"/>
      <c r="G535" s="335"/>
      <c r="H535" s="334"/>
      <c r="I535" s="334"/>
    </row>
    <row r="536" spans="2:9" x14ac:dyDescent="0.3">
      <c r="B536" s="332"/>
      <c r="C536" s="333"/>
      <c r="D536" s="332"/>
      <c r="E536" s="333"/>
      <c r="F536" s="334"/>
      <c r="G536" s="332"/>
      <c r="H536" s="334" t="s">
        <v>628</v>
      </c>
      <c r="I536" s="334">
        <f>SUM(H533:H535)</f>
        <v>3000</v>
      </c>
    </row>
    <row r="537" spans="2:9" x14ac:dyDescent="0.3">
      <c r="B537" s="332" t="s">
        <v>629</v>
      </c>
      <c r="C537" s="333"/>
      <c r="D537" s="332"/>
      <c r="E537" s="333"/>
      <c r="F537" s="334"/>
      <c r="G537" s="332"/>
      <c r="H537" s="334"/>
      <c r="I537" s="334"/>
    </row>
    <row r="538" spans="2:9" x14ac:dyDescent="0.3">
      <c r="B538" s="332" t="s">
        <v>271</v>
      </c>
      <c r="C538" s="333"/>
      <c r="D538" s="332"/>
      <c r="E538" s="333" t="s">
        <v>624</v>
      </c>
      <c r="F538" s="334" t="s">
        <v>630</v>
      </c>
      <c r="G538" s="332" t="s">
        <v>631</v>
      </c>
      <c r="H538" s="334" t="s">
        <v>627</v>
      </c>
      <c r="I538" s="334"/>
    </row>
    <row r="539" spans="2:9" ht="86.4" x14ac:dyDescent="0.3">
      <c r="B539" s="342" t="s">
        <v>696</v>
      </c>
      <c r="C539" s="333"/>
      <c r="D539" s="332"/>
      <c r="E539" s="343" t="s">
        <v>33</v>
      </c>
      <c r="F539" s="344">
        <v>265000</v>
      </c>
      <c r="G539" s="345">
        <v>1</v>
      </c>
      <c r="H539" s="344">
        <f>F539*G539</f>
        <v>265000</v>
      </c>
      <c r="I539" s="344"/>
    </row>
    <row r="540" spans="2:9" x14ac:dyDescent="0.3">
      <c r="B540" s="332"/>
      <c r="C540" s="333"/>
      <c r="D540" s="332"/>
      <c r="E540" s="333"/>
      <c r="F540" s="334"/>
      <c r="G540" s="332"/>
      <c r="H540" s="334"/>
      <c r="I540" s="334"/>
    </row>
    <row r="541" spans="2:9" x14ac:dyDescent="0.3">
      <c r="B541" s="332"/>
      <c r="C541" s="333"/>
      <c r="D541" s="332"/>
      <c r="E541" s="333"/>
      <c r="F541" s="334"/>
      <c r="G541" s="332"/>
      <c r="H541" s="334"/>
      <c r="I541" s="334"/>
    </row>
    <row r="542" spans="2:9" x14ac:dyDescent="0.3">
      <c r="B542" s="332"/>
      <c r="C542" s="333"/>
      <c r="D542" s="332"/>
      <c r="E542" s="333"/>
      <c r="F542" s="334"/>
      <c r="G542" s="332"/>
      <c r="H542" s="334"/>
      <c r="I542" s="334"/>
    </row>
    <row r="543" spans="2:9" x14ac:dyDescent="0.3">
      <c r="B543" s="332"/>
      <c r="C543" s="333"/>
      <c r="D543" s="332"/>
      <c r="E543" s="333"/>
      <c r="F543" s="334"/>
      <c r="G543" s="332"/>
      <c r="H543" s="334" t="s">
        <v>628</v>
      </c>
      <c r="I543" s="334">
        <f>SUM(H539:H542)</f>
        <v>265000</v>
      </c>
    </row>
    <row r="544" spans="2:9" x14ac:dyDescent="0.3">
      <c r="B544" s="332" t="s">
        <v>632</v>
      </c>
      <c r="C544" s="333"/>
      <c r="D544" s="332"/>
      <c r="E544" s="333" t="s">
        <v>624</v>
      </c>
      <c r="F544" s="334" t="s">
        <v>633</v>
      </c>
      <c r="G544" s="332" t="s">
        <v>634</v>
      </c>
      <c r="H544" s="334" t="s">
        <v>627</v>
      </c>
      <c r="I544" s="334"/>
    </row>
    <row r="545" spans="2:9" x14ac:dyDescent="0.3">
      <c r="B545" s="332"/>
      <c r="C545" s="333"/>
      <c r="D545" s="332"/>
      <c r="E545" s="332"/>
      <c r="F545" s="332"/>
      <c r="G545" s="332"/>
      <c r="H545" s="332"/>
      <c r="I545" s="332"/>
    </row>
    <row r="546" spans="2:9" x14ac:dyDescent="0.3">
      <c r="B546" s="332"/>
      <c r="C546" s="333"/>
      <c r="D546" s="332"/>
      <c r="E546" s="333"/>
      <c r="F546" s="336"/>
      <c r="G546" s="334"/>
      <c r="H546" s="334"/>
      <c r="I546" s="334"/>
    </row>
    <row r="547" spans="2:9" x14ac:dyDescent="0.3">
      <c r="B547" s="332"/>
      <c r="C547" s="333"/>
      <c r="D547" s="332"/>
      <c r="E547" s="333"/>
      <c r="F547" s="334"/>
      <c r="G547" s="332"/>
      <c r="H547" s="334" t="s">
        <v>628</v>
      </c>
      <c r="I547" s="334">
        <f>SUM(H546)</f>
        <v>0</v>
      </c>
    </row>
    <row r="548" spans="2:9" x14ac:dyDescent="0.3">
      <c r="B548" s="332" t="s">
        <v>635</v>
      </c>
      <c r="C548" s="333"/>
      <c r="D548" s="332"/>
      <c r="E548" s="333"/>
      <c r="F548" s="334"/>
      <c r="G548" s="332"/>
      <c r="H548" s="334"/>
      <c r="I548" s="334"/>
    </row>
    <row r="549" spans="2:9" x14ac:dyDescent="0.3">
      <c r="B549" s="332" t="s">
        <v>636</v>
      </c>
      <c r="C549" s="333"/>
      <c r="D549" s="332"/>
      <c r="E549" s="333" t="s">
        <v>637</v>
      </c>
      <c r="F549" s="334" t="s">
        <v>638</v>
      </c>
      <c r="G549" s="332" t="s">
        <v>626</v>
      </c>
      <c r="H549" s="334" t="s">
        <v>627</v>
      </c>
      <c r="I549" s="334"/>
    </row>
    <row r="550" spans="2:9" ht="28.8" x14ac:dyDescent="0.3">
      <c r="B550" s="342" t="s">
        <v>645</v>
      </c>
      <c r="C550" s="333"/>
      <c r="D550" s="332"/>
      <c r="E550" s="346">
        <v>168000</v>
      </c>
      <c r="F550" s="344">
        <v>1.8</v>
      </c>
      <c r="G550" s="347">
        <v>12.596850772757925</v>
      </c>
      <c r="H550" s="344">
        <f>E550*F550/G550</f>
        <v>24006.000027719092</v>
      </c>
      <c r="I550" s="344"/>
    </row>
    <row r="551" spans="2:9" x14ac:dyDescent="0.3">
      <c r="B551" s="332"/>
      <c r="C551" s="333"/>
      <c r="D551" s="332"/>
      <c r="E551" s="333"/>
      <c r="F551" s="334"/>
      <c r="G551" s="332"/>
      <c r="H551" s="334" t="s">
        <v>628</v>
      </c>
      <c r="I551" s="334">
        <f>H550</f>
        <v>24006.000027719092</v>
      </c>
    </row>
    <row r="552" spans="2:9" x14ac:dyDescent="0.3">
      <c r="B552" s="332"/>
      <c r="C552" s="333"/>
      <c r="D552" s="332"/>
      <c r="E552" s="333"/>
      <c r="F552" s="334"/>
      <c r="G552" s="332"/>
      <c r="H552" s="330" t="s">
        <v>640</v>
      </c>
      <c r="I552" s="330">
        <f>I551+I543+I536+I547</f>
        <v>292006.00002771907</v>
      </c>
    </row>
    <row r="554" spans="2:9" ht="28.8" x14ac:dyDescent="0.3">
      <c r="B554" s="339" t="s">
        <v>698</v>
      </c>
      <c r="C554" s="339" t="s">
        <v>621</v>
      </c>
      <c r="D554" s="341" t="s">
        <v>697</v>
      </c>
      <c r="E554" s="339"/>
      <c r="F554" s="340"/>
      <c r="G554" s="340" t="s">
        <v>622</v>
      </c>
      <c r="H554" s="340" t="s">
        <v>33</v>
      </c>
      <c r="I554" s="340">
        <f>+ROUND(I576,0)</f>
        <v>737000</v>
      </c>
    </row>
    <row r="555" spans="2:9" x14ac:dyDescent="0.3">
      <c r="B555" s="332" t="s">
        <v>623</v>
      </c>
      <c r="C555" s="333"/>
      <c r="D555" s="332"/>
      <c r="E555" s="333"/>
      <c r="F555" s="334"/>
      <c r="G555" s="332"/>
      <c r="H555" s="334"/>
      <c r="I555" s="334"/>
    </row>
    <row r="556" spans="2:9" x14ac:dyDescent="0.3">
      <c r="B556" s="332" t="s">
        <v>271</v>
      </c>
      <c r="C556" s="333"/>
      <c r="D556" s="332"/>
      <c r="E556" s="333" t="s">
        <v>624</v>
      </c>
      <c r="F556" s="334" t="s">
        <v>625</v>
      </c>
      <c r="G556" s="332" t="s">
        <v>626</v>
      </c>
      <c r="H556" s="334" t="s">
        <v>627</v>
      </c>
      <c r="I556" s="334"/>
    </row>
    <row r="557" spans="2:9" x14ac:dyDescent="0.3">
      <c r="B557" s="332" t="s">
        <v>642</v>
      </c>
      <c r="C557" s="333"/>
      <c r="D557" s="332"/>
      <c r="E557" s="333" t="s">
        <v>644</v>
      </c>
      <c r="F557" s="334">
        <v>1500</v>
      </c>
      <c r="G557" s="335">
        <v>2</v>
      </c>
      <c r="H557" s="334">
        <f>F557*G557</f>
        <v>3000</v>
      </c>
      <c r="I557" s="334"/>
    </row>
    <row r="558" spans="2:9" x14ac:dyDescent="0.3">
      <c r="B558" s="332"/>
      <c r="C558" s="333"/>
      <c r="D558" s="332"/>
      <c r="E558" s="333"/>
      <c r="F558" s="334"/>
      <c r="G558" s="335"/>
      <c r="H558" s="334"/>
      <c r="I558" s="334"/>
    </row>
    <row r="559" spans="2:9" x14ac:dyDescent="0.3">
      <c r="B559" s="332"/>
      <c r="C559" s="333"/>
      <c r="D559" s="332"/>
      <c r="E559" s="333"/>
      <c r="F559" s="334"/>
      <c r="G559" s="335"/>
      <c r="H559" s="334"/>
      <c r="I559" s="334"/>
    </row>
    <row r="560" spans="2:9" x14ac:dyDescent="0.3">
      <c r="B560" s="332"/>
      <c r="C560" s="333"/>
      <c r="D560" s="332"/>
      <c r="E560" s="333"/>
      <c r="F560" s="334"/>
      <c r="G560" s="332"/>
      <c r="H560" s="334" t="s">
        <v>628</v>
      </c>
      <c r="I560" s="334">
        <f>SUM(H557:H559)</f>
        <v>3000</v>
      </c>
    </row>
    <row r="561" spans="2:9" x14ac:dyDescent="0.3">
      <c r="B561" s="332" t="s">
        <v>629</v>
      </c>
      <c r="C561" s="333"/>
      <c r="D561" s="332"/>
      <c r="E561" s="333"/>
      <c r="F561" s="334"/>
      <c r="G561" s="332"/>
      <c r="H561" s="334"/>
      <c r="I561" s="334"/>
    </row>
    <row r="562" spans="2:9" x14ac:dyDescent="0.3">
      <c r="B562" s="332" t="s">
        <v>271</v>
      </c>
      <c r="C562" s="333"/>
      <c r="D562" s="332"/>
      <c r="E562" s="333" t="s">
        <v>624</v>
      </c>
      <c r="F562" s="334" t="s">
        <v>630</v>
      </c>
      <c r="G562" s="332" t="s">
        <v>631</v>
      </c>
      <c r="H562" s="334" t="s">
        <v>627</v>
      </c>
      <c r="I562" s="334"/>
    </row>
    <row r="563" spans="2:9" ht="43.2" x14ac:dyDescent="0.3">
      <c r="B563" s="342" t="s">
        <v>699</v>
      </c>
      <c r="C563" s="333"/>
      <c r="D563" s="332"/>
      <c r="E563" s="343" t="s">
        <v>33</v>
      </c>
      <c r="F563" s="344">
        <v>687900</v>
      </c>
      <c r="G563" s="345">
        <v>1</v>
      </c>
      <c r="H563" s="344">
        <f>F563*G563</f>
        <v>687900</v>
      </c>
      <c r="I563" s="344"/>
    </row>
    <row r="564" spans="2:9" x14ac:dyDescent="0.3">
      <c r="B564" s="332"/>
      <c r="C564" s="333"/>
      <c r="D564" s="332"/>
      <c r="E564" s="333"/>
      <c r="F564" s="334"/>
      <c r="G564" s="332"/>
      <c r="H564" s="334"/>
      <c r="I564" s="334"/>
    </row>
    <row r="565" spans="2:9" x14ac:dyDescent="0.3">
      <c r="B565" s="332"/>
      <c r="C565" s="333"/>
      <c r="D565" s="332"/>
      <c r="E565" s="333"/>
      <c r="F565" s="334"/>
      <c r="G565" s="332"/>
      <c r="H565" s="334"/>
      <c r="I565" s="334"/>
    </row>
    <row r="566" spans="2:9" x14ac:dyDescent="0.3">
      <c r="B566" s="332"/>
      <c r="C566" s="333"/>
      <c r="D566" s="332"/>
      <c r="E566" s="333"/>
      <c r="F566" s="334"/>
      <c r="G566" s="332"/>
      <c r="H566" s="334"/>
      <c r="I566" s="334"/>
    </row>
    <row r="567" spans="2:9" x14ac:dyDescent="0.3">
      <c r="B567" s="332"/>
      <c r="C567" s="333"/>
      <c r="D567" s="332"/>
      <c r="E567" s="333"/>
      <c r="F567" s="334"/>
      <c r="G567" s="332"/>
      <c r="H567" s="334" t="s">
        <v>628</v>
      </c>
      <c r="I567" s="334">
        <f>SUM(H563:H566)</f>
        <v>687900</v>
      </c>
    </row>
    <row r="568" spans="2:9" x14ac:dyDescent="0.3">
      <c r="B568" s="332" t="s">
        <v>632</v>
      </c>
      <c r="C568" s="333"/>
      <c r="D568" s="332"/>
      <c r="E568" s="333" t="s">
        <v>624</v>
      </c>
      <c r="F568" s="334" t="s">
        <v>633</v>
      </c>
      <c r="G568" s="332" t="s">
        <v>634</v>
      </c>
      <c r="H568" s="334" t="s">
        <v>627</v>
      </c>
      <c r="I568" s="334"/>
    </row>
    <row r="569" spans="2:9" x14ac:dyDescent="0.3">
      <c r="B569" s="332"/>
      <c r="C569" s="333"/>
      <c r="D569" s="332"/>
      <c r="E569" s="332"/>
      <c r="F569" s="332"/>
      <c r="G569" s="332"/>
      <c r="H569" s="332"/>
      <c r="I569" s="332"/>
    </row>
    <row r="570" spans="2:9" x14ac:dyDescent="0.3">
      <c r="B570" s="332"/>
      <c r="C570" s="333"/>
      <c r="D570" s="332"/>
      <c r="E570" s="333"/>
      <c r="F570" s="336"/>
      <c r="G570" s="334"/>
      <c r="H570" s="334"/>
      <c r="I570" s="334"/>
    </row>
    <row r="571" spans="2:9" x14ac:dyDescent="0.3">
      <c r="B571" s="332"/>
      <c r="C571" s="333"/>
      <c r="D571" s="332"/>
      <c r="E571" s="333"/>
      <c r="F571" s="334"/>
      <c r="G571" s="332"/>
      <c r="H571" s="334" t="s">
        <v>628</v>
      </c>
      <c r="I571" s="334">
        <f>SUM(H570)</f>
        <v>0</v>
      </c>
    </row>
    <row r="572" spans="2:9" x14ac:dyDescent="0.3">
      <c r="B572" s="332" t="s">
        <v>635</v>
      </c>
      <c r="C572" s="333"/>
      <c r="D572" s="332"/>
      <c r="E572" s="333"/>
      <c r="F572" s="334"/>
      <c r="G572" s="332"/>
      <c r="H572" s="334"/>
      <c r="I572" s="334"/>
    </row>
    <row r="573" spans="2:9" x14ac:dyDescent="0.3">
      <c r="B573" s="332" t="s">
        <v>636</v>
      </c>
      <c r="C573" s="333"/>
      <c r="D573" s="332"/>
      <c r="E573" s="333" t="s">
        <v>637</v>
      </c>
      <c r="F573" s="334" t="s">
        <v>638</v>
      </c>
      <c r="G573" s="332" t="s">
        <v>626</v>
      </c>
      <c r="H573" s="334" t="s">
        <v>627</v>
      </c>
      <c r="I573" s="334"/>
    </row>
    <row r="574" spans="2:9" ht="28.8" x14ac:dyDescent="0.3">
      <c r="B574" s="342" t="s">
        <v>645</v>
      </c>
      <c r="C574" s="333"/>
      <c r="D574" s="332"/>
      <c r="E574" s="346">
        <v>168000</v>
      </c>
      <c r="F574" s="344">
        <v>1.8</v>
      </c>
      <c r="G574" s="347">
        <v>6.5596529284122571</v>
      </c>
      <c r="H574" s="344">
        <f>E574*F574/G574</f>
        <v>46100.000000029722</v>
      </c>
      <c r="I574" s="344"/>
    </row>
    <row r="575" spans="2:9" x14ac:dyDescent="0.3">
      <c r="B575" s="332"/>
      <c r="C575" s="333"/>
      <c r="D575" s="332"/>
      <c r="E575" s="333"/>
      <c r="F575" s="334"/>
      <c r="G575" s="332"/>
      <c r="H575" s="334" t="s">
        <v>628</v>
      </c>
      <c r="I575" s="334">
        <f>H574</f>
        <v>46100.000000029722</v>
      </c>
    </row>
    <row r="576" spans="2:9" x14ac:dyDescent="0.3">
      <c r="B576" s="332"/>
      <c r="C576" s="333"/>
      <c r="D576" s="332"/>
      <c r="E576" s="333"/>
      <c r="F576" s="334"/>
      <c r="G576" s="332"/>
      <c r="H576" s="330" t="s">
        <v>640</v>
      </c>
      <c r="I576" s="330">
        <f>I575+I567+I560+I571</f>
        <v>737000.00000002969</v>
      </c>
    </row>
    <row r="578" spans="2:9" ht="100.8" x14ac:dyDescent="0.3">
      <c r="B578" s="339" t="s">
        <v>700</v>
      </c>
      <c r="C578" s="339" t="s">
        <v>621</v>
      </c>
      <c r="D578" s="341" t="s">
        <v>566</v>
      </c>
      <c r="E578" s="339"/>
      <c r="F578" s="340"/>
      <c r="G578" s="340" t="s">
        <v>622</v>
      </c>
      <c r="H578" s="340" t="s">
        <v>33</v>
      </c>
      <c r="I578" s="340">
        <f>+ROUND(I600,0)</f>
        <v>35000</v>
      </c>
    </row>
    <row r="579" spans="2:9" x14ac:dyDescent="0.3">
      <c r="B579" s="332" t="s">
        <v>623</v>
      </c>
      <c r="C579" s="333"/>
      <c r="D579" s="332"/>
      <c r="E579" s="333"/>
      <c r="F579" s="334"/>
      <c r="G579" s="332"/>
      <c r="H579" s="334"/>
      <c r="I579" s="334"/>
    </row>
    <row r="580" spans="2:9" x14ac:dyDescent="0.3">
      <c r="B580" s="332" t="s">
        <v>271</v>
      </c>
      <c r="C580" s="333"/>
      <c r="D580" s="332"/>
      <c r="E580" s="333" t="s">
        <v>624</v>
      </c>
      <c r="F580" s="334" t="s">
        <v>625</v>
      </c>
      <c r="G580" s="332" t="s">
        <v>626</v>
      </c>
      <c r="H580" s="334" t="s">
        <v>627</v>
      </c>
      <c r="I580" s="334"/>
    </row>
    <row r="581" spans="2:9" x14ac:dyDescent="0.3">
      <c r="B581" s="332" t="s">
        <v>701</v>
      </c>
      <c r="C581" s="333"/>
      <c r="D581" s="332"/>
      <c r="E581" s="333" t="s">
        <v>644</v>
      </c>
      <c r="F581" s="334">
        <v>1500</v>
      </c>
      <c r="G581" s="335">
        <v>2</v>
      </c>
      <c r="H581" s="334">
        <f>F581*G581</f>
        <v>3000</v>
      </c>
      <c r="I581" s="334"/>
    </row>
    <row r="582" spans="2:9" x14ac:dyDescent="0.3">
      <c r="B582" s="332"/>
      <c r="C582" s="333"/>
      <c r="D582" s="332"/>
      <c r="E582" s="333"/>
      <c r="F582" s="334"/>
      <c r="G582" s="335"/>
      <c r="H582" s="334"/>
      <c r="I582" s="334"/>
    </row>
    <row r="583" spans="2:9" x14ac:dyDescent="0.3">
      <c r="B583" s="332"/>
      <c r="C583" s="333"/>
      <c r="D583" s="332"/>
      <c r="E583" s="333"/>
      <c r="F583" s="334"/>
      <c r="G583" s="335"/>
      <c r="H583" s="334"/>
      <c r="I583" s="334"/>
    </row>
    <row r="584" spans="2:9" x14ac:dyDescent="0.3">
      <c r="B584" s="332"/>
      <c r="C584" s="333"/>
      <c r="D584" s="332"/>
      <c r="E584" s="333"/>
      <c r="F584" s="334"/>
      <c r="G584" s="332"/>
      <c r="H584" s="334" t="s">
        <v>628</v>
      </c>
      <c r="I584" s="334">
        <f>SUM(H581:H583)</f>
        <v>3000</v>
      </c>
    </row>
    <row r="585" spans="2:9" x14ac:dyDescent="0.3">
      <c r="B585" s="332" t="s">
        <v>629</v>
      </c>
      <c r="C585" s="333"/>
      <c r="D585" s="332"/>
      <c r="E585" s="333"/>
      <c r="F585" s="334"/>
      <c r="G585" s="332"/>
      <c r="H585" s="334"/>
      <c r="I585" s="334"/>
    </row>
    <row r="586" spans="2:9" x14ac:dyDescent="0.3">
      <c r="B586" s="332" t="s">
        <v>271</v>
      </c>
      <c r="C586" s="333"/>
      <c r="D586" s="332"/>
      <c r="E586" s="333" t="s">
        <v>624</v>
      </c>
      <c r="F586" s="334" t="s">
        <v>630</v>
      </c>
      <c r="G586" s="332" t="s">
        <v>631</v>
      </c>
      <c r="H586" s="334" t="s">
        <v>627</v>
      </c>
      <c r="I586" s="334"/>
    </row>
    <row r="587" spans="2:9" x14ac:dyDescent="0.3">
      <c r="B587" s="342"/>
      <c r="C587" s="333"/>
      <c r="D587" s="332"/>
      <c r="E587" s="343"/>
      <c r="F587" s="344"/>
      <c r="G587" s="345"/>
      <c r="H587" s="344"/>
      <c r="I587" s="344"/>
    </row>
    <row r="588" spans="2:9" x14ac:dyDescent="0.3">
      <c r="B588" s="332"/>
      <c r="C588" s="333"/>
      <c r="D588" s="332"/>
      <c r="E588" s="333"/>
      <c r="F588" s="334"/>
      <c r="G588" s="332"/>
      <c r="H588" s="334"/>
      <c r="I588" s="334"/>
    </row>
    <row r="589" spans="2:9" x14ac:dyDescent="0.3">
      <c r="B589" s="332"/>
      <c r="C589" s="333"/>
      <c r="D589" s="332"/>
      <c r="E589" s="333"/>
      <c r="F589" s="334"/>
      <c r="G589" s="332"/>
      <c r="H589" s="334"/>
      <c r="I589" s="334"/>
    </row>
    <row r="590" spans="2:9" x14ac:dyDescent="0.3">
      <c r="B590" s="332"/>
      <c r="C590" s="333"/>
      <c r="D590" s="332"/>
      <c r="E590" s="333"/>
      <c r="F590" s="334"/>
      <c r="G590" s="332"/>
      <c r="H590" s="334"/>
      <c r="I590" s="334"/>
    </row>
    <row r="591" spans="2:9" x14ac:dyDescent="0.3">
      <c r="B591" s="332"/>
      <c r="C591" s="333"/>
      <c r="D591" s="332"/>
      <c r="E591" s="333"/>
      <c r="F591" s="334"/>
      <c r="G591" s="332"/>
      <c r="H591" s="334" t="s">
        <v>628</v>
      </c>
      <c r="I591" s="334">
        <f>SUM(H587:H590)</f>
        <v>0</v>
      </c>
    </row>
    <row r="592" spans="2:9" x14ac:dyDescent="0.3">
      <c r="B592" s="332" t="s">
        <v>632</v>
      </c>
      <c r="C592" s="333"/>
      <c r="D592" s="332"/>
      <c r="E592" s="333" t="s">
        <v>624</v>
      </c>
      <c r="F592" s="334" t="s">
        <v>633</v>
      </c>
      <c r="G592" s="332" t="s">
        <v>634</v>
      </c>
      <c r="H592" s="334" t="s">
        <v>627</v>
      </c>
      <c r="I592" s="334"/>
    </row>
    <row r="593" spans="2:9" x14ac:dyDescent="0.3">
      <c r="B593" s="332"/>
      <c r="C593" s="333"/>
      <c r="D593" s="332"/>
      <c r="E593" s="332"/>
      <c r="F593" s="332"/>
      <c r="G593" s="332"/>
      <c r="H593" s="332"/>
      <c r="I593" s="332"/>
    </row>
    <row r="594" spans="2:9" x14ac:dyDescent="0.3">
      <c r="B594" s="332"/>
      <c r="C594" s="333"/>
      <c r="D594" s="332"/>
      <c r="E594" s="333"/>
      <c r="F594" s="336"/>
      <c r="G594" s="334"/>
      <c r="H594" s="334"/>
      <c r="I594" s="334"/>
    </row>
    <row r="595" spans="2:9" x14ac:dyDescent="0.3">
      <c r="B595" s="332"/>
      <c r="C595" s="333"/>
      <c r="D595" s="332"/>
      <c r="E595" s="333"/>
      <c r="F595" s="334"/>
      <c r="G595" s="332"/>
      <c r="H595" s="334" t="s">
        <v>628</v>
      </c>
      <c r="I595" s="334">
        <f>SUM(H594)</f>
        <v>0</v>
      </c>
    </row>
    <row r="596" spans="2:9" x14ac:dyDescent="0.3">
      <c r="B596" s="332" t="s">
        <v>635</v>
      </c>
      <c r="C596" s="333"/>
      <c r="D596" s="332"/>
      <c r="E596" s="333"/>
      <c r="F596" s="334"/>
      <c r="G596" s="332"/>
      <c r="H596" s="334"/>
      <c r="I596" s="334"/>
    </row>
    <row r="597" spans="2:9" x14ac:dyDescent="0.3">
      <c r="B597" s="332" t="s">
        <v>636</v>
      </c>
      <c r="C597" s="333"/>
      <c r="D597" s="332"/>
      <c r="E597" s="333" t="s">
        <v>637</v>
      </c>
      <c r="F597" s="334" t="s">
        <v>638</v>
      </c>
      <c r="G597" s="332" t="s">
        <v>626</v>
      </c>
      <c r="H597" s="334" t="s">
        <v>627</v>
      </c>
      <c r="I597" s="334"/>
    </row>
    <row r="598" spans="2:9" ht="28.8" x14ac:dyDescent="0.3">
      <c r="B598" s="342" t="s">
        <v>702</v>
      </c>
      <c r="C598" s="333"/>
      <c r="D598" s="332"/>
      <c r="E598" s="346">
        <v>168000</v>
      </c>
      <c r="F598" s="344">
        <v>1.8</v>
      </c>
      <c r="G598" s="347">
        <v>9.4499999999725102</v>
      </c>
      <c r="H598" s="344">
        <f>E598*F598/G598</f>
        <v>32000.000000093089</v>
      </c>
      <c r="I598" s="344"/>
    </row>
    <row r="599" spans="2:9" x14ac:dyDescent="0.3">
      <c r="B599" s="332"/>
      <c r="C599" s="333"/>
      <c r="D599" s="332"/>
      <c r="E599" s="333"/>
      <c r="F599" s="334"/>
      <c r="G599" s="332"/>
      <c r="H599" s="334" t="s">
        <v>628</v>
      </c>
      <c r="I599" s="334">
        <f>H598</f>
        <v>32000.000000093089</v>
      </c>
    </row>
    <row r="600" spans="2:9" x14ac:dyDescent="0.3">
      <c r="B600" s="332"/>
      <c r="C600" s="333"/>
      <c r="D600" s="332"/>
      <c r="E600" s="333"/>
      <c r="F600" s="334"/>
      <c r="G600" s="332"/>
      <c r="H600" s="330" t="s">
        <v>640</v>
      </c>
      <c r="I600" s="330">
        <f>I599+I591+I584+I595</f>
        <v>35000.000000093089</v>
      </c>
    </row>
    <row r="602" spans="2:9" ht="144" x14ac:dyDescent="0.3">
      <c r="B602" s="339" t="s">
        <v>703</v>
      </c>
      <c r="C602" s="339" t="s">
        <v>621</v>
      </c>
      <c r="D602" s="341" t="s">
        <v>565</v>
      </c>
      <c r="E602" s="339"/>
      <c r="F602" s="340"/>
      <c r="G602" s="340" t="s">
        <v>622</v>
      </c>
      <c r="H602" s="340" t="s">
        <v>33</v>
      </c>
      <c r="I602" s="340">
        <f>+ROUND(I624,0)</f>
        <v>20000</v>
      </c>
    </row>
    <row r="603" spans="2:9" x14ac:dyDescent="0.3">
      <c r="B603" s="332" t="s">
        <v>623</v>
      </c>
      <c r="C603" s="333"/>
      <c r="D603" s="332"/>
      <c r="E603" s="333"/>
      <c r="F603" s="334"/>
      <c r="G603" s="332"/>
      <c r="H603" s="334"/>
      <c r="I603" s="334"/>
    </row>
    <row r="604" spans="2:9" x14ac:dyDescent="0.3">
      <c r="B604" s="332" t="s">
        <v>271</v>
      </c>
      <c r="C604" s="333"/>
      <c r="D604" s="332"/>
      <c r="E604" s="333" t="s">
        <v>624</v>
      </c>
      <c r="F604" s="334" t="s">
        <v>625</v>
      </c>
      <c r="G604" s="332" t="s">
        <v>626</v>
      </c>
      <c r="H604" s="334" t="s">
        <v>627</v>
      </c>
      <c r="I604" s="334"/>
    </row>
    <row r="605" spans="2:9" x14ac:dyDescent="0.3">
      <c r="B605" s="332" t="s">
        <v>701</v>
      </c>
      <c r="C605" s="333"/>
      <c r="D605" s="332"/>
      <c r="E605" s="333" t="s">
        <v>644</v>
      </c>
      <c r="F605" s="334">
        <v>1500</v>
      </c>
      <c r="G605" s="335">
        <v>2</v>
      </c>
      <c r="H605" s="334">
        <f>F605*G605</f>
        <v>3000</v>
      </c>
      <c r="I605" s="334"/>
    </row>
    <row r="606" spans="2:9" x14ac:dyDescent="0.3">
      <c r="B606" s="332"/>
      <c r="C606" s="333"/>
      <c r="D606" s="332"/>
      <c r="E606" s="333"/>
      <c r="F606" s="334"/>
      <c r="G606" s="335"/>
      <c r="H606" s="334"/>
      <c r="I606" s="334"/>
    </row>
    <row r="607" spans="2:9" x14ac:dyDescent="0.3">
      <c r="B607" s="332"/>
      <c r="C607" s="333"/>
      <c r="D607" s="332"/>
      <c r="E607" s="333"/>
      <c r="F607" s="334"/>
      <c r="G607" s="335"/>
      <c r="H607" s="334"/>
      <c r="I607" s="334"/>
    </row>
    <row r="608" spans="2:9" x14ac:dyDescent="0.3">
      <c r="B608" s="332"/>
      <c r="C608" s="333"/>
      <c r="D608" s="332"/>
      <c r="E608" s="333"/>
      <c r="F608" s="334"/>
      <c r="G608" s="332"/>
      <c r="H608" s="334" t="s">
        <v>628</v>
      </c>
      <c r="I608" s="334">
        <f>SUM(H605:H607)</f>
        <v>3000</v>
      </c>
    </row>
    <row r="609" spans="2:9" x14ac:dyDescent="0.3">
      <c r="B609" s="332" t="s">
        <v>629</v>
      </c>
      <c r="C609" s="333"/>
      <c r="D609" s="332"/>
      <c r="E609" s="333"/>
      <c r="F609" s="334"/>
      <c r="G609" s="332"/>
      <c r="H609" s="334"/>
      <c r="I609" s="334"/>
    </row>
    <row r="610" spans="2:9" x14ac:dyDescent="0.3">
      <c r="B610" s="332" t="s">
        <v>271</v>
      </c>
      <c r="C610" s="333"/>
      <c r="D610" s="332"/>
      <c r="E610" s="333" t="s">
        <v>624</v>
      </c>
      <c r="F610" s="334" t="s">
        <v>630</v>
      </c>
      <c r="G610" s="332" t="s">
        <v>631</v>
      </c>
      <c r="H610" s="334" t="s">
        <v>627</v>
      </c>
      <c r="I610" s="334"/>
    </row>
    <row r="611" spans="2:9" x14ac:dyDescent="0.3">
      <c r="B611" s="342"/>
      <c r="C611" s="333"/>
      <c r="D611" s="332"/>
      <c r="E611" s="343"/>
      <c r="F611" s="344"/>
      <c r="G611" s="345"/>
      <c r="H611" s="344"/>
      <c r="I611" s="344"/>
    </row>
    <row r="612" spans="2:9" x14ac:dyDescent="0.3">
      <c r="B612" s="332"/>
      <c r="C612" s="333"/>
      <c r="D612" s="332"/>
      <c r="E612" s="333"/>
      <c r="F612" s="334"/>
      <c r="G612" s="332"/>
      <c r="H612" s="334"/>
      <c r="I612" s="334"/>
    </row>
    <row r="613" spans="2:9" x14ac:dyDescent="0.3">
      <c r="B613" s="332"/>
      <c r="C613" s="333"/>
      <c r="D613" s="332"/>
      <c r="E613" s="333"/>
      <c r="F613" s="334"/>
      <c r="G613" s="332"/>
      <c r="H613" s="334"/>
      <c r="I613" s="334"/>
    </row>
    <row r="614" spans="2:9" x14ac:dyDescent="0.3">
      <c r="B614" s="332"/>
      <c r="C614" s="333"/>
      <c r="D614" s="332"/>
      <c r="E614" s="333"/>
      <c r="F614" s="334"/>
      <c r="G614" s="332"/>
      <c r="H614" s="334"/>
      <c r="I614" s="334"/>
    </row>
    <row r="615" spans="2:9" x14ac:dyDescent="0.3">
      <c r="B615" s="332"/>
      <c r="C615" s="333"/>
      <c r="D615" s="332"/>
      <c r="E615" s="333"/>
      <c r="F615" s="334"/>
      <c r="G615" s="332"/>
      <c r="H615" s="334" t="s">
        <v>628</v>
      </c>
      <c r="I615" s="334">
        <f>SUM(H611:H614)</f>
        <v>0</v>
      </c>
    </row>
    <row r="616" spans="2:9" x14ac:dyDescent="0.3">
      <c r="B616" s="332" t="s">
        <v>632</v>
      </c>
      <c r="C616" s="333"/>
      <c r="D616" s="332"/>
      <c r="E616" s="333" t="s">
        <v>624</v>
      </c>
      <c r="F616" s="334" t="s">
        <v>633</v>
      </c>
      <c r="G616" s="332" t="s">
        <v>634</v>
      </c>
      <c r="H616" s="334" t="s">
        <v>627</v>
      </c>
      <c r="I616" s="334"/>
    </row>
    <row r="617" spans="2:9" x14ac:dyDescent="0.3">
      <c r="B617" s="332"/>
      <c r="C617" s="333"/>
      <c r="D617" s="332"/>
      <c r="E617" s="332"/>
      <c r="F617" s="332"/>
      <c r="G617" s="332"/>
      <c r="H617" s="332"/>
      <c r="I617" s="332"/>
    </row>
    <row r="618" spans="2:9" x14ac:dyDescent="0.3">
      <c r="B618" s="332"/>
      <c r="C618" s="333"/>
      <c r="D618" s="332"/>
      <c r="E618" s="333"/>
      <c r="F618" s="336"/>
      <c r="G618" s="334"/>
      <c r="H618" s="334"/>
      <c r="I618" s="334"/>
    </row>
    <row r="619" spans="2:9" x14ac:dyDescent="0.3">
      <c r="B619" s="332"/>
      <c r="C619" s="333"/>
      <c r="D619" s="332"/>
      <c r="E619" s="333"/>
      <c r="F619" s="334"/>
      <c r="G619" s="332"/>
      <c r="H619" s="334" t="s">
        <v>628</v>
      </c>
      <c r="I619" s="334">
        <f>SUM(H618)</f>
        <v>0</v>
      </c>
    </row>
    <row r="620" spans="2:9" x14ac:dyDescent="0.3">
      <c r="B620" s="332" t="s">
        <v>635</v>
      </c>
      <c r="C620" s="333"/>
      <c r="D620" s="332"/>
      <c r="E620" s="333"/>
      <c r="F620" s="334"/>
      <c r="G620" s="332"/>
      <c r="H620" s="334"/>
      <c r="I620" s="334"/>
    </row>
    <row r="621" spans="2:9" x14ac:dyDescent="0.3">
      <c r="B621" s="332" t="s">
        <v>636</v>
      </c>
      <c r="C621" s="333"/>
      <c r="D621" s="332"/>
      <c r="E621" s="333" t="s">
        <v>637</v>
      </c>
      <c r="F621" s="334" t="s">
        <v>638</v>
      </c>
      <c r="G621" s="332" t="s">
        <v>626</v>
      </c>
      <c r="H621" s="334" t="s">
        <v>627</v>
      </c>
      <c r="I621" s="334"/>
    </row>
    <row r="622" spans="2:9" ht="28.8" x14ac:dyDescent="0.3">
      <c r="B622" s="342" t="s">
        <v>702</v>
      </c>
      <c r="C622" s="333"/>
      <c r="D622" s="332"/>
      <c r="E622" s="346">
        <v>168000</v>
      </c>
      <c r="F622" s="344">
        <v>1.8</v>
      </c>
      <c r="G622" s="347">
        <v>17.788235291403911</v>
      </c>
      <c r="H622" s="344">
        <f>E622*F622/G622</f>
        <v>17000.000002593486</v>
      </c>
      <c r="I622" s="344"/>
    </row>
    <row r="623" spans="2:9" x14ac:dyDescent="0.3">
      <c r="B623" s="332"/>
      <c r="C623" s="333"/>
      <c r="D623" s="332"/>
      <c r="E623" s="333"/>
      <c r="F623" s="334"/>
      <c r="G623" s="332"/>
      <c r="H623" s="334" t="s">
        <v>628</v>
      </c>
      <c r="I623" s="334">
        <f>H622</f>
        <v>17000.000002593486</v>
      </c>
    </row>
    <row r="624" spans="2:9" x14ac:dyDescent="0.3">
      <c r="B624" s="332"/>
      <c r="C624" s="333"/>
      <c r="D624" s="332"/>
      <c r="E624" s="333"/>
      <c r="F624" s="334"/>
      <c r="G624" s="332"/>
      <c r="H624" s="330" t="s">
        <v>640</v>
      </c>
      <c r="I624" s="330">
        <f>I623+I615+I608+I619</f>
        <v>20000.000002593486</v>
      </c>
    </row>
    <row r="626" spans="2:9" ht="129.6" x14ac:dyDescent="0.3">
      <c r="B626" s="339" t="s">
        <v>704</v>
      </c>
      <c r="C626" s="339" t="s">
        <v>621</v>
      </c>
      <c r="D626" s="341" t="s">
        <v>564</v>
      </c>
      <c r="E626" s="339"/>
      <c r="F626" s="340"/>
      <c r="G626" s="340" t="s">
        <v>622</v>
      </c>
      <c r="H626" s="340" t="s">
        <v>33</v>
      </c>
      <c r="I626" s="340">
        <f>+ROUND(I648,0)</f>
        <v>20000</v>
      </c>
    </row>
    <row r="627" spans="2:9" x14ac:dyDescent="0.3">
      <c r="B627" s="332" t="s">
        <v>623</v>
      </c>
      <c r="C627" s="333"/>
      <c r="D627" s="332"/>
      <c r="E627" s="333"/>
      <c r="F627" s="334"/>
      <c r="G627" s="332"/>
      <c r="H627" s="334"/>
      <c r="I627" s="334"/>
    </row>
    <row r="628" spans="2:9" x14ac:dyDescent="0.3">
      <c r="B628" s="332" t="s">
        <v>271</v>
      </c>
      <c r="C628" s="333"/>
      <c r="D628" s="332"/>
      <c r="E628" s="333" t="s">
        <v>624</v>
      </c>
      <c r="F628" s="334" t="s">
        <v>625</v>
      </c>
      <c r="G628" s="332" t="s">
        <v>626</v>
      </c>
      <c r="H628" s="334" t="s">
        <v>627</v>
      </c>
      <c r="I628" s="334"/>
    </row>
    <row r="629" spans="2:9" x14ac:dyDescent="0.3">
      <c r="B629" s="332" t="s">
        <v>701</v>
      </c>
      <c r="C629" s="333"/>
      <c r="D629" s="332"/>
      <c r="E629" s="333" t="s">
        <v>644</v>
      </c>
      <c r="F629" s="334">
        <v>1500</v>
      </c>
      <c r="G629" s="335">
        <v>2</v>
      </c>
      <c r="H629" s="334">
        <f>F629*G629</f>
        <v>3000</v>
      </c>
      <c r="I629" s="334"/>
    </row>
    <row r="630" spans="2:9" x14ac:dyDescent="0.3">
      <c r="B630" s="332"/>
      <c r="C630" s="333"/>
      <c r="D630" s="332"/>
      <c r="E630" s="333"/>
      <c r="F630" s="334"/>
      <c r="G630" s="335"/>
      <c r="H630" s="334"/>
      <c r="I630" s="334"/>
    </row>
    <row r="631" spans="2:9" x14ac:dyDescent="0.3">
      <c r="B631" s="332"/>
      <c r="C631" s="333"/>
      <c r="D631" s="332"/>
      <c r="E631" s="333"/>
      <c r="F631" s="334"/>
      <c r="G631" s="335"/>
      <c r="H631" s="334"/>
      <c r="I631" s="334"/>
    </row>
    <row r="632" spans="2:9" x14ac:dyDescent="0.3">
      <c r="B632" s="332"/>
      <c r="C632" s="333"/>
      <c r="D632" s="332"/>
      <c r="E632" s="333"/>
      <c r="F632" s="334"/>
      <c r="G632" s="332"/>
      <c r="H632" s="334" t="s">
        <v>628</v>
      </c>
      <c r="I632" s="334">
        <f>SUM(H629:H631)</f>
        <v>3000</v>
      </c>
    </row>
    <row r="633" spans="2:9" x14ac:dyDescent="0.3">
      <c r="B633" s="332" t="s">
        <v>629</v>
      </c>
      <c r="C633" s="333"/>
      <c r="D633" s="332"/>
      <c r="E633" s="333"/>
      <c r="F633" s="334"/>
      <c r="G633" s="332"/>
      <c r="H633" s="334"/>
      <c r="I633" s="334"/>
    </row>
    <row r="634" spans="2:9" x14ac:dyDescent="0.3">
      <c r="B634" s="332" t="s">
        <v>271</v>
      </c>
      <c r="C634" s="333"/>
      <c r="D634" s="332"/>
      <c r="E634" s="333" t="s">
        <v>624</v>
      </c>
      <c r="F634" s="334" t="s">
        <v>630</v>
      </c>
      <c r="G634" s="332" t="s">
        <v>631</v>
      </c>
      <c r="H634" s="334" t="s">
        <v>627</v>
      </c>
      <c r="I634" s="334"/>
    </row>
    <row r="635" spans="2:9" x14ac:dyDescent="0.3">
      <c r="B635" s="342"/>
      <c r="C635" s="333"/>
      <c r="D635" s="332"/>
      <c r="E635" s="343"/>
      <c r="F635" s="344"/>
      <c r="G635" s="345"/>
      <c r="H635" s="344"/>
      <c r="I635" s="344"/>
    </row>
    <row r="636" spans="2:9" x14ac:dyDescent="0.3">
      <c r="B636" s="332"/>
      <c r="C636" s="333"/>
      <c r="D636" s="332"/>
      <c r="E636" s="333"/>
      <c r="F636" s="334"/>
      <c r="G636" s="332"/>
      <c r="H636" s="334"/>
      <c r="I636" s="334"/>
    </row>
    <row r="637" spans="2:9" x14ac:dyDescent="0.3">
      <c r="B637" s="332"/>
      <c r="C637" s="333"/>
      <c r="D637" s="332"/>
      <c r="E637" s="333"/>
      <c r="F637" s="334"/>
      <c r="G637" s="332"/>
      <c r="H637" s="334"/>
      <c r="I637" s="334"/>
    </row>
    <row r="638" spans="2:9" x14ac:dyDescent="0.3">
      <c r="B638" s="332"/>
      <c r="C638" s="333"/>
      <c r="D638" s="332"/>
      <c r="E638" s="333"/>
      <c r="F638" s="334"/>
      <c r="G638" s="332"/>
      <c r="H638" s="334"/>
      <c r="I638" s="334"/>
    </row>
    <row r="639" spans="2:9" x14ac:dyDescent="0.3">
      <c r="B639" s="332"/>
      <c r="C639" s="333"/>
      <c r="D639" s="332"/>
      <c r="E639" s="333"/>
      <c r="F639" s="334"/>
      <c r="G639" s="332"/>
      <c r="H639" s="334" t="s">
        <v>628</v>
      </c>
      <c r="I639" s="334">
        <f>SUM(H635:H638)</f>
        <v>0</v>
      </c>
    </row>
    <row r="640" spans="2:9" x14ac:dyDescent="0.3">
      <c r="B640" s="332" t="s">
        <v>632</v>
      </c>
      <c r="C640" s="333"/>
      <c r="D640" s="332"/>
      <c r="E640" s="333" t="s">
        <v>624</v>
      </c>
      <c r="F640" s="334" t="s">
        <v>633</v>
      </c>
      <c r="G640" s="332" t="s">
        <v>634</v>
      </c>
      <c r="H640" s="334" t="s">
        <v>627</v>
      </c>
      <c r="I640" s="334"/>
    </row>
    <row r="641" spans="2:9" x14ac:dyDescent="0.3">
      <c r="B641" s="332"/>
      <c r="C641" s="333"/>
      <c r="D641" s="332"/>
      <c r="E641" s="332"/>
      <c r="F641" s="332"/>
      <c r="G641" s="332"/>
      <c r="H641" s="332"/>
      <c r="I641" s="332"/>
    </row>
    <row r="642" spans="2:9" x14ac:dyDescent="0.3">
      <c r="B642" s="332"/>
      <c r="C642" s="333"/>
      <c r="D642" s="332"/>
      <c r="E642" s="333"/>
      <c r="F642" s="336"/>
      <c r="G642" s="334"/>
      <c r="H642" s="334"/>
      <c r="I642" s="334"/>
    </row>
    <row r="643" spans="2:9" x14ac:dyDescent="0.3">
      <c r="B643" s="332"/>
      <c r="C643" s="333"/>
      <c r="D643" s="332"/>
      <c r="E643" s="333"/>
      <c r="F643" s="334"/>
      <c r="G643" s="332"/>
      <c r="H643" s="334" t="s">
        <v>628</v>
      </c>
      <c r="I643" s="334">
        <f>SUM(H642)</f>
        <v>0</v>
      </c>
    </row>
    <row r="644" spans="2:9" x14ac:dyDescent="0.3">
      <c r="B644" s="332" t="s">
        <v>635</v>
      </c>
      <c r="C644" s="333"/>
      <c r="D644" s="332"/>
      <c r="E644" s="333"/>
      <c r="F644" s="334"/>
      <c r="G644" s="332"/>
      <c r="H644" s="334"/>
      <c r="I644" s="334"/>
    </row>
    <row r="645" spans="2:9" x14ac:dyDescent="0.3">
      <c r="B645" s="332" t="s">
        <v>636</v>
      </c>
      <c r="C645" s="333"/>
      <c r="D645" s="332"/>
      <c r="E645" s="333" t="s">
        <v>637</v>
      </c>
      <c r="F645" s="334" t="s">
        <v>638</v>
      </c>
      <c r="G645" s="332" t="s">
        <v>626</v>
      </c>
      <c r="H645" s="334" t="s">
        <v>627</v>
      </c>
      <c r="I645" s="334"/>
    </row>
    <row r="646" spans="2:9" ht="28.8" x14ac:dyDescent="0.3">
      <c r="B646" s="342" t="s">
        <v>702</v>
      </c>
      <c r="C646" s="333"/>
      <c r="D646" s="332"/>
      <c r="E646" s="346">
        <v>168000</v>
      </c>
      <c r="F646" s="344">
        <v>1.8</v>
      </c>
      <c r="G646" s="347">
        <v>17.788235291403911</v>
      </c>
      <c r="H646" s="344">
        <f>E646*F646/G646</f>
        <v>17000.000002593486</v>
      </c>
      <c r="I646" s="344"/>
    </row>
    <row r="647" spans="2:9" x14ac:dyDescent="0.3">
      <c r="B647" s="332"/>
      <c r="C647" s="333"/>
      <c r="D647" s="332"/>
      <c r="E647" s="333"/>
      <c r="F647" s="334"/>
      <c r="G647" s="332"/>
      <c r="H647" s="334" t="s">
        <v>628</v>
      </c>
      <c r="I647" s="334">
        <f>H646</f>
        <v>17000.000002593486</v>
      </c>
    </row>
    <row r="648" spans="2:9" x14ac:dyDescent="0.3">
      <c r="B648" s="332"/>
      <c r="C648" s="333"/>
      <c r="D648" s="332"/>
      <c r="E648" s="333"/>
      <c r="F648" s="334"/>
      <c r="G648" s="332"/>
      <c r="H648" s="330" t="s">
        <v>640</v>
      </c>
      <c r="I648" s="330">
        <f>I647+I639+I632+I643</f>
        <v>20000.000002593486</v>
      </c>
    </row>
    <row r="650" spans="2:9" ht="129.6" x14ac:dyDescent="0.3">
      <c r="B650" s="339" t="s">
        <v>705</v>
      </c>
      <c r="C650" s="339" t="s">
        <v>621</v>
      </c>
      <c r="D650" s="341" t="s">
        <v>563</v>
      </c>
      <c r="E650" s="339"/>
      <c r="F650" s="340"/>
      <c r="G650" s="340" t="s">
        <v>622</v>
      </c>
      <c r="H650" s="340" t="s">
        <v>33</v>
      </c>
      <c r="I650" s="340">
        <f>+ROUND(I672,0)</f>
        <v>20000</v>
      </c>
    </row>
    <row r="651" spans="2:9" x14ac:dyDescent="0.3">
      <c r="B651" s="332" t="s">
        <v>623</v>
      </c>
      <c r="C651" s="333"/>
      <c r="D651" s="332"/>
      <c r="E651" s="333"/>
      <c r="F651" s="334"/>
      <c r="G651" s="332"/>
      <c r="H651" s="334"/>
      <c r="I651" s="334"/>
    </row>
    <row r="652" spans="2:9" x14ac:dyDescent="0.3">
      <c r="B652" s="332" t="s">
        <v>271</v>
      </c>
      <c r="C652" s="333"/>
      <c r="D652" s="332"/>
      <c r="E652" s="333" t="s">
        <v>624</v>
      </c>
      <c r="F652" s="334" t="s">
        <v>625</v>
      </c>
      <c r="G652" s="332" t="s">
        <v>626</v>
      </c>
      <c r="H652" s="334" t="s">
        <v>627</v>
      </c>
      <c r="I652" s="334"/>
    </row>
    <row r="653" spans="2:9" x14ac:dyDescent="0.3">
      <c r="B653" s="332" t="s">
        <v>701</v>
      </c>
      <c r="C653" s="333"/>
      <c r="D653" s="332"/>
      <c r="E653" s="333" t="s">
        <v>644</v>
      </c>
      <c r="F653" s="334">
        <v>1500</v>
      </c>
      <c r="G653" s="335">
        <v>2</v>
      </c>
      <c r="H653" s="334">
        <f>F653*G653</f>
        <v>3000</v>
      </c>
      <c r="I653" s="334"/>
    </row>
    <row r="654" spans="2:9" x14ac:dyDescent="0.3">
      <c r="B654" s="332"/>
      <c r="C654" s="333"/>
      <c r="D654" s="332"/>
      <c r="E654" s="333"/>
      <c r="F654" s="334"/>
      <c r="G654" s="335"/>
      <c r="H654" s="334"/>
      <c r="I654" s="334"/>
    </row>
    <row r="655" spans="2:9" x14ac:dyDescent="0.3">
      <c r="B655" s="332"/>
      <c r="C655" s="333"/>
      <c r="D655" s="332"/>
      <c r="E655" s="333"/>
      <c r="F655" s="334"/>
      <c r="G655" s="335"/>
      <c r="H655" s="334"/>
      <c r="I655" s="334"/>
    </row>
    <row r="656" spans="2:9" x14ac:dyDescent="0.3">
      <c r="B656" s="332"/>
      <c r="C656" s="333"/>
      <c r="D656" s="332"/>
      <c r="E656" s="333"/>
      <c r="F656" s="334"/>
      <c r="G656" s="332"/>
      <c r="H656" s="334" t="s">
        <v>628</v>
      </c>
      <c r="I656" s="334">
        <f>SUM(H653:H655)</f>
        <v>3000</v>
      </c>
    </row>
    <row r="657" spans="2:9" x14ac:dyDescent="0.3">
      <c r="B657" s="332" t="s">
        <v>629</v>
      </c>
      <c r="C657" s="333"/>
      <c r="D657" s="332"/>
      <c r="E657" s="333"/>
      <c r="F657" s="334"/>
      <c r="G657" s="332"/>
      <c r="H657" s="334"/>
      <c r="I657" s="334"/>
    </row>
    <row r="658" spans="2:9" x14ac:dyDescent="0.3">
      <c r="B658" s="332" t="s">
        <v>271</v>
      </c>
      <c r="C658" s="333"/>
      <c r="D658" s="332"/>
      <c r="E658" s="333" t="s">
        <v>624</v>
      </c>
      <c r="F658" s="334" t="s">
        <v>630</v>
      </c>
      <c r="G658" s="332" t="s">
        <v>631</v>
      </c>
      <c r="H658" s="334" t="s">
        <v>627</v>
      </c>
      <c r="I658" s="334"/>
    </row>
    <row r="659" spans="2:9" x14ac:dyDescent="0.3">
      <c r="B659" s="342"/>
      <c r="C659" s="333"/>
      <c r="D659" s="332"/>
      <c r="E659" s="343"/>
      <c r="F659" s="344"/>
      <c r="G659" s="345"/>
      <c r="H659" s="344"/>
      <c r="I659" s="344"/>
    </row>
    <row r="660" spans="2:9" x14ac:dyDescent="0.3">
      <c r="B660" s="332"/>
      <c r="C660" s="333"/>
      <c r="D660" s="332"/>
      <c r="E660" s="333"/>
      <c r="F660" s="334"/>
      <c r="G660" s="332"/>
      <c r="H660" s="334"/>
      <c r="I660" s="334"/>
    </row>
    <row r="661" spans="2:9" x14ac:dyDescent="0.3">
      <c r="B661" s="332"/>
      <c r="C661" s="333"/>
      <c r="D661" s="332"/>
      <c r="E661" s="333"/>
      <c r="F661" s="334"/>
      <c r="G661" s="332"/>
      <c r="H661" s="334"/>
      <c r="I661" s="334"/>
    </row>
    <row r="662" spans="2:9" x14ac:dyDescent="0.3">
      <c r="B662" s="332"/>
      <c r="C662" s="333"/>
      <c r="D662" s="332"/>
      <c r="E662" s="333"/>
      <c r="F662" s="334"/>
      <c r="G662" s="332"/>
      <c r="H662" s="334"/>
      <c r="I662" s="334"/>
    </row>
    <row r="663" spans="2:9" x14ac:dyDescent="0.3">
      <c r="B663" s="332"/>
      <c r="C663" s="333"/>
      <c r="D663" s="332"/>
      <c r="E663" s="333"/>
      <c r="F663" s="334"/>
      <c r="G663" s="332"/>
      <c r="H663" s="334" t="s">
        <v>628</v>
      </c>
      <c r="I663" s="334">
        <f>SUM(H659:H662)</f>
        <v>0</v>
      </c>
    </row>
    <row r="664" spans="2:9" x14ac:dyDescent="0.3">
      <c r="B664" s="332" t="s">
        <v>632</v>
      </c>
      <c r="C664" s="333"/>
      <c r="D664" s="332"/>
      <c r="E664" s="333" t="s">
        <v>624</v>
      </c>
      <c r="F664" s="334" t="s">
        <v>633</v>
      </c>
      <c r="G664" s="332" t="s">
        <v>634</v>
      </c>
      <c r="H664" s="334" t="s">
        <v>627</v>
      </c>
      <c r="I664" s="334"/>
    </row>
    <row r="665" spans="2:9" x14ac:dyDescent="0.3">
      <c r="B665" s="332"/>
      <c r="C665" s="333"/>
      <c r="D665" s="332"/>
      <c r="E665" s="332"/>
      <c r="F665" s="332"/>
      <c r="G665" s="332"/>
      <c r="H665" s="332"/>
      <c r="I665" s="332"/>
    </row>
    <row r="666" spans="2:9" x14ac:dyDescent="0.3">
      <c r="B666" s="332"/>
      <c r="C666" s="333"/>
      <c r="D666" s="332"/>
      <c r="E666" s="333"/>
      <c r="F666" s="336"/>
      <c r="G666" s="334"/>
      <c r="H666" s="334"/>
      <c r="I666" s="334"/>
    </row>
    <row r="667" spans="2:9" x14ac:dyDescent="0.3">
      <c r="B667" s="332"/>
      <c r="C667" s="333"/>
      <c r="D667" s="332"/>
      <c r="E667" s="333"/>
      <c r="F667" s="334"/>
      <c r="G667" s="332"/>
      <c r="H667" s="334" t="s">
        <v>628</v>
      </c>
      <c r="I667" s="334">
        <f>SUM(H666)</f>
        <v>0</v>
      </c>
    </row>
    <row r="668" spans="2:9" x14ac:dyDescent="0.3">
      <c r="B668" s="332" t="s">
        <v>635</v>
      </c>
      <c r="C668" s="333"/>
      <c r="D668" s="332"/>
      <c r="E668" s="333"/>
      <c r="F668" s="334"/>
      <c r="G668" s="332"/>
      <c r="H668" s="334"/>
      <c r="I668" s="334"/>
    </row>
    <row r="669" spans="2:9" x14ac:dyDescent="0.3">
      <c r="B669" s="332" t="s">
        <v>636</v>
      </c>
      <c r="C669" s="333"/>
      <c r="D669" s="332"/>
      <c r="E669" s="333" t="s">
        <v>637</v>
      </c>
      <c r="F669" s="334" t="s">
        <v>638</v>
      </c>
      <c r="G669" s="332" t="s">
        <v>626</v>
      </c>
      <c r="H669" s="334" t="s">
        <v>627</v>
      </c>
      <c r="I669" s="334"/>
    </row>
    <row r="670" spans="2:9" ht="28.8" x14ac:dyDescent="0.3">
      <c r="B670" s="342" t="s">
        <v>702</v>
      </c>
      <c r="C670" s="333"/>
      <c r="D670" s="332"/>
      <c r="E670" s="346">
        <v>168000</v>
      </c>
      <c r="F670" s="344">
        <v>1.8</v>
      </c>
      <c r="G670" s="347">
        <v>17.788235291403911</v>
      </c>
      <c r="H670" s="344">
        <f>E670*F670/G670</f>
        <v>17000.000002593486</v>
      </c>
      <c r="I670" s="344"/>
    </row>
    <row r="671" spans="2:9" x14ac:dyDescent="0.3">
      <c r="B671" s="332"/>
      <c r="C671" s="333"/>
      <c r="D671" s="332"/>
      <c r="E671" s="333"/>
      <c r="F671" s="334"/>
      <c r="G671" s="332"/>
      <c r="H671" s="334" t="s">
        <v>628</v>
      </c>
      <c r="I671" s="334">
        <f>H670</f>
        <v>17000.000002593486</v>
      </c>
    </row>
    <row r="672" spans="2:9" x14ac:dyDescent="0.3">
      <c r="B672" s="332"/>
      <c r="C672" s="333"/>
      <c r="D672" s="332"/>
      <c r="E672" s="333"/>
      <c r="F672" s="334"/>
      <c r="G672" s="332"/>
      <c r="H672" s="330" t="s">
        <v>640</v>
      </c>
      <c r="I672" s="330">
        <f>I671+I663+I656+I667</f>
        <v>20000.000002593486</v>
      </c>
    </row>
    <row r="674" spans="2:9" ht="129.6" x14ac:dyDescent="0.3">
      <c r="B674" s="339" t="s">
        <v>706</v>
      </c>
      <c r="C674" s="339" t="s">
        <v>621</v>
      </c>
      <c r="D674" s="341" t="s">
        <v>562</v>
      </c>
      <c r="E674" s="339"/>
      <c r="F674" s="340"/>
      <c r="G674" s="340" t="s">
        <v>622</v>
      </c>
      <c r="H674" s="340" t="s">
        <v>33</v>
      </c>
      <c r="I674" s="340">
        <f>+ROUND(I694,0)</f>
        <v>100000</v>
      </c>
    </row>
    <row r="675" spans="2:9" x14ac:dyDescent="0.3">
      <c r="B675" s="332" t="s">
        <v>623</v>
      </c>
      <c r="C675" s="333"/>
      <c r="D675" s="332"/>
      <c r="E675" s="333"/>
      <c r="F675" s="334"/>
      <c r="G675" s="332"/>
      <c r="H675" s="334"/>
      <c r="I675" s="334"/>
    </row>
    <row r="676" spans="2:9" x14ac:dyDescent="0.3">
      <c r="B676" s="332" t="s">
        <v>271</v>
      </c>
      <c r="C676" s="333"/>
      <c r="D676" s="332"/>
      <c r="E676" s="333" t="s">
        <v>624</v>
      </c>
      <c r="F676" s="334" t="s">
        <v>625</v>
      </c>
      <c r="G676" s="332" t="s">
        <v>626</v>
      </c>
      <c r="H676" s="334" t="s">
        <v>627</v>
      </c>
      <c r="I676" s="334"/>
    </row>
    <row r="677" spans="2:9" x14ac:dyDescent="0.3">
      <c r="B677" s="332" t="s">
        <v>701</v>
      </c>
      <c r="C677" s="333"/>
      <c r="D677" s="332"/>
      <c r="E677" s="333" t="s">
        <v>644</v>
      </c>
      <c r="F677" s="334">
        <v>1500</v>
      </c>
      <c r="G677" s="335">
        <v>2</v>
      </c>
      <c r="H677" s="334">
        <f>F677*G677</f>
        <v>3000</v>
      </c>
      <c r="I677" s="334"/>
    </row>
    <row r="678" spans="2:9" x14ac:dyDescent="0.3">
      <c r="B678" s="332"/>
      <c r="C678" s="333"/>
      <c r="D678" s="332"/>
      <c r="E678" s="333"/>
      <c r="F678" s="334"/>
      <c r="G678" s="335"/>
      <c r="H678" s="334"/>
      <c r="I678" s="334"/>
    </row>
    <row r="679" spans="2:9" x14ac:dyDescent="0.3">
      <c r="B679" s="332"/>
      <c r="C679" s="333"/>
      <c r="D679" s="332"/>
      <c r="E679" s="333"/>
      <c r="F679" s="334"/>
      <c r="G679" s="335"/>
      <c r="H679" s="334"/>
      <c r="I679" s="334"/>
    </row>
    <row r="680" spans="2:9" x14ac:dyDescent="0.3">
      <c r="B680" s="332"/>
      <c r="C680" s="333"/>
      <c r="D680" s="332"/>
      <c r="E680" s="333"/>
      <c r="F680" s="334"/>
      <c r="G680" s="332"/>
      <c r="H680" s="334" t="s">
        <v>628</v>
      </c>
      <c r="I680" s="334">
        <f>SUM(H677:H679)</f>
        <v>3000</v>
      </c>
    </row>
    <row r="681" spans="2:9" x14ac:dyDescent="0.3">
      <c r="B681" s="332" t="s">
        <v>629</v>
      </c>
      <c r="C681" s="333"/>
      <c r="D681" s="332"/>
      <c r="E681" s="333"/>
      <c r="F681" s="334"/>
      <c r="G681" s="332"/>
      <c r="H681" s="334"/>
      <c r="I681" s="334"/>
    </row>
    <row r="682" spans="2:9" x14ac:dyDescent="0.3">
      <c r="B682" s="332" t="s">
        <v>271</v>
      </c>
      <c r="C682" s="333"/>
      <c r="D682" s="332"/>
      <c r="E682" s="333" t="s">
        <v>624</v>
      </c>
      <c r="F682" s="334" t="s">
        <v>630</v>
      </c>
      <c r="G682" s="332" t="s">
        <v>631</v>
      </c>
      <c r="H682" s="334" t="s">
        <v>627</v>
      </c>
      <c r="I682" s="334"/>
    </row>
    <row r="683" spans="2:9" ht="28.8" x14ac:dyDescent="0.3">
      <c r="B683" s="356" t="s">
        <v>775</v>
      </c>
      <c r="C683" s="333"/>
      <c r="D683" s="332"/>
      <c r="E683" s="343">
        <v>1</v>
      </c>
      <c r="F683" s="344">
        <v>20900</v>
      </c>
      <c r="G683" s="345">
        <v>1</v>
      </c>
      <c r="H683" s="344">
        <f>F683*G683</f>
        <v>20900</v>
      </c>
      <c r="I683" s="344"/>
    </row>
    <row r="684" spans="2:9" x14ac:dyDescent="0.3">
      <c r="B684" s="332" t="s">
        <v>711</v>
      </c>
      <c r="C684" s="333"/>
      <c r="D684" s="332"/>
      <c r="E684" s="333" t="s">
        <v>93</v>
      </c>
      <c r="F684" s="334">
        <v>29900</v>
      </c>
      <c r="G684" s="332">
        <v>2</v>
      </c>
      <c r="H684" s="344">
        <f>F684*G684</f>
        <v>59800</v>
      </c>
      <c r="I684" s="334"/>
    </row>
    <row r="685" spans="2:9" x14ac:dyDescent="0.3">
      <c r="B685" s="332"/>
      <c r="C685" s="333"/>
      <c r="D685" s="332"/>
      <c r="E685" s="333"/>
      <c r="F685" s="334"/>
      <c r="G685" s="332"/>
      <c r="H685" s="334" t="s">
        <v>628</v>
      </c>
      <c r="I685" s="334">
        <f>SUM(H683:H684)</f>
        <v>80700</v>
      </c>
    </row>
    <row r="686" spans="2:9" x14ac:dyDescent="0.3">
      <c r="B686" s="332" t="s">
        <v>632</v>
      </c>
      <c r="C686" s="333"/>
      <c r="D686" s="332"/>
      <c r="E686" s="333" t="s">
        <v>624</v>
      </c>
      <c r="F686" s="334" t="s">
        <v>633</v>
      </c>
      <c r="G686" s="332" t="s">
        <v>634</v>
      </c>
      <c r="H686" s="334" t="s">
        <v>627</v>
      </c>
      <c r="I686" s="334"/>
    </row>
    <row r="687" spans="2:9" x14ac:dyDescent="0.3">
      <c r="B687" s="332"/>
      <c r="C687" s="333"/>
      <c r="D687" s="332"/>
      <c r="E687" s="332"/>
      <c r="F687" s="332"/>
      <c r="G687" s="332"/>
      <c r="H687" s="332"/>
      <c r="I687" s="332"/>
    </row>
    <row r="688" spans="2:9" x14ac:dyDescent="0.3">
      <c r="B688" s="332"/>
      <c r="C688" s="333"/>
      <c r="D688" s="332"/>
      <c r="E688" s="333"/>
      <c r="F688" s="336"/>
      <c r="G688" s="334"/>
      <c r="H688" s="334"/>
      <c r="I688" s="334"/>
    </row>
    <row r="689" spans="2:9" x14ac:dyDescent="0.3">
      <c r="B689" s="332"/>
      <c r="C689" s="333"/>
      <c r="D689" s="332"/>
      <c r="E689" s="333"/>
      <c r="F689" s="334"/>
      <c r="G689" s="332"/>
      <c r="H689" s="334" t="s">
        <v>628</v>
      </c>
      <c r="I689" s="334">
        <f>SUM(H688)</f>
        <v>0</v>
      </c>
    </row>
    <row r="690" spans="2:9" x14ac:dyDescent="0.3">
      <c r="B690" s="332" t="s">
        <v>635</v>
      </c>
      <c r="C690" s="333"/>
      <c r="D690" s="332"/>
      <c r="E690" s="333"/>
      <c r="F690" s="334"/>
      <c r="G690" s="332"/>
      <c r="H690" s="334"/>
      <c r="I690" s="334"/>
    </row>
    <row r="691" spans="2:9" x14ac:dyDescent="0.3">
      <c r="B691" s="332" t="s">
        <v>636</v>
      </c>
      <c r="C691" s="333"/>
      <c r="D691" s="332"/>
      <c r="E691" s="333" t="s">
        <v>637</v>
      </c>
      <c r="F691" s="334" t="s">
        <v>638</v>
      </c>
      <c r="G691" s="332" t="s">
        <v>626</v>
      </c>
      <c r="H691" s="334" t="s">
        <v>627</v>
      </c>
      <c r="I691" s="334"/>
    </row>
    <row r="692" spans="2:9" ht="28.8" x14ac:dyDescent="0.3">
      <c r="B692" s="342" t="s">
        <v>702</v>
      </c>
      <c r="C692" s="333"/>
      <c r="D692" s="332"/>
      <c r="E692" s="346">
        <v>168000</v>
      </c>
      <c r="F692" s="344">
        <v>1.8</v>
      </c>
      <c r="G692" s="347">
        <v>18.552146247819049</v>
      </c>
      <c r="H692" s="344">
        <f>E692*F692/G692</f>
        <v>16300.000871087866</v>
      </c>
      <c r="I692" s="344"/>
    </row>
    <row r="693" spans="2:9" x14ac:dyDescent="0.3">
      <c r="B693" s="332"/>
      <c r="C693" s="333"/>
      <c r="D693" s="332"/>
      <c r="E693" s="333"/>
      <c r="F693" s="334"/>
      <c r="G693" s="332"/>
      <c r="H693" s="334" t="s">
        <v>628</v>
      </c>
      <c r="I693" s="334">
        <f>H692</f>
        <v>16300.000871087866</v>
      </c>
    </row>
    <row r="694" spans="2:9" x14ac:dyDescent="0.3">
      <c r="B694" s="332"/>
      <c r="C694" s="333"/>
      <c r="D694" s="332"/>
      <c r="E694" s="333"/>
      <c r="F694" s="334"/>
      <c r="G694" s="332"/>
      <c r="H694" s="330" t="s">
        <v>640</v>
      </c>
      <c r="I694" s="330">
        <f>I693+I685+I680+I689</f>
        <v>100000.00087108786</v>
      </c>
    </row>
    <row r="695" spans="2:9" x14ac:dyDescent="0.3">
      <c r="B695" s="332"/>
      <c r="C695" s="333"/>
      <c r="D695" s="332"/>
      <c r="E695" s="333"/>
      <c r="F695" s="334"/>
      <c r="G695" s="332"/>
      <c r="H695" s="334" t="s">
        <v>628</v>
      </c>
      <c r="I695" s="334" t="str">
        <f>H694</f>
        <v>TOTAL COSTO DIRECTO</v>
      </c>
    </row>
    <row r="696" spans="2:9" x14ac:dyDescent="0.3">
      <c r="B696" s="332"/>
      <c r="C696" s="333"/>
      <c r="D696" s="332"/>
      <c r="E696" s="333"/>
      <c r="F696" s="334"/>
      <c r="G696" s="332"/>
      <c r="H696" s="330" t="s">
        <v>640</v>
      </c>
      <c r="I696" s="330" t="e">
        <f>I695+I687+I680+I691</f>
        <v>#VALUE!</v>
      </c>
    </row>
    <row r="698" spans="2:9" ht="129.6" x14ac:dyDescent="0.3">
      <c r="B698" s="339" t="s">
        <v>707</v>
      </c>
      <c r="C698" s="339" t="s">
        <v>621</v>
      </c>
      <c r="D698" s="341" t="s">
        <v>561</v>
      </c>
      <c r="E698" s="339"/>
      <c r="F698" s="340"/>
      <c r="G698" s="340" t="s">
        <v>622</v>
      </c>
      <c r="H698" s="340" t="s">
        <v>33</v>
      </c>
      <c r="I698" s="340">
        <f>+ROUND(I720,0)</f>
        <v>15000</v>
      </c>
    </row>
    <row r="699" spans="2:9" x14ac:dyDescent="0.3">
      <c r="B699" s="332" t="s">
        <v>623</v>
      </c>
      <c r="C699" s="333"/>
      <c r="D699" s="332"/>
      <c r="E699" s="333"/>
      <c r="F699" s="334"/>
      <c r="G699" s="332"/>
      <c r="H699" s="334"/>
      <c r="I699" s="334"/>
    </row>
    <row r="700" spans="2:9" x14ac:dyDescent="0.3">
      <c r="B700" s="332" t="s">
        <v>271</v>
      </c>
      <c r="C700" s="333"/>
      <c r="D700" s="332"/>
      <c r="E700" s="333" t="s">
        <v>624</v>
      </c>
      <c r="F700" s="334" t="s">
        <v>625</v>
      </c>
      <c r="G700" s="332" t="s">
        <v>626</v>
      </c>
      <c r="H700" s="334" t="s">
        <v>627</v>
      </c>
      <c r="I700" s="334"/>
    </row>
    <row r="701" spans="2:9" x14ac:dyDescent="0.3">
      <c r="B701" s="332" t="s">
        <v>701</v>
      </c>
      <c r="C701" s="333"/>
      <c r="D701" s="332"/>
      <c r="E701" s="333" t="s">
        <v>644</v>
      </c>
      <c r="F701" s="334">
        <v>1500</v>
      </c>
      <c r="G701" s="335">
        <v>2</v>
      </c>
      <c r="H701" s="334">
        <f>F701*G701</f>
        <v>3000</v>
      </c>
      <c r="I701" s="334"/>
    </row>
    <row r="702" spans="2:9" x14ac:dyDescent="0.3">
      <c r="B702" s="332"/>
      <c r="C702" s="333"/>
      <c r="D702" s="332"/>
      <c r="E702" s="333"/>
      <c r="F702" s="334"/>
      <c r="G702" s="335"/>
      <c r="H702" s="334"/>
      <c r="I702" s="334"/>
    </row>
    <row r="703" spans="2:9" x14ac:dyDescent="0.3">
      <c r="B703" s="332"/>
      <c r="C703" s="333"/>
      <c r="D703" s="332"/>
      <c r="E703" s="333"/>
      <c r="F703" s="334"/>
      <c r="G703" s="335"/>
      <c r="H703" s="334"/>
      <c r="I703" s="334"/>
    </row>
    <row r="704" spans="2:9" x14ac:dyDescent="0.3">
      <c r="B704" s="332"/>
      <c r="C704" s="333"/>
      <c r="D704" s="332"/>
      <c r="E704" s="333"/>
      <c r="F704" s="334"/>
      <c r="G704" s="332"/>
      <c r="H704" s="334" t="s">
        <v>628</v>
      </c>
      <c r="I704" s="334">
        <f>SUM(H701:H703)</f>
        <v>3000</v>
      </c>
    </row>
    <row r="705" spans="2:9" x14ac:dyDescent="0.3">
      <c r="B705" s="332" t="s">
        <v>629</v>
      </c>
      <c r="C705" s="333"/>
      <c r="D705" s="332"/>
      <c r="E705" s="333"/>
      <c r="F705" s="334"/>
      <c r="G705" s="332"/>
      <c r="H705" s="334"/>
      <c r="I705" s="334"/>
    </row>
    <row r="706" spans="2:9" x14ac:dyDescent="0.3">
      <c r="B706" s="332" t="s">
        <v>271</v>
      </c>
      <c r="C706" s="333"/>
      <c r="D706" s="332"/>
      <c r="E706" s="333" t="s">
        <v>624</v>
      </c>
      <c r="F706" s="334" t="s">
        <v>630</v>
      </c>
      <c r="G706" s="332" t="s">
        <v>631</v>
      </c>
      <c r="H706" s="334" t="s">
        <v>627</v>
      </c>
      <c r="I706" s="334"/>
    </row>
    <row r="707" spans="2:9" x14ac:dyDescent="0.3">
      <c r="B707" s="342"/>
      <c r="C707" s="333"/>
      <c r="D707" s="332"/>
      <c r="E707" s="343"/>
      <c r="F707" s="344"/>
      <c r="G707" s="345"/>
      <c r="H707" s="344"/>
      <c r="I707" s="344"/>
    </row>
    <row r="708" spans="2:9" x14ac:dyDescent="0.3">
      <c r="B708" s="332"/>
      <c r="C708" s="333"/>
      <c r="D708" s="332"/>
      <c r="E708" s="333"/>
      <c r="F708" s="334"/>
      <c r="G708" s="332"/>
      <c r="H708" s="334"/>
      <c r="I708" s="334"/>
    </row>
    <row r="709" spans="2:9" x14ac:dyDescent="0.3">
      <c r="B709" s="332"/>
      <c r="C709" s="333"/>
      <c r="D709" s="332"/>
      <c r="E709" s="333"/>
      <c r="F709" s="334"/>
      <c r="G709" s="332"/>
      <c r="H709" s="334"/>
      <c r="I709" s="334"/>
    </row>
    <row r="710" spans="2:9" x14ac:dyDescent="0.3">
      <c r="B710" s="332"/>
      <c r="C710" s="333"/>
      <c r="D710" s="332"/>
      <c r="E710" s="333"/>
      <c r="F710" s="334"/>
      <c r="G710" s="332"/>
      <c r="H710" s="334"/>
      <c r="I710" s="334"/>
    </row>
    <row r="711" spans="2:9" x14ac:dyDescent="0.3">
      <c r="B711" s="332"/>
      <c r="C711" s="333"/>
      <c r="D711" s="332"/>
      <c r="E711" s="333"/>
      <c r="F711" s="334"/>
      <c r="G711" s="332"/>
      <c r="H711" s="334" t="s">
        <v>628</v>
      </c>
      <c r="I711" s="334">
        <f>SUM(H707:H710)</f>
        <v>0</v>
      </c>
    </row>
    <row r="712" spans="2:9" x14ac:dyDescent="0.3">
      <c r="B712" s="332" t="s">
        <v>632</v>
      </c>
      <c r="C712" s="333"/>
      <c r="D712" s="332"/>
      <c r="E712" s="333" t="s">
        <v>624</v>
      </c>
      <c r="F712" s="334" t="s">
        <v>633</v>
      </c>
      <c r="G712" s="332" t="s">
        <v>634</v>
      </c>
      <c r="H712" s="334" t="s">
        <v>627</v>
      </c>
      <c r="I712" s="334"/>
    </row>
    <row r="713" spans="2:9" x14ac:dyDescent="0.3">
      <c r="B713" s="332"/>
      <c r="C713" s="333"/>
      <c r="D713" s="332"/>
      <c r="E713" s="332"/>
      <c r="F713" s="332"/>
      <c r="G713" s="332"/>
      <c r="H713" s="332"/>
      <c r="I713" s="332"/>
    </row>
    <row r="714" spans="2:9" x14ac:dyDescent="0.3">
      <c r="B714" s="332"/>
      <c r="C714" s="333"/>
      <c r="D714" s="332"/>
      <c r="E714" s="333"/>
      <c r="F714" s="336"/>
      <c r="G714" s="334"/>
      <c r="H714" s="334"/>
      <c r="I714" s="334"/>
    </row>
    <row r="715" spans="2:9" x14ac:dyDescent="0.3">
      <c r="B715" s="332"/>
      <c r="C715" s="333"/>
      <c r="D715" s="332"/>
      <c r="E715" s="333"/>
      <c r="F715" s="334"/>
      <c r="G715" s="332"/>
      <c r="H715" s="334" t="s">
        <v>628</v>
      </c>
      <c r="I715" s="334">
        <f>SUM(H714)</f>
        <v>0</v>
      </c>
    </row>
    <row r="716" spans="2:9" x14ac:dyDescent="0.3">
      <c r="B716" s="332" t="s">
        <v>635</v>
      </c>
      <c r="C716" s="333"/>
      <c r="D716" s="332"/>
      <c r="E716" s="333"/>
      <c r="F716" s="334"/>
      <c r="G716" s="332"/>
      <c r="H716" s="334"/>
      <c r="I716" s="334"/>
    </row>
    <row r="717" spans="2:9" x14ac:dyDescent="0.3">
      <c r="B717" s="332" t="s">
        <v>636</v>
      </c>
      <c r="C717" s="333"/>
      <c r="D717" s="332"/>
      <c r="E717" s="333" t="s">
        <v>637</v>
      </c>
      <c r="F717" s="334" t="s">
        <v>638</v>
      </c>
      <c r="G717" s="332" t="s">
        <v>626</v>
      </c>
      <c r="H717" s="334" t="s">
        <v>627</v>
      </c>
      <c r="I717" s="334"/>
    </row>
    <row r="718" spans="2:9" ht="28.8" x14ac:dyDescent="0.3">
      <c r="B718" s="342" t="s">
        <v>702</v>
      </c>
      <c r="C718" s="333"/>
      <c r="D718" s="332"/>
      <c r="E718" s="346">
        <v>168000</v>
      </c>
      <c r="F718" s="344">
        <v>1.8</v>
      </c>
      <c r="G718" s="347">
        <v>25.199999381410596</v>
      </c>
      <c r="H718" s="344">
        <f>E718*F718/G718</f>
        <v>12000.000294566391</v>
      </c>
      <c r="I718" s="344"/>
    </row>
    <row r="719" spans="2:9" x14ac:dyDescent="0.3">
      <c r="B719" s="332"/>
      <c r="C719" s="333"/>
      <c r="D719" s="332"/>
      <c r="E719" s="333"/>
      <c r="F719" s="334"/>
      <c r="G719" s="332"/>
      <c r="H719" s="334" t="s">
        <v>628</v>
      </c>
      <c r="I719" s="334">
        <f>H718</f>
        <v>12000.000294566391</v>
      </c>
    </row>
    <row r="720" spans="2:9" x14ac:dyDescent="0.3">
      <c r="B720" s="332"/>
      <c r="C720" s="333"/>
      <c r="D720" s="332"/>
      <c r="E720" s="333"/>
      <c r="F720" s="334"/>
      <c r="G720" s="332"/>
      <c r="H720" s="330" t="s">
        <v>640</v>
      </c>
      <c r="I720" s="330">
        <f>I719+I711+I704+I715</f>
        <v>15000.000294566391</v>
      </c>
    </row>
    <row r="722" spans="2:9" ht="129.6" x14ac:dyDescent="0.3">
      <c r="B722" s="339" t="s">
        <v>708</v>
      </c>
      <c r="C722" s="339" t="s">
        <v>621</v>
      </c>
      <c r="D722" s="341" t="s">
        <v>560</v>
      </c>
      <c r="E722" s="339"/>
      <c r="F722" s="340"/>
      <c r="G722" s="340" t="s">
        <v>622</v>
      </c>
      <c r="H722" s="340" t="s">
        <v>33</v>
      </c>
      <c r="I722" s="340">
        <f>+ROUND(I744,0)</f>
        <v>20000</v>
      </c>
    </row>
    <row r="723" spans="2:9" x14ac:dyDescent="0.3">
      <c r="B723" s="332" t="s">
        <v>623</v>
      </c>
      <c r="C723" s="333"/>
      <c r="D723" s="332"/>
      <c r="E723" s="333"/>
      <c r="F723" s="334"/>
      <c r="G723" s="332"/>
      <c r="H723" s="334"/>
      <c r="I723" s="334"/>
    </row>
    <row r="724" spans="2:9" x14ac:dyDescent="0.3">
      <c r="B724" s="332" t="s">
        <v>271</v>
      </c>
      <c r="C724" s="333"/>
      <c r="D724" s="332"/>
      <c r="E724" s="333" t="s">
        <v>624</v>
      </c>
      <c r="F724" s="334" t="s">
        <v>625</v>
      </c>
      <c r="G724" s="332" t="s">
        <v>626</v>
      </c>
      <c r="H724" s="334" t="s">
        <v>627</v>
      </c>
      <c r="I724" s="334"/>
    </row>
    <row r="725" spans="2:9" x14ac:dyDescent="0.3">
      <c r="B725" s="332" t="s">
        <v>701</v>
      </c>
      <c r="C725" s="333"/>
      <c r="D725" s="332"/>
      <c r="E725" s="333" t="s">
        <v>644</v>
      </c>
      <c r="F725" s="334">
        <v>1500</v>
      </c>
      <c r="G725" s="335">
        <v>2</v>
      </c>
      <c r="H725" s="334">
        <f>F725*G725</f>
        <v>3000</v>
      </c>
      <c r="I725" s="334"/>
    </row>
    <row r="726" spans="2:9" x14ac:dyDescent="0.3">
      <c r="B726" s="332"/>
      <c r="C726" s="333"/>
      <c r="D726" s="332"/>
      <c r="E726" s="333"/>
      <c r="F726" s="334"/>
      <c r="G726" s="335"/>
      <c r="H726" s="334"/>
      <c r="I726" s="334"/>
    </row>
    <row r="727" spans="2:9" x14ac:dyDescent="0.3">
      <c r="B727" s="332"/>
      <c r="C727" s="333"/>
      <c r="D727" s="332"/>
      <c r="E727" s="333"/>
      <c r="F727" s="334"/>
      <c r="G727" s="335"/>
      <c r="H727" s="334"/>
      <c r="I727" s="334"/>
    </row>
    <row r="728" spans="2:9" x14ac:dyDescent="0.3">
      <c r="B728" s="332"/>
      <c r="C728" s="333"/>
      <c r="D728" s="332"/>
      <c r="E728" s="333"/>
      <c r="F728" s="334"/>
      <c r="G728" s="332"/>
      <c r="H728" s="334" t="s">
        <v>628</v>
      </c>
      <c r="I728" s="334">
        <f>SUM(H725:H727)</f>
        <v>3000</v>
      </c>
    </row>
    <row r="729" spans="2:9" x14ac:dyDescent="0.3">
      <c r="B729" s="332" t="s">
        <v>629</v>
      </c>
      <c r="C729" s="333"/>
      <c r="D729" s="332"/>
      <c r="E729" s="333"/>
      <c r="F729" s="334"/>
      <c r="G729" s="332"/>
      <c r="H729" s="334"/>
      <c r="I729" s="334"/>
    </row>
    <row r="730" spans="2:9" x14ac:dyDescent="0.3">
      <c r="B730" s="332" t="s">
        <v>271</v>
      </c>
      <c r="C730" s="333"/>
      <c r="D730" s="332"/>
      <c r="E730" s="333" t="s">
        <v>624</v>
      </c>
      <c r="F730" s="334" t="s">
        <v>630</v>
      </c>
      <c r="G730" s="332" t="s">
        <v>631</v>
      </c>
      <c r="H730" s="334" t="s">
        <v>627</v>
      </c>
      <c r="I730" s="334"/>
    </row>
    <row r="731" spans="2:9" x14ac:dyDescent="0.3">
      <c r="B731" s="342"/>
      <c r="C731" s="333"/>
      <c r="D731" s="332"/>
      <c r="E731" s="343"/>
      <c r="F731" s="344"/>
      <c r="G731" s="345"/>
      <c r="H731" s="344"/>
      <c r="I731" s="344"/>
    </row>
    <row r="732" spans="2:9" x14ac:dyDescent="0.3">
      <c r="B732" s="332"/>
      <c r="C732" s="333"/>
      <c r="D732" s="332"/>
      <c r="E732" s="333"/>
      <c r="F732" s="334"/>
      <c r="G732" s="332"/>
      <c r="H732" s="334"/>
      <c r="I732" s="334"/>
    </row>
    <row r="733" spans="2:9" x14ac:dyDescent="0.3">
      <c r="B733" s="332"/>
      <c r="C733" s="333"/>
      <c r="D733" s="332"/>
      <c r="E733" s="333"/>
      <c r="F733" s="334"/>
      <c r="G733" s="332"/>
      <c r="H733" s="334"/>
      <c r="I733" s="334"/>
    </row>
    <row r="734" spans="2:9" x14ac:dyDescent="0.3">
      <c r="B734" s="332"/>
      <c r="C734" s="333"/>
      <c r="D734" s="332"/>
      <c r="E734" s="333"/>
      <c r="F734" s="334"/>
      <c r="G734" s="332"/>
      <c r="H734" s="334"/>
      <c r="I734" s="334"/>
    </row>
    <row r="735" spans="2:9" x14ac:dyDescent="0.3">
      <c r="B735" s="332"/>
      <c r="C735" s="333"/>
      <c r="D735" s="332"/>
      <c r="E735" s="333"/>
      <c r="F735" s="334"/>
      <c r="G735" s="332"/>
      <c r="H735" s="334" t="s">
        <v>628</v>
      </c>
      <c r="I735" s="334">
        <f>SUM(H731:H734)</f>
        <v>0</v>
      </c>
    </row>
    <row r="736" spans="2:9" x14ac:dyDescent="0.3">
      <c r="B736" s="332" t="s">
        <v>632</v>
      </c>
      <c r="C736" s="333"/>
      <c r="D736" s="332"/>
      <c r="E736" s="333" t="s">
        <v>624</v>
      </c>
      <c r="F736" s="334" t="s">
        <v>633</v>
      </c>
      <c r="G736" s="332" t="s">
        <v>634</v>
      </c>
      <c r="H736" s="334" t="s">
        <v>627</v>
      </c>
      <c r="I736" s="334"/>
    </row>
    <row r="737" spans="2:9" x14ac:dyDescent="0.3">
      <c r="B737" s="332"/>
      <c r="C737" s="333"/>
      <c r="D737" s="332"/>
      <c r="E737" s="332"/>
      <c r="F737" s="332"/>
      <c r="G737" s="332"/>
      <c r="H737" s="332"/>
      <c r="I737" s="332"/>
    </row>
    <row r="738" spans="2:9" x14ac:dyDescent="0.3">
      <c r="B738" s="332"/>
      <c r="C738" s="333"/>
      <c r="D738" s="332"/>
      <c r="E738" s="333"/>
      <c r="F738" s="336"/>
      <c r="G738" s="334"/>
      <c r="H738" s="334"/>
      <c r="I738" s="334"/>
    </row>
    <row r="739" spans="2:9" x14ac:dyDescent="0.3">
      <c r="B739" s="332"/>
      <c r="C739" s="333"/>
      <c r="D739" s="332"/>
      <c r="E739" s="333"/>
      <c r="F739" s="334"/>
      <c r="G739" s="332"/>
      <c r="H739" s="334" t="s">
        <v>628</v>
      </c>
      <c r="I739" s="334">
        <f>SUM(H738)</f>
        <v>0</v>
      </c>
    </row>
    <row r="740" spans="2:9" x14ac:dyDescent="0.3">
      <c r="B740" s="332" t="s">
        <v>635</v>
      </c>
      <c r="C740" s="333"/>
      <c r="D740" s="332"/>
      <c r="E740" s="333"/>
      <c r="F740" s="334"/>
      <c r="G740" s="332"/>
      <c r="H740" s="334"/>
      <c r="I740" s="334"/>
    </row>
    <row r="741" spans="2:9" x14ac:dyDescent="0.3">
      <c r="B741" s="332" t="s">
        <v>636</v>
      </c>
      <c r="C741" s="333"/>
      <c r="D741" s="332"/>
      <c r="E741" s="333" t="s">
        <v>637</v>
      </c>
      <c r="F741" s="334" t="s">
        <v>638</v>
      </c>
      <c r="G741" s="332" t="s">
        <v>626</v>
      </c>
      <c r="H741" s="334" t="s">
        <v>627</v>
      </c>
      <c r="I741" s="334"/>
    </row>
    <row r="742" spans="2:9" ht="28.8" x14ac:dyDescent="0.3">
      <c r="B742" s="342" t="s">
        <v>702</v>
      </c>
      <c r="C742" s="333"/>
      <c r="D742" s="332"/>
      <c r="E742" s="346">
        <v>168000</v>
      </c>
      <c r="F742" s="344">
        <v>1.8</v>
      </c>
      <c r="G742" s="347">
        <v>17.788235291403911</v>
      </c>
      <c r="H742" s="344">
        <f>E742*F742/G742</f>
        <v>17000.000002593486</v>
      </c>
      <c r="I742" s="344"/>
    </row>
    <row r="743" spans="2:9" x14ac:dyDescent="0.3">
      <c r="B743" s="332"/>
      <c r="C743" s="333"/>
      <c r="D743" s="332"/>
      <c r="E743" s="333"/>
      <c r="F743" s="334"/>
      <c r="G743" s="332"/>
      <c r="H743" s="334" t="s">
        <v>628</v>
      </c>
      <c r="I743" s="334">
        <f>H742</f>
        <v>17000.000002593486</v>
      </c>
    </row>
    <row r="744" spans="2:9" x14ac:dyDescent="0.3">
      <c r="B744" s="332"/>
      <c r="C744" s="333"/>
      <c r="D744" s="332"/>
      <c r="E744" s="333"/>
      <c r="F744" s="334"/>
      <c r="G744" s="332"/>
      <c r="H744" s="330" t="s">
        <v>640</v>
      </c>
      <c r="I744" s="330">
        <f>I743+I735+I728+I739</f>
        <v>20000.000002593486</v>
      </c>
    </row>
    <row r="746" spans="2:9" ht="144" x14ac:dyDescent="0.3">
      <c r="B746" s="339" t="s">
        <v>709</v>
      </c>
      <c r="C746" s="339" t="s">
        <v>621</v>
      </c>
      <c r="D746" s="341" t="s">
        <v>559</v>
      </c>
      <c r="E746" s="339"/>
      <c r="F746" s="340"/>
      <c r="G746" s="340" t="s">
        <v>622</v>
      </c>
      <c r="H746" s="340" t="s">
        <v>33</v>
      </c>
      <c r="I746" s="340">
        <f>+ROUND(I768,0)</f>
        <v>50000</v>
      </c>
    </row>
    <row r="747" spans="2:9" x14ac:dyDescent="0.3">
      <c r="B747" s="332" t="s">
        <v>623</v>
      </c>
      <c r="C747" s="333"/>
      <c r="D747" s="332"/>
      <c r="E747" s="333"/>
      <c r="F747" s="334"/>
      <c r="G747" s="332"/>
      <c r="H747" s="334"/>
      <c r="I747" s="334"/>
    </row>
    <row r="748" spans="2:9" x14ac:dyDescent="0.3">
      <c r="B748" s="332" t="s">
        <v>271</v>
      </c>
      <c r="C748" s="333"/>
      <c r="D748" s="332"/>
      <c r="E748" s="333" t="s">
        <v>624</v>
      </c>
      <c r="F748" s="334" t="s">
        <v>625</v>
      </c>
      <c r="G748" s="332" t="s">
        <v>626</v>
      </c>
      <c r="H748" s="334" t="s">
        <v>627</v>
      </c>
      <c r="I748" s="334"/>
    </row>
    <row r="749" spans="2:9" x14ac:dyDescent="0.3">
      <c r="B749" s="332" t="s">
        <v>701</v>
      </c>
      <c r="C749" s="333"/>
      <c r="D749" s="332"/>
      <c r="E749" s="333" t="s">
        <v>644</v>
      </c>
      <c r="F749" s="334">
        <v>1500</v>
      </c>
      <c r="G749" s="335">
        <v>2</v>
      </c>
      <c r="H749" s="334">
        <f>F749*G749</f>
        <v>3000</v>
      </c>
      <c r="I749" s="334"/>
    </row>
    <row r="750" spans="2:9" x14ac:dyDescent="0.3">
      <c r="B750" s="332"/>
      <c r="C750" s="333"/>
      <c r="D750" s="332"/>
      <c r="E750" s="333"/>
      <c r="F750" s="334"/>
      <c r="G750" s="335"/>
      <c r="H750" s="334"/>
      <c r="I750" s="334"/>
    </row>
    <row r="751" spans="2:9" x14ac:dyDescent="0.3">
      <c r="B751" s="332"/>
      <c r="C751" s="333"/>
      <c r="D751" s="332"/>
      <c r="E751" s="333"/>
      <c r="F751" s="334"/>
      <c r="G751" s="335"/>
      <c r="H751" s="334"/>
      <c r="I751" s="334"/>
    </row>
    <row r="752" spans="2:9" x14ac:dyDescent="0.3">
      <c r="B752" s="332"/>
      <c r="C752" s="333"/>
      <c r="D752" s="332"/>
      <c r="E752" s="333"/>
      <c r="F752" s="334"/>
      <c r="G752" s="332"/>
      <c r="H752" s="334" t="s">
        <v>628</v>
      </c>
      <c r="I752" s="334">
        <f>SUM(H749:H751)</f>
        <v>3000</v>
      </c>
    </row>
    <row r="753" spans="2:9" x14ac:dyDescent="0.3">
      <c r="B753" s="332" t="s">
        <v>629</v>
      </c>
      <c r="C753" s="333"/>
      <c r="D753" s="332"/>
      <c r="E753" s="333"/>
      <c r="F753" s="334"/>
      <c r="G753" s="332"/>
      <c r="H753" s="334"/>
      <c r="I753" s="334"/>
    </row>
    <row r="754" spans="2:9" x14ac:dyDescent="0.3">
      <c r="B754" s="332" t="s">
        <v>271</v>
      </c>
      <c r="C754" s="333"/>
      <c r="D754" s="332"/>
      <c r="E754" s="333" t="s">
        <v>624</v>
      </c>
      <c r="F754" s="334" t="s">
        <v>630</v>
      </c>
      <c r="G754" s="332" t="s">
        <v>631</v>
      </c>
      <c r="H754" s="334" t="s">
        <v>627</v>
      </c>
      <c r="I754" s="334"/>
    </row>
    <row r="755" spans="2:9" x14ac:dyDescent="0.3">
      <c r="B755" s="342"/>
      <c r="C755" s="333"/>
      <c r="D755" s="332"/>
      <c r="E755" s="343"/>
      <c r="F755" s="344"/>
      <c r="G755" s="345"/>
      <c r="H755" s="344"/>
      <c r="I755" s="344"/>
    </row>
    <row r="756" spans="2:9" x14ac:dyDescent="0.3">
      <c r="B756" s="332"/>
      <c r="C756" s="333"/>
      <c r="D756" s="332"/>
      <c r="E756" s="333"/>
      <c r="F756" s="334"/>
      <c r="G756" s="332"/>
      <c r="H756" s="334"/>
      <c r="I756" s="334"/>
    </row>
    <row r="757" spans="2:9" x14ac:dyDescent="0.3">
      <c r="B757" s="332"/>
      <c r="C757" s="333"/>
      <c r="D757" s="332"/>
      <c r="E757" s="333"/>
      <c r="F757" s="334"/>
      <c r="G757" s="332"/>
      <c r="H757" s="334"/>
      <c r="I757" s="334"/>
    </row>
    <row r="758" spans="2:9" x14ac:dyDescent="0.3">
      <c r="B758" s="332"/>
      <c r="C758" s="333"/>
      <c r="D758" s="332"/>
      <c r="E758" s="333"/>
      <c r="F758" s="334"/>
      <c r="G758" s="332"/>
      <c r="H758" s="334"/>
      <c r="I758" s="334"/>
    </row>
    <row r="759" spans="2:9" x14ac:dyDescent="0.3">
      <c r="B759" s="332"/>
      <c r="C759" s="333"/>
      <c r="D759" s="332"/>
      <c r="E759" s="333"/>
      <c r="F759" s="334"/>
      <c r="G759" s="332"/>
      <c r="H759" s="334" t="s">
        <v>628</v>
      </c>
      <c r="I759" s="334">
        <f>SUM(H755:H758)</f>
        <v>0</v>
      </c>
    </row>
    <row r="760" spans="2:9" x14ac:dyDescent="0.3">
      <c r="B760" s="332" t="s">
        <v>632</v>
      </c>
      <c r="C760" s="333"/>
      <c r="D760" s="332"/>
      <c r="E760" s="333" t="s">
        <v>624</v>
      </c>
      <c r="F760" s="334" t="s">
        <v>633</v>
      </c>
      <c r="G760" s="332" t="s">
        <v>634</v>
      </c>
      <c r="H760" s="334" t="s">
        <v>627</v>
      </c>
      <c r="I760" s="334"/>
    </row>
    <row r="761" spans="2:9" x14ac:dyDescent="0.3">
      <c r="B761" s="332"/>
      <c r="C761" s="333"/>
      <c r="D761" s="332"/>
      <c r="E761" s="332"/>
      <c r="F761" s="332"/>
      <c r="G761" s="332"/>
      <c r="H761" s="332"/>
      <c r="I761" s="332"/>
    </row>
    <row r="762" spans="2:9" x14ac:dyDescent="0.3">
      <c r="B762" s="332"/>
      <c r="C762" s="333"/>
      <c r="D762" s="332"/>
      <c r="E762" s="333"/>
      <c r="F762" s="336"/>
      <c r="G762" s="334"/>
      <c r="H762" s="334"/>
      <c r="I762" s="334"/>
    </row>
    <row r="763" spans="2:9" x14ac:dyDescent="0.3">
      <c r="B763" s="332"/>
      <c r="C763" s="333"/>
      <c r="D763" s="332"/>
      <c r="E763" s="333"/>
      <c r="F763" s="334"/>
      <c r="G763" s="332"/>
      <c r="H763" s="334" t="s">
        <v>628</v>
      </c>
      <c r="I763" s="334">
        <f>SUM(H762)</f>
        <v>0</v>
      </c>
    </row>
    <row r="764" spans="2:9" x14ac:dyDescent="0.3">
      <c r="B764" s="332" t="s">
        <v>635</v>
      </c>
      <c r="C764" s="333"/>
      <c r="D764" s="332"/>
      <c r="E764" s="333"/>
      <c r="F764" s="334"/>
      <c r="G764" s="332"/>
      <c r="H764" s="334"/>
      <c r="I764" s="334"/>
    </row>
    <row r="765" spans="2:9" x14ac:dyDescent="0.3">
      <c r="B765" s="332" t="s">
        <v>636</v>
      </c>
      <c r="C765" s="333"/>
      <c r="D765" s="332"/>
      <c r="E765" s="333" t="s">
        <v>637</v>
      </c>
      <c r="F765" s="334" t="s">
        <v>638</v>
      </c>
      <c r="G765" s="332" t="s">
        <v>626</v>
      </c>
      <c r="H765" s="334" t="s">
        <v>627</v>
      </c>
      <c r="I765" s="334"/>
    </row>
    <row r="766" spans="2:9" ht="28.8" x14ac:dyDescent="0.3">
      <c r="B766" s="342" t="s">
        <v>702</v>
      </c>
      <c r="C766" s="333"/>
      <c r="D766" s="332"/>
      <c r="E766" s="346">
        <v>168000</v>
      </c>
      <c r="F766" s="344">
        <v>1.8</v>
      </c>
      <c r="G766" s="347">
        <v>6.4340425510279111</v>
      </c>
      <c r="H766" s="344">
        <f>E766*F766/G766</f>
        <v>47000.000015804711</v>
      </c>
      <c r="I766" s="344"/>
    </row>
    <row r="767" spans="2:9" x14ac:dyDescent="0.3">
      <c r="B767" s="332"/>
      <c r="C767" s="333"/>
      <c r="D767" s="332"/>
      <c r="E767" s="333"/>
      <c r="F767" s="334"/>
      <c r="G767" s="332"/>
      <c r="H767" s="334" t="s">
        <v>628</v>
      </c>
      <c r="I767" s="334">
        <f>H766</f>
        <v>47000.000015804711</v>
      </c>
    </row>
    <row r="768" spans="2:9" x14ac:dyDescent="0.3">
      <c r="B768" s="332"/>
      <c r="C768" s="333"/>
      <c r="D768" s="332"/>
      <c r="E768" s="333"/>
      <c r="F768" s="334"/>
      <c r="G768" s="332"/>
      <c r="H768" s="330" t="s">
        <v>640</v>
      </c>
      <c r="I768" s="330">
        <f>I767+I759+I752+I763</f>
        <v>50000.000015804711</v>
      </c>
    </row>
    <row r="770" spans="2:9" ht="129.6" x14ac:dyDescent="0.3">
      <c r="B770" s="339" t="s">
        <v>710</v>
      </c>
      <c r="C770" s="339" t="s">
        <v>621</v>
      </c>
      <c r="D770" s="341" t="s">
        <v>558</v>
      </c>
      <c r="E770" s="339"/>
      <c r="F770" s="340"/>
      <c r="G770" s="340" t="s">
        <v>622</v>
      </c>
      <c r="H770" s="340" t="s">
        <v>33</v>
      </c>
      <c r="I770" s="340">
        <f>+ROUND(I793,0)</f>
        <v>680000</v>
      </c>
    </row>
    <row r="771" spans="2:9" x14ac:dyDescent="0.3">
      <c r="B771" s="332" t="s">
        <v>623</v>
      </c>
      <c r="C771" s="333"/>
      <c r="D771" s="332"/>
      <c r="E771" s="333"/>
      <c r="F771" s="334"/>
      <c r="G771" s="332"/>
      <c r="H771" s="334"/>
      <c r="I771" s="334"/>
    </row>
    <row r="772" spans="2:9" x14ac:dyDescent="0.3">
      <c r="B772" s="332" t="s">
        <v>271</v>
      </c>
      <c r="C772" s="333"/>
      <c r="D772" s="332"/>
      <c r="E772" s="333" t="s">
        <v>624</v>
      </c>
      <c r="F772" s="334" t="s">
        <v>625</v>
      </c>
      <c r="G772" s="332" t="s">
        <v>626</v>
      </c>
      <c r="H772" s="334" t="s">
        <v>627</v>
      </c>
      <c r="I772" s="334"/>
    </row>
    <row r="773" spans="2:9" x14ac:dyDescent="0.3">
      <c r="B773" s="332" t="s">
        <v>701</v>
      </c>
      <c r="C773" s="333"/>
      <c r="D773" s="332"/>
      <c r="E773" s="333" t="s">
        <v>644</v>
      </c>
      <c r="F773" s="334">
        <v>1500</v>
      </c>
      <c r="G773" s="335">
        <v>2</v>
      </c>
      <c r="H773" s="334">
        <f>F773*G773</f>
        <v>3000</v>
      </c>
      <c r="I773" s="334"/>
    </row>
    <row r="774" spans="2:9" x14ac:dyDescent="0.3">
      <c r="B774" s="332"/>
      <c r="C774" s="333"/>
      <c r="D774" s="332"/>
      <c r="E774" s="333"/>
      <c r="F774" s="334"/>
      <c r="G774" s="335"/>
      <c r="H774" s="334"/>
      <c r="I774" s="334"/>
    </row>
    <row r="775" spans="2:9" x14ac:dyDescent="0.3">
      <c r="B775" s="332"/>
      <c r="C775" s="333"/>
      <c r="D775" s="332"/>
      <c r="E775" s="333"/>
      <c r="F775" s="334"/>
      <c r="G775" s="335"/>
      <c r="H775" s="334"/>
      <c r="I775" s="334"/>
    </row>
    <row r="776" spans="2:9" x14ac:dyDescent="0.3">
      <c r="B776" s="332"/>
      <c r="C776" s="333"/>
      <c r="D776" s="332"/>
      <c r="E776" s="333"/>
      <c r="F776" s="334"/>
      <c r="G776" s="332"/>
      <c r="H776" s="334" t="s">
        <v>628</v>
      </c>
      <c r="I776" s="334">
        <f>SUM(H773:H775)</f>
        <v>3000</v>
      </c>
    </row>
    <row r="777" spans="2:9" x14ac:dyDescent="0.3">
      <c r="B777" s="332" t="s">
        <v>629</v>
      </c>
      <c r="C777" s="333"/>
      <c r="D777" s="332"/>
      <c r="E777" s="333"/>
      <c r="F777" s="334"/>
      <c r="G777" s="332"/>
      <c r="H777" s="334"/>
      <c r="I777" s="334"/>
    </row>
    <row r="778" spans="2:9" x14ac:dyDescent="0.3">
      <c r="B778" s="332" t="s">
        <v>271</v>
      </c>
      <c r="C778" s="333"/>
      <c r="D778" s="332"/>
      <c r="E778" s="333" t="s">
        <v>624</v>
      </c>
      <c r="F778" s="334" t="s">
        <v>630</v>
      </c>
      <c r="G778" s="332" t="s">
        <v>631</v>
      </c>
      <c r="H778" s="334" t="s">
        <v>627</v>
      </c>
      <c r="I778" s="334"/>
    </row>
    <row r="779" spans="2:9" ht="43.2" x14ac:dyDescent="0.3">
      <c r="B779" s="348" t="s">
        <v>714</v>
      </c>
      <c r="C779" s="333"/>
      <c r="D779" s="332"/>
      <c r="E779" s="343" t="s">
        <v>33</v>
      </c>
      <c r="F779" s="344">
        <v>199900</v>
      </c>
      <c r="G779" s="345">
        <v>1</v>
      </c>
      <c r="H779" s="344">
        <f>F779*G779</f>
        <v>199900</v>
      </c>
      <c r="I779" s="344"/>
    </row>
    <row r="780" spans="2:9" x14ac:dyDescent="0.3">
      <c r="B780" s="332" t="s">
        <v>711</v>
      </c>
      <c r="C780" s="333"/>
      <c r="D780" s="332"/>
      <c r="E780" s="333" t="s">
        <v>93</v>
      </c>
      <c r="F780" s="334">
        <v>29900</v>
      </c>
      <c r="G780" s="332">
        <v>5</v>
      </c>
      <c r="H780" s="344">
        <f>F780*G780</f>
        <v>149500</v>
      </c>
      <c r="I780" s="334"/>
    </row>
    <row r="781" spans="2:9" x14ac:dyDescent="0.3">
      <c r="B781" s="332" t="s">
        <v>712</v>
      </c>
      <c r="C781" s="333"/>
      <c r="D781" s="332"/>
      <c r="E781" s="333" t="s">
        <v>93</v>
      </c>
      <c r="F781" s="334">
        <v>2500</v>
      </c>
      <c r="G781" s="332">
        <v>15</v>
      </c>
      <c r="H781" s="344">
        <f>F781*G781</f>
        <v>37500</v>
      </c>
      <c r="I781" s="334"/>
    </row>
    <row r="782" spans="2:9" x14ac:dyDescent="0.3">
      <c r="B782" s="332" t="s">
        <v>713</v>
      </c>
      <c r="C782" s="333"/>
      <c r="D782" s="332"/>
      <c r="E782" s="333" t="s">
        <v>33</v>
      </c>
      <c r="F782" s="334">
        <v>9900</v>
      </c>
      <c r="G782" s="332">
        <v>2</v>
      </c>
      <c r="H782" s="344">
        <f>F782*G782</f>
        <v>19800</v>
      </c>
      <c r="I782" s="334"/>
    </row>
    <row r="783" spans="2:9" x14ac:dyDescent="0.3">
      <c r="B783" s="332"/>
      <c r="C783" s="333"/>
      <c r="D783" s="332"/>
      <c r="E783" s="333"/>
      <c r="F783" s="334"/>
      <c r="G783" s="332"/>
      <c r="H783" s="334"/>
      <c r="I783" s="334"/>
    </row>
    <row r="784" spans="2:9" x14ac:dyDescent="0.3">
      <c r="B784" s="332"/>
      <c r="C784" s="333"/>
      <c r="D784" s="332"/>
      <c r="E784" s="333"/>
      <c r="F784" s="334"/>
      <c r="G784" s="332"/>
      <c r="H784" s="334" t="s">
        <v>628</v>
      </c>
      <c r="I784" s="334">
        <f>SUM(H779:H783)</f>
        <v>406700</v>
      </c>
    </row>
    <row r="785" spans="2:9" x14ac:dyDescent="0.3">
      <c r="B785" s="332" t="s">
        <v>632</v>
      </c>
      <c r="C785" s="333"/>
      <c r="D785" s="332"/>
      <c r="E785" s="333" t="s">
        <v>624</v>
      </c>
      <c r="F785" s="334" t="s">
        <v>633</v>
      </c>
      <c r="G785" s="332" t="s">
        <v>634</v>
      </c>
      <c r="H785" s="334" t="s">
        <v>627</v>
      </c>
      <c r="I785" s="334"/>
    </row>
    <row r="786" spans="2:9" x14ac:dyDescent="0.3">
      <c r="B786" s="332"/>
      <c r="C786" s="333"/>
      <c r="D786" s="332"/>
      <c r="E786" s="332"/>
      <c r="F786" s="332"/>
      <c r="G786" s="332"/>
      <c r="H786" s="332"/>
      <c r="I786" s="332"/>
    </row>
    <row r="787" spans="2:9" x14ac:dyDescent="0.3">
      <c r="B787" s="332"/>
      <c r="C787" s="333"/>
      <c r="D787" s="332"/>
      <c r="E787" s="333"/>
      <c r="F787" s="336"/>
      <c r="G787" s="334"/>
      <c r="H787" s="334"/>
      <c r="I787" s="334"/>
    </row>
    <row r="788" spans="2:9" x14ac:dyDescent="0.3">
      <c r="B788" s="332"/>
      <c r="C788" s="333"/>
      <c r="D788" s="332"/>
      <c r="E788" s="333"/>
      <c r="F788" s="334"/>
      <c r="G788" s="332"/>
      <c r="H788" s="334" t="s">
        <v>628</v>
      </c>
      <c r="I788" s="334">
        <f>SUM(H787)</f>
        <v>0</v>
      </c>
    </row>
    <row r="789" spans="2:9" x14ac:dyDescent="0.3">
      <c r="B789" s="332" t="s">
        <v>635</v>
      </c>
      <c r="C789" s="333"/>
      <c r="D789" s="332"/>
      <c r="E789" s="333"/>
      <c r="F789" s="334"/>
      <c r="G789" s="332"/>
      <c r="H789" s="334" t="s">
        <v>627</v>
      </c>
      <c r="I789" s="334"/>
    </row>
    <row r="790" spans="2:9" x14ac:dyDescent="0.3">
      <c r="B790" s="332" t="s">
        <v>636</v>
      </c>
      <c r="C790" s="333"/>
      <c r="D790" s="332"/>
      <c r="E790" s="333" t="s">
        <v>637</v>
      </c>
      <c r="F790" s="334" t="s">
        <v>638</v>
      </c>
      <c r="G790" s="332" t="s">
        <v>626</v>
      </c>
      <c r="I790" s="334"/>
    </row>
    <row r="791" spans="2:9" ht="28.8" x14ac:dyDescent="0.3">
      <c r="B791" s="342" t="s">
        <v>702</v>
      </c>
      <c r="C791" s="333"/>
      <c r="D791" s="332"/>
      <c r="E791" s="346">
        <v>168000</v>
      </c>
      <c r="F791" s="344">
        <v>1.8</v>
      </c>
      <c r="G791" s="347">
        <v>1.1187569367450283</v>
      </c>
      <c r="H791" s="344">
        <f>E791*F791/G791</f>
        <v>270299.99999805039</v>
      </c>
      <c r="I791" s="344"/>
    </row>
    <row r="792" spans="2:9" x14ac:dyDescent="0.3">
      <c r="B792" s="332"/>
      <c r="C792" s="333"/>
      <c r="D792" s="332"/>
      <c r="E792" s="333"/>
      <c r="F792" s="334"/>
      <c r="G792" s="332"/>
      <c r="H792" s="334" t="s">
        <v>628</v>
      </c>
      <c r="I792" s="334">
        <f>H791</f>
        <v>270299.99999805039</v>
      </c>
    </row>
    <row r="793" spans="2:9" x14ac:dyDescent="0.3">
      <c r="B793" s="332"/>
      <c r="C793" s="333"/>
      <c r="D793" s="332"/>
      <c r="E793" s="333"/>
      <c r="F793" s="334"/>
      <c r="G793" s="332"/>
      <c r="H793" s="330" t="s">
        <v>640</v>
      </c>
      <c r="I793" s="330">
        <f>I792+I784+I776+I788</f>
        <v>679999.99999805039</v>
      </c>
    </row>
    <row r="795" spans="2:9" ht="43.2" x14ac:dyDescent="0.3">
      <c r="B795" s="339" t="s">
        <v>715</v>
      </c>
      <c r="C795" s="339" t="s">
        <v>621</v>
      </c>
      <c r="D795" s="341" t="s">
        <v>557</v>
      </c>
      <c r="E795" s="339"/>
      <c r="F795" s="340"/>
      <c r="G795" s="340" t="s">
        <v>622</v>
      </c>
      <c r="H795" s="340" t="s">
        <v>33</v>
      </c>
      <c r="I795" s="340">
        <f>+ROUND(I818,0)</f>
        <v>30000</v>
      </c>
    </row>
    <row r="796" spans="2:9" x14ac:dyDescent="0.3">
      <c r="B796" s="332" t="s">
        <v>623</v>
      </c>
      <c r="C796" s="333"/>
      <c r="D796" s="332"/>
      <c r="E796" s="333"/>
      <c r="F796" s="334"/>
      <c r="G796" s="332"/>
      <c r="H796" s="334"/>
      <c r="I796" s="334"/>
    </row>
    <row r="797" spans="2:9" x14ac:dyDescent="0.3">
      <c r="B797" s="332" t="s">
        <v>271</v>
      </c>
      <c r="C797" s="333"/>
      <c r="D797" s="332"/>
      <c r="E797" s="333" t="s">
        <v>624</v>
      </c>
      <c r="F797" s="334" t="s">
        <v>625</v>
      </c>
      <c r="G797" s="332" t="s">
        <v>626</v>
      </c>
      <c r="H797" s="334" t="s">
        <v>627</v>
      </c>
      <c r="I797" s="334"/>
    </row>
    <row r="798" spans="2:9" x14ac:dyDescent="0.3">
      <c r="B798" s="332" t="s">
        <v>701</v>
      </c>
      <c r="C798" s="333"/>
      <c r="D798" s="332"/>
      <c r="E798" s="333" t="s">
        <v>644</v>
      </c>
      <c r="F798" s="334">
        <v>1500</v>
      </c>
      <c r="G798" s="335">
        <v>2</v>
      </c>
      <c r="H798" s="334">
        <f>F798*G798</f>
        <v>3000</v>
      </c>
      <c r="I798" s="334"/>
    </row>
    <row r="799" spans="2:9" x14ac:dyDescent="0.3">
      <c r="B799" s="332"/>
      <c r="C799" s="333"/>
      <c r="D799" s="332"/>
      <c r="E799" s="333"/>
      <c r="F799" s="334"/>
      <c r="G799" s="335"/>
      <c r="H799" s="334"/>
      <c r="I799" s="334"/>
    </row>
    <row r="800" spans="2:9" x14ac:dyDescent="0.3">
      <c r="B800" s="332"/>
      <c r="C800" s="333"/>
      <c r="D800" s="332"/>
      <c r="E800" s="333"/>
      <c r="F800" s="334"/>
      <c r="G800" s="335"/>
      <c r="H800" s="334"/>
      <c r="I800" s="334"/>
    </row>
    <row r="801" spans="2:9" x14ac:dyDescent="0.3">
      <c r="B801" s="332"/>
      <c r="C801" s="333"/>
      <c r="D801" s="332"/>
      <c r="E801" s="333"/>
      <c r="F801" s="334"/>
      <c r="G801" s="332"/>
      <c r="H801" s="334" t="s">
        <v>628</v>
      </c>
      <c r="I801" s="334">
        <f>SUM(H798:H800)</f>
        <v>3000</v>
      </c>
    </row>
    <row r="802" spans="2:9" x14ac:dyDescent="0.3">
      <c r="B802" s="332" t="s">
        <v>629</v>
      </c>
      <c r="C802" s="333"/>
      <c r="D802" s="332"/>
      <c r="E802" s="333"/>
      <c r="F802" s="334"/>
      <c r="G802" s="332"/>
      <c r="H802" s="334"/>
      <c r="I802" s="334"/>
    </row>
    <row r="803" spans="2:9" x14ac:dyDescent="0.3">
      <c r="B803" s="332" t="s">
        <v>271</v>
      </c>
      <c r="C803" s="333"/>
      <c r="D803" s="332"/>
      <c r="E803" s="333" t="s">
        <v>624</v>
      </c>
      <c r="F803" s="334" t="s">
        <v>630</v>
      </c>
      <c r="G803" s="332" t="s">
        <v>631</v>
      </c>
      <c r="H803" s="334" t="s">
        <v>627</v>
      </c>
      <c r="I803" s="334"/>
    </row>
    <row r="804" spans="2:9" x14ac:dyDescent="0.3">
      <c r="B804" s="348" t="s">
        <v>716</v>
      </c>
      <c r="C804" s="333"/>
      <c r="D804" s="332"/>
      <c r="E804" s="343" t="s">
        <v>33</v>
      </c>
      <c r="F804" s="344">
        <v>16150</v>
      </c>
      <c r="G804" s="345">
        <v>1</v>
      </c>
      <c r="H804" s="344">
        <f>F804*G804</f>
        <v>16150</v>
      </c>
      <c r="I804" s="344"/>
    </row>
    <row r="805" spans="2:9" x14ac:dyDescent="0.3">
      <c r="B805" s="332"/>
      <c r="C805" s="333"/>
      <c r="D805" s="332"/>
      <c r="E805" s="333"/>
      <c r="F805" s="334"/>
      <c r="G805" s="332"/>
      <c r="H805" s="344">
        <f>F805*G805</f>
        <v>0</v>
      </c>
      <c r="I805" s="334"/>
    </row>
    <row r="806" spans="2:9" x14ac:dyDescent="0.3">
      <c r="B806" s="332"/>
      <c r="C806" s="333"/>
      <c r="D806" s="332"/>
      <c r="E806" s="333"/>
      <c r="F806" s="334"/>
      <c r="G806" s="332"/>
      <c r="H806" s="344">
        <f>F806*G806</f>
        <v>0</v>
      </c>
      <c r="I806" s="334"/>
    </row>
    <row r="807" spans="2:9" x14ac:dyDescent="0.3">
      <c r="B807" s="332"/>
      <c r="C807" s="333"/>
      <c r="D807" s="332"/>
      <c r="E807" s="333"/>
      <c r="F807" s="334"/>
      <c r="G807" s="332"/>
      <c r="H807" s="344">
        <f>F807*G807</f>
        <v>0</v>
      </c>
      <c r="I807" s="334"/>
    </row>
    <row r="808" spans="2:9" x14ac:dyDescent="0.3">
      <c r="B808" s="332"/>
      <c r="C808" s="333"/>
      <c r="D808" s="332"/>
      <c r="E808" s="333"/>
      <c r="F808" s="334"/>
      <c r="G808" s="332"/>
      <c r="H808" s="334"/>
      <c r="I808" s="334"/>
    </row>
    <row r="809" spans="2:9" x14ac:dyDescent="0.3">
      <c r="B809" s="332"/>
      <c r="C809" s="333"/>
      <c r="D809" s="332"/>
      <c r="E809" s="333"/>
      <c r="F809" s="334"/>
      <c r="G809" s="332"/>
      <c r="H809" s="334" t="s">
        <v>628</v>
      </c>
      <c r="I809" s="334">
        <f>SUM(H804:H808)</f>
        <v>16150</v>
      </c>
    </row>
    <row r="810" spans="2:9" x14ac:dyDescent="0.3">
      <c r="B810" s="332" t="s">
        <v>632</v>
      </c>
      <c r="C810" s="333"/>
      <c r="D810" s="332"/>
      <c r="E810" s="333" t="s">
        <v>624</v>
      </c>
      <c r="F810" s="334" t="s">
        <v>633</v>
      </c>
      <c r="G810" s="332" t="s">
        <v>634</v>
      </c>
      <c r="H810" s="334" t="s">
        <v>627</v>
      </c>
      <c r="I810" s="334"/>
    </row>
    <row r="811" spans="2:9" x14ac:dyDescent="0.3">
      <c r="B811" s="332"/>
      <c r="C811" s="333"/>
      <c r="D811" s="332"/>
      <c r="E811" s="332"/>
      <c r="F811" s="332"/>
      <c r="G811" s="332"/>
      <c r="H811" s="332"/>
      <c r="I811" s="332"/>
    </row>
    <row r="812" spans="2:9" x14ac:dyDescent="0.3">
      <c r="B812" s="332"/>
      <c r="C812" s="333"/>
      <c r="D812" s="332"/>
      <c r="E812" s="333"/>
      <c r="F812" s="336"/>
      <c r="G812" s="334"/>
      <c r="H812" s="334"/>
      <c r="I812" s="334"/>
    </row>
    <row r="813" spans="2:9" x14ac:dyDescent="0.3">
      <c r="B813" s="332"/>
      <c r="C813" s="333"/>
      <c r="D813" s="332"/>
      <c r="E813" s="333"/>
      <c r="F813" s="334"/>
      <c r="G813" s="332"/>
      <c r="H813" s="334" t="s">
        <v>628</v>
      </c>
      <c r="I813" s="334">
        <f>SUM(H812)</f>
        <v>0</v>
      </c>
    </row>
    <row r="814" spans="2:9" x14ac:dyDescent="0.3">
      <c r="B814" s="332" t="s">
        <v>635</v>
      </c>
      <c r="C814" s="333"/>
      <c r="D814" s="332"/>
      <c r="E814" s="333"/>
      <c r="F814" s="334"/>
      <c r="G814" s="332"/>
      <c r="H814" s="334" t="s">
        <v>627</v>
      </c>
      <c r="I814" s="334"/>
    </row>
    <row r="815" spans="2:9" x14ac:dyDescent="0.3">
      <c r="B815" s="332" t="s">
        <v>636</v>
      </c>
      <c r="C815" s="333"/>
      <c r="D815" s="332"/>
      <c r="E815" s="333" t="s">
        <v>637</v>
      </c>
      <c r="F815" s="334" t="s">
        <v>638</v>
      </c>
      <c r="G815" s="332" t="s">
        <v>626</v>
      </c>
      <c r="I815" s="334"/>
    </row>
    <row r="816" spans="2:9" ht="28.8" x14ac:dyDescent="0.3">
      <c r="B816" s="342" t="s">
        <v>702</v>
      </c>
      <c r="C816" s="333"/>
      <c r="D816" s="332"/>
      <c r="E816" s="346">
        <v>168000</v>
      </c>
      <c r="F816" s="344">
        <v>1.8</v>
      </c>
      <c r="G816" s="347">
        <v>27.870967730580528</v>
      </c>
      <c r="H816" s="344">
        <f>E816*F816/G816</f>
        <v>10850.000004420415</v>
      </c>
      <c r="I816" s="344"/>
    </row>
    <row r="817" spans="2:9" x14ac:dyDescent="0.3">
      <c r="B817" s="332"/>
      <c r="C817" s="333"/>
      <c r="D817" s="332"/>
      <c r="E817" s="333"/>
      <c r="F817" s="334"/>
      <c r="G817" s="332"/>
      <c r="H817" s="334" t="s">
        <v>628</v>
      </c>
      <c r="I817" s="334">
        <f>H816</f>
        <v>10850.000004420415</v>
      </c>
    </row>
    <row r="818" spans="2:9" x14ac:dyDescent="0.3">
      <c r="B818" s="332"/>
      <c r="C818" s="333"/>
      <c r="D818" s="332"/>
      <c r="E818" s="333"/>
      <c r="F818" s="334"/>
      <c r="G818" s="332"/>
      <c r="H818" s="330" t="s">
        <v>640</v>
      </c>
      <c r="I818" s="330">
        <f>I817+I809+I801+I813</f>
        <v>30000.000004420413</v>
      </c>
    </row>
    <row r="820" spans="2:9" ht="43.2" x14ac:dyDescent="0.3">
      <c r="B820" s="339" t="s">
        <v>717</v>
      </c>
      <c r="C820" s="339" t="s">
        <v>621</v>
      </c>
      <c r="D820" s="341" t="s">
        <v>556</v>
      </c>
      <c r="E820" s="339"/>
      <c r="F820" s="340"/>
      <c r="G820" s="340" t="s">
        <v>622</v>
      </c>
      <c r="H820" s="340" t="s">
        <v>33</v>
      </c>
      <c r="I820" s="340">
        <f>+ROUND(I843,0)</f>
        <v>45000</v>
      </c>
    </row>
    <row r="821" spans="2:9" x14ac:dyDescent="0.3">
      <c r="B821" s="332" t="s">
        <v>623</v>
      </c>
      <c r="C821" s="333"/>
      <c r="D821" s="332"/>
      <c r="E821" s="333"/>
      <c r="F821" s="334"/>
      <c r="G821" s="332"/>
      <c r="H821" s="334"/>
      <c r="I821" s="334"/>
    </row>
    <row r="822" spans="2:9" x14ac:dyDescent="0.3">
      <c r="B822" s="332" t="s">
        <v>271</v>
      </c>
      <c r="C822" s="333"/>
      <c r="D822" s="332"/>
      <c r="E822" s="333" t="s">
        <v>624</v>
      </c>
      <c r="F822" s="334" t="s">
        <v>625</v>
      </c>
      <c r="G822" s="332" t="s">
        <v>626</v>
      </c>
      <c r="H822" s="334" t="s">
        <v>627</v>
      </c>
      <c r="I822" s="334"/>
    </row>
    <row r="823" spans="2:9" x14ac:dyDescent="0.3">
      <c r="B823" s="332" t="s">
        <v>701</v>
      </c>
      <c r="C823" s="333"/>
      <c r="D823" s="332"/>
      <c r="E823" s="333" t="s">
        <v>644</v>
      </c>
      <c r="F823" s="334">
        <v>1500</v>
      </c>
      <c r="G823" s="335">
        <v>2</v>
      </c>
      <c r="H823" s="334">
        <f>F823*G823</f>
        <v>3000</v>
      </c>
      <c r="I823" s="334"/>
    </row>
    <row r="824" spans="2:9" x14ac:dyDescent="0.3">
      <c r="B824" s="332"/>
      <c r="C824" s="333"/>
      <c r="D824" s="332"/>
      <c r="E824" s="333"/>
      <c r="F824" s="334"/>
      <c r="G824" s="335"/>
      <c r="H824" s="334"/>
      <c r="I824" s="334"/>
    </row>
    <row r="825" spans="2:9" x14ac:dyDescent="0.3">
      <c r="B825" s="332"/>
      <c r="C825" s="333"/>
      <c r="D825" s="332"/>
      <c r="E825" s="333"/>
      <c r="F825" s="334"/>
      <c r="G825" s="335"/>
      <c r="H825" s="334"/>
      <c r="I825" s="334"/>
    </row>
    <row r="826" spans="2:9" x14ac:dyDescent="0.3">
      <c r="B826" s="332"/>
      <c r="C826" s="333"/>
      <c r="D826" s="332"/>
      <c r="E826" s="333"/>
      <c r="F826" s="334"/>
      <c r="G826" s="332"/>
      <c r="H826" s="334" t="s">
        <v>628</v>
      </c>
      <c r="I826" s="334">
        <f>SUM(H823:H825)</f>
        <v>3000</v>
      </c>
    </row>
    <row r="827" spans="2:9" x14ac:dyDescent="0.3">
      <c r="B827" s="332" t="s">
        <v>629</v>
      </c>
      <c r="C827" s="333"/>
      <c r="D827" s="332"/>
      <c r="E827" s="333"/>
      <c r="F827" s="334"/>
      <c r="G827" s="332"/>
      <c r="H827" s="334"/>
      <c r="I827" s="334"/>
    </row>
    <row r="828" spans="2:9" x14ac:dyDescent="0.3">
      <c r="B828" s="332" t="s">
        <v>271</v>
      </c>
      <c r="C828" s="333"/>
      <c r="D828" s="332"/>
      <c r="E828" s="333" t="s">
        <v>624</v>
      </c>
      <c r="F828" s="334" t="s">
        <v>630</v>
      </c>
      <c r="G828" s="332" t="s">
        <v>631</v>
      </c>
      <c r="H828" s="334" t="s">
        <v>627</v>
      </c>
      <c r="I828" s="334"/>
    </row>
    <row r="829" spans="2:9" x14ac:dyDescent="0.3">
      <c r="B829" s="348" t="s">
        <v>718</v>
      </c>
      <c r="C829" s="333"/>
      <c r="D829" s="332"/>
      <c r="E829" s="343" t="s">
        <v>33</v>
      </c>
      <c r="F829" s="344">
        <v>27000</v>
      </c>
      <c r="G829" s="345">
        <v>1</v>
      </c>
      <c r="H829" s="344">
        <f>F829*G829</f>
        <v>27000</v>
      </c>
      <c r="I829" s="344"/>
    </row>
    <row r="830" spans="2:9" x14ac:dyDescent="0.3">
      <c r="B830" s="332"/>
      <c r="C830" s="333"/>
      <c r="D830" s="332"/>
      <c r="E830" s="333"/>
      <c r="F830" s="334"/>
      <c r="G830" s="332"/>
      <c r="H830" s="344">
        <f>F830*G830</f>
        <v>0</v>
      </c>
      <c r="I830" s="334"/>
    </row>
    <row r="831" spans="2:9" x14ac:dyDescent="0.3">
      <c r="B831" s="332"/>
      <c r="C831" s="333"/>
      <c r="D831" s="332"/>
      <c r="E831" s="333"/>
      <c r="F831" s="334"/>
      <c r="G831" s="332"/>
      <c r="H831" s="344">
        <f>F831*G831</f>
        <v>0</v>
      </c>
      <c r="I831" s="334"/>
    </row>
    <row r="832" spans="2:9" x14ac:dyDescent="0.3">
      <c r="B832" s="332"/>
      <c r="C832" s="333"/>
      <c r="D832" s="332"/>
      <c r="E832" s="333"/>
      <c r="F832" s="334"/>
      <c r="G832" s="332"/>
      <c r="H832" s="344">
        <f>F832*G832</f>
        <v>0</v>
      </c>
      <c r="I832" s="334"/>
    </row>
    <row r="833" spans="2:9" x14ac:dyDescent="0.3">
      <c r="B833" s="332"/>
      <c r="C833" s="333"/>
      <c r="D833" s="332"/>
      <c r="E833" s="333"/>
      <c r="F833" s="334"/>
      <c r="G833" s="332"/>
      <c r="H833" s="334"/>
      <c r="I833" s="334"/>
    </row>
    <row r="834" spans="2:9" x14ac:dyDescent="0.3">
      <c r="B834" s="332"/>
      <c r="C834" s="333"/>
      <c r="D834" s="332"/>
      <c r="E834" s="333"/>
      <c r="F834" s="334"/>
      <c r="G834" s="332"/>
      <c r="H834" s="334" t="s">
        <v>628</v>
      </c>
      <c r="I834" s="334">
        <f>SUM(H829:H833)</f>
        <v>27000</v>
      </c>
    </row>
    <row r="835" spans="2:9" x14ac:dyDescent="0.3">
      <c r="B835" s="332" t="s">
        <v>632</v>
      </c>
      <c r="C835" s="333"/>
      <c r="D835" s="332"/>
      <c r="E835" s="333" t="s">
        <v>624</v>
      </c>
      <c r="F835" s="334" t="s">
        <v>633</v>
      </c>
      <c r="G835" s="332" t="s">
        <v>634</v>
      </c>
      <c r="H835" s="334" t="s">
        <v>627</v>
      </c>
      <c r="I835" s="334"/>
    </row>
    <row r="836" spans="2:9" x14ac:dyDescent="0.3">
      <c r="B836" s="332"/>
      <c r="C836" s="333"/>
      <c r="D836" s="332"/>
      <c r="E836" s="332"/>
      <c r="F836" s="332"/>
      <c r="G836" s="332"/>
      <c r="H836" s="332"/>
      <c r="I836" s="332"/>
    </row>
    <row r="837" spans="2:9" x14ac:dyDescent="0.3">
      <c r="B837" s="332"/>
      <c r="C837" s="333"/>
      <c r="D837" s="332"/>
      <c r="E837" s="333"/>
      <c r="F837" s="336"/>
      <c r="G837" s="334"/>
      <c r="H837" s="334"/>
      <c r="I837" s="334"/>
    </row>
    <row r="838" spans="2:9" x14ac:dyDescent="0.3">
      <c r="B838" s="332"/>
      <c r="C838" s="333"/>
      <c r="D838" s="332"/>
      <c r="E838" s="333"/>
      <c r="F838" s="334"/>
      <c r="G838" s="332"/>
      <c r="H838" s="334" t="s">
        <v>628</v>
      </c>
      <c r="I838" s="334">
        <f>SUM(H837)</f>
        <v>0</v>
      </c>
    </row>
    <row r="839" spans="2:9" x14ac:dyDescent="0.3">
      <c r="B839" s="332" t="s">
        <v>635</v>
      </c>
      <c r="C839" s="333"/>
      <c r="D839" s="332"/>
      <c r="E839" s="333"/>
      <c r="F839" s="334"/>
      <c r="G839" s="332"/>
      <c r="H839" s="334" t="s">
        <v>627</v>
      </c>
      <c r="I839" s="334"/>
    </row>
    <row r="840" spans="2:9" x14ac:dyDescent="0.3">
      <c r="B840" s="332" t="s">
        <v>636</v>
      </c>
      <c r="C840" s="333"/>
      <c r="D840" s="332"/>
      <c r="E840" s="333" t="s">
        <v>637</v>
      </c>
      <c r="F840" s="334" t="s">
        <v>638</v>
      </c>
      <c r="G840" s="332" t="s">
        <v>626</v>
      </c>
      <c r="I840" s="334"/>
    </row>
    <row r="841" spans="2:9" ht="28.8" x14ac:dyDescent="0.3">
      <c r="B841" s="342" t="s">
        <v>702</v>
      </c>
      <c r="C841" s="333"/>
      <c r="D841" s="332"/>
      <c r="E841" s="346">
        <v>168000</v>
      </c>
      <c r="F841" s="344">
        <v>1.8</v>
      </c>
      <c r="G841" s="347">
        <v>20.160000051253405</v>
      </c>
      <c r="H841" s="344">
        <f>E841*F841/G841</f>
        <v>14999.999961865025</v>
      </c>
      <c r="I841" s="344"/>
    </row>
    <row r="842" spans="2:9" x14ac:dyDescent="0.3">
      <c r="B842" s="332"/>
      <c r="C842" s="333"/>
      <c r="D842" s="332"/>
      <c r="E842" s="333"/>
      <c r="F842" s="334"/>
      <c r="G842" s="332"/>
      <c r="H842" s="334" t="s">
        <v>628</v>
      </c>
      <c r="I842" s="334">
        <f>H841</f>
        <v>14999.999961865025</v>
      </c>
    </row>
    <row r="843" spans="2:9" x14ac:dyDescent="0.3">
      <c r="B843" s="332"/>
      <c r="C843" s="333"/>
      <c r="D843" s="332"/>
      <c r="E843" s="333"/>
      <c r="F843" s="334"/>
      <c r="G843" s="332"/>
      <c r="H843" s="330" t="s">
        <v>640</v>
      </c>
      <c r="I843" s="330">
        <f>I842+I834+I826+I838</f>
        <v>44999.999961865025</v>
      </c>
    </row>
    <row r="845" spans="2:9" ht="115.2" x14ac:dyDescent="0.3">
      <c r="B845" s="339" t="s">
        <v>719</v>
      </c>
      <c r="C845" s="339" t="s">
        <v>621</v>
      </c>
      <c r="D845" s="341" t="s">
        <v>722</v>
      </c>
      <c r="E845" s="339"/>
      <c r="F845" s="340"/>
      <c r="G845" s="340" t="s">
        <v>622</v>
      </c>
      <c r="H845" s="340" t="s">
        <v>93</v>
      </c>
      <c r="I845" s="340">
        <f>+ROUND(I869,0)</f>
        <v>45000</v>
      </c>
    </row>
    <row r="846" spans="2:9" x14ac:dyDescent="0.3">
      <c r="B846" s="332" t="s">
        <v>623</v>
      </c>
      <c r="C846" s="333"/>
      <c r="D846" s="332"/>
      <c r="E846" s="333"/>
      <c r="F846" s="334"/>
      <c r="G846" s="332"/>
      <c r="H846" s="334"/>
      <c r="I846" s="334"/>
    </row>
    <row r="847" spans="2:9" x14ac:dyDescent="0.3">
      <c r="B847" s="332" t="s">
        <v>271</v>
      </c>
      <c r="C847" s="333"/>
      <c r="D847" s="332"/>
      <c r="E847" s="333" t="s">
        <v>624</v>
      </c>
      <c r="F847" s="334" t="s">
        <v>625</v>
      </c>
      <c r="G847" s="332" t="s">
        <v>626</v>
      </c>
      <c r="H847" s="334" t="s">
        <v>627</v>
      </c>
      <c r="I847" s="334"/>
    </row>
    <row r="848" spans="2:9" x14ac:dyDescent="0.3">
      <c r="B848" s="332" t="s">
        <v>701</v>
      </c>
      <c r="C848" s="333"/>
      <c r="D848" s="332"/>
      <c r="E848" s="333" t="s">
        <v>644</v>
      </c>
      <c r="F848" s="334">
        <v>1500</v>
      </c>
      <c r="G848" s="335">
        <v>2</v>
      </c>
      <c r="H848" s="334">
        <f>F848*G848</f>
        <v>3000</v>
      </c>
      <c r="I848" s="334"/>
    </row>
    <row r="849" spans="2:9" x14ac:dyDescent="0.3">
      <c r="B849" s="332"/>
      <c r="C849" s="333"/>
      <c r="D849" s="332"/>
      <c r="E849" s="333"/>
      <c r="F849" s="334"/>
      <c r="G849" s="335"/>
      <c r="H849" s="334"/>
      <c r="I849" s="334"/>
    </row>
    <row r="850" spans="2:9" x14ac:dyDescent="0.3">
      <c r="B850" s="332"/>
      <c r="C850" s="333"/>
      <c r="D850" s="332"/>
      <c r="E850" s="333"/>
      <c r="F850" s="334"/>
      <c r="G850" s="335"/>
      <c r="H850" s="334"/>
      <c r="I850" s="334"/>
    </row>
    <row r="851" spans="2:9" x14ac:dyDescent="0.3">
      <c r="B851" s="332"/>
      <c r="C851" s="333"/>
      <c r="D851" s="332"/>
      <c r="E851" s="333"/>
      <c r="F851" s="334"/>
      <c r="G851" s="332"/>
      <c r="H851" s="334" t="s">
        <v>628</v>
      </c>
      <c r="I851" s="334">
        <f>SUM(H848:H850)</f>
        <v>3000</v>
      </c>
    </row>
    <row r="852" spans="2:9" x14ac:dyDescent="0.3">
      <c r="B852" s="332" t="s">
        <v>629</v>
      </c>
      <c r="C852" s="333"/>
      <c r="D852" s="332"/>
      <c r="E852" s="333"/>
      <c r="F852" s="334"/>
      <c r="G852" s="332"/>
      <c r="H852" s="334"/>
      <c r="I852" s="334"/>
    </row>
    <row r="853" spans="2:9" x14ac:dyDescent="0.3">
      <c r="B853" s="332" t="s">
        <v>271</v>
      </c>
      <c r="C853" s="333"/>
      <c r="D853" s="332"/>
      <c r="E853" s="333" t="s">
        <v>624</v>
      </c>
      <c r="F853" s="334" t="s">
        <v>630</v>
      </c>
      <c r="G853" s="332" t="s">
        <v>631</v>
      </c>
      <c r="H853" s="334" t="s">
        <v>627</v>
      </c>
      <c r="I853" s="334"/>
    </row>
    <row r="854" spans="2:9" x14ac:dyDescent="0.3">
      <c r="B854" s="332" t="s">
        <v>723</v>
      </c>
      <c r="C854" s="333"/>
      <c r="D854" s="332"/>
      <c r="E854" s="333" t="s">
        <v>93</v>
      </c>
      <c r="F854" s="334">
        <v>10500</v>
      </c>
      <c r="G854" s="332">
        <v>1.1000000000000001</v>
      </c>
      <c r="H854" s="344">
        <f>F854*G854</f>
        <v>11550.000000000002</v>
      </c>
      <c r="I854" s="344"/>
    </row>
    <row r="855" spans="2:9" x14ac:dyDescent="0.3">
      <c r="B855" s="332" t="s">
        <v>720</v>
      </c>
      <c r="C855" s="333"/>
      <c r="D855" s="332"/>
      <c r="E855" s="333" t="s">
        <v>93</v>
      </c>
      <c r="F855" s="334">
        <v>2500</v>
      </c>
      <c r="G855" s="332">
        <v>2.2000000000000002</v>
      </c>
      <c r="H855" s="344">
        <f>F855*G855</f>
        <v>5500</v>
      </c>
      <c r="I855" s="334"/>
    </row>
    <row r="856" spans="2:9" x14ac:dyDescent="0.3">
      <c r="B856" s="332" t="s">
        <v>721</v>
      </c>
      <c r="C856" s="333"/>
      <c r="D856" s="332"/>
      <c r="E856" s="333" t="s">
        <v>93</v>
      </c>
      <c r="F856" s="334">
        <v>2500</v>
      </c>
      <c r="G856" s="332">
        <v>1.1000000000000001</v>
      </c>
      <c r="H856" s="344">
        <f>F856*G856</f>
        <v>2750</v>
      </c>
      <c r="I856" s="334"/>
    </row>
    <row r="857" spans="2:9" x14ac:dyDescent="0.3">
      <c r="B857" s="332" t="s">
        <v>713</v>
      </c>
      <c r="C857" s="333"/>
      <c r="D857" s="332"/>
      <c r="E857" s="333" t="s">
        <v>33</v>
      </c>
      <c r="F857" s="334">
        <v>9900</v>
      </c>
      <c r="G857" s="332">
        <v>0.05</v>
      </c>
      <c r="H857" s="344">
        <f>F857*G857</f>
        <v>495</v>
      </c>
      <c r="I857" s="334"/>
    </row>
    <row r="858" spans="2:9" x14ac:dyDescent="0.3">
      <c r="B858" s="332"/>
      <c r="C858" s="333"/>
      <c r="D858" s="332"/>
      <c r="E858" s="333"/>
      <c r="F858" s="334"/>
      <c r="G858" s="332"/>
      <c r="H858" s="344">
        <f>F858*G858</f>
        <v>0</v>
      </c>
      <c r="I858" s="334"/>
    </row>
    <row r="859" spans="2:9" x14ac:dyDescent="0.3">
      <c r="B859" s="332"/>
      <c r="C859" s="333"/>
      <c r="D859" s="332"/>
      <c r="E859" s="333"/>
      <c r="F859" s="334"/>
      <c r="G859" s="332"/>
      <c r="H859" s="334"/>
      <c r="I859" s="334"/>
    </row>
    <row r="860" spans="2:9" x14ac:dyDescent="0.3">
      <c r="B860" s="332"/>
      <c r="C860" s="333"/>
      <c r="D860" s="332"/>
      <c r="E860" s="333"/>
      <c r="F860" s="334"/>
      <c r="G860" s="332"/>
      <c r="H860" s="334" t="s">
        <v>628</v>
      </c>
      <c r="I860" s="334">
        <f>SUM(H854:H859)</f>
        <v>20295</v>
      </c>
    </row>
    <row r="861" spans="2:9" x14ac:dyDescent="0.3">
      <c r="B861" s="332" t="s">
        <v>632</v>
      </c>
      <c r="C861" s="333"/>
      <c r="D861" s="332"/>
      <c r="E861" s="333" t="s">
        <v>624</v>
      </c>
      <c r="F861" s="334" t="s">
        <v>633</v>
      </c>
      <c r="G861" s="332" t="s">
        <v>634</v>
      </c>
      <c r="H861" s="334" t="s">
        <v>627</v>
      </c>
      <c r="I861" s="334"/>
    </row>
    <row r="862" spans="2:9" x14ac:dyDescent="0.3">
      <c r="B862" s="332"/>
      <c r="C862" s="333"/>
      <c r="D862" s="332"/>
      <c r="E862" s="332"/>
      <c r="F862" s="332"/>
      <c r="G862" s="332"/>
      <c r="H862" s="332"/>
      <c r="I862" s="332"/>
    </row>
    <row r="863" spans="2:9" x14ac:dyDescent="0.3">
      <c r="B863" s="332"/>
      <c r="C863" s="333"/>
      <c r="D863" s="332"/>
      <c r="E863" s="333"/>
      <c r="F863" s="336"/>
      <c r="G863" s="334"/>
      <c r="H863" s="334"/>
      <c r="I863" s="334"/>
    </row>
    <row r="864" spans="2:9" x14ac:dyDescent="0.3">
      <c r="B864" s="332"/>
      <c r="C864" s="333"/>
      <c r="D864" s="332"/>
      <c r="E864" s="333"/>
      <c r="F864" s="334"/>
      <c r="G864" s="332"/>
      <c r="H864" s="334" t="s">
        <v>628</v>
      </c>
      <c r="I864" s="334">
        <f>SUM(H863)</f>
        <v>0</v>
      </c>
    </row>
    <row r="865" spans="2:9" x14ac:dyDescent="0.3">
      <c r="B865" s="332" t="s">
        <v>635</v>
      </c>
      <c r="C865" s="333"/>
      <c r="D865" s="332"/>
      <c r="E865" s="333"/>
      <c r="F865" s="334"/>
      <c r="G865" s="332"/>
      <c r="H865" s="334" t="s">
        <v>627</v>
      </c>
      <c r="I865" s="334"/>
    </row>
    <row r="866" spans="2:9" x14ac:dyDescent="0.3">
      <c r="B866" s="332" t="s">
        <v>636</v>
      </c>
      <c r="C866" s="333"/>
      <c r="D866" s="332"/>
      <c r="E866" s="333" t="s">
        <v>637</v>
      </c>
      <c r="F866" s="334" t="s">
        <v>638</v>
      </c>
      <c r="G866" s="332" t="s">
        <v>626</v>
      </c>
      <c r="I866" s="334"/>
    </row>
    <row r="867" spans="2:9" ht="28.8" x14ac:dyDescent="0.3">
      <c r="B867" s="342" t="s">
        <v>702</v>
      </c>
      <c r="C867" s="333"/>
      <c r="D867" s="332"/>
      <c r="E867" s="346">
        <v>168000</v>
      </c>
      <c r="F867" s="344">
        <v>1.8</v>
      </c>
      <c r="G867" s="347">
        <v>13.932273669712291</v>
      </c>
      <c r="H867" s="344">
        <f>E867*F867/G867</f>
        <v>21704.999999920667</v>
      </c>
      <c r="I867" s="344"/>
    </row>
    <row r="868" spans="2:9" x14ac:dyDescent="0.3">
      <c r="B868" s="332"/>
      <c r="C868" s="333"/>
      <c r="D868" s="332"/>
      <c r="E868" s="333"/>
      <c r="F868" s="334"/>
      <c r="G868" s="332"/>
      <c r="H868" s="334" t="s">
        <v>628</v>
      </c>
      <c r="I868" s="334">
        <f>H867</f>
        <v>21704.999999920667</v>
      </c>
    </row>
    <row r="869" spans="2:9" x14ac:dyDescent="0.3">
      <c r="B869" s="332"/>
      <c r="C869" s="333"/>
      <c r="D869" s="332"/>
      <c r="E869" s="333"/>
      <c r="F869" s="334"/>
      <c r="G869" s="332"/>
      <c r="H869" s="330" t="s">
        <v>640</v>
      </c>
      <c r="I869" s="330">
        <f>I868+I860+I851+I864</f>
        <v>44999.999999920663</v>
      </c>
    </row>
    <row r="871" spans="2:9" ht="129.6" x14ac:dyDescent="0.3">
      <c r="B871" s="339" t="s">
        <v>724</v>
      </c>
      <c r="C871" s="339" t="s">
        <v>621</v>
      </c>
      <c r="D871" s="341" t="s">
        <v>555</v>
      </c>
      <c r="E871" s="339"/>
      <c r="F871" s="340"/>
      <c r="G871" s="340" t="s">
        <v>622</v>
      </c>
      <c r="H871" s="340" t="s">
        <v>102</v>
      </c>
      <c r="I871" s="340">
        <f>+ROUND(I894,0)</f>
        <v>100000</v>
      </c>
    </row>
    <row r="872" spans="2:9" x14ac:dyDescent="0.3">
      <c r="B872" s="332" t="s">
        <v>623</v>
      </c>
      <c r="C872" s="333"/>
      <c r="D872" s="332"/>
      <c r="E872" s="333"/>
      <c r="F872" s="334"/>
      <c r="G872" s="332"/>
      <c r="H872" s="334"/>
      <c r="I872" s="334"/>
    </row>
    <row r="873" spans="2:9" x14ac:dyDescent="0.3">
      <c r="B873" s="332" t="s">
        <v>271</v>
      </c>
      <c r="C873" s="333"/>
      <c r="D873" s="332"/>
      <c r="E873" s="333" t="s">
        <v>624</v>
      </c>
      <c r="F873" s="334" t="s">
        <v>625</v>
      </c>
      <c r="G873" s="332" t="s">
        <v>626</v>
      </c>
      <c r="H873" s="334" t="s">
        <v>627</v>
      </c>
      <c r="I873" s="334"/>
    </row>
    <row r="874" spans="2:9" x14ac:dyDescent="0.3">
      <c r="B874" s="332" t="s">
        <v>701</v>
      </c>
      <c r="C874" s="333"/>
      <c r="D874" s="332"/>
      <c r="E874" s="333" t="s">
        <v>644</v>
      </c>
      <c r="F874" s="334">
        <v>1500</v>
      </c>
      <c r="G874" s="335">
        <v>2</v>
      </c>
      <c r="H874" s="334">
        <f>F874*G874</f>
        <v>3000</v>
      </c>
      <c r="I874" s="334"/>
    </row>
    <row r="875" spans="2:9" x14ac:dyDescent="0.3">
      <c r="B875" s="332"/>
      <c r="C875" s="333"/>
      <c r="D875" s="332"/>
      <c r="E875" s="333"/>
      <c r="F875" s="334"/>
      <c r="G875" s="335"/>
      <c r="H875" s="334"/>
      <c r="I875" s="334"/>
    </row>
    <row r="876" spans="2:9" x14ac:dyDescent="0.3">
      <c r="B876" s="332"/>
      <c r="C876" s="333"/>
      <c r="D876" s="332"/>
      <c r="E876" s="333"/>
      <c r="F876" s="334"/>
      <c r="G876" s="335"/>
      <c r="H876" s="334"/>
      <c r="I876" s="334"/>
    </row>
    <row r="877" spans="2:9" x14ac:dyDescent="0.3">
      <c r="B877" s="332"/>
      <c r="C877" s="333"/>
      <c r="D877" s="332"/>
      <c r="E877" s="333"/>
      <c r="F877" s="334"/>
      <c r="G877" s="332"/>
      <c r="H877" s="334" t="s">
        <v>628</v>
      </c>
      <c r="I877" s="334">
        <f>SUM(H874:H876)</f>
        <v>3000</v>
      </c>
    </row>
    <row r="878" spans="2:9" x14ac:dyDescent="0.3">
      <c r="B878" s="332" t="s">
        <v>629</v>
      </c>
      <c r="C878" s="333"/>
      <c r="D878" s="332"/>
      <c r="E878" s="333"/>
      <c r="F878" s="334"/>
      <c r="G878" s="332"/>
      <c r="H878" s="334"/>
      <c r="I878" s="334"/>
    </row>
    <row r="879" spans="2:9" x14ac:dyDescent="0.3">
      <c r="B879" s="332" t="s">
        <v>271</v>
      </c>
      <c r="C879" s="333"/>
      <c r="D879" s="332"/>
      <c r="E879" s="333" t="s">
        <v>624</v>
      </c>
      <c r="F879" s="334" t="s">
        <v>630</v>
      </c>
      <c r="G879" s="332" t="s">
        <v>631</v>
      </c>
      <c r="H879" s="334" t="s">
        <v>627</v>
      </c>
      <c r="I879" s="334"/>
    </row>
    <row r="880" spans="2:9" x14ac:dyDescent="0.3">
      <c r="B880" s="332" t="s">
        <v>723</v>
      </c>
      <c r="C880" s="333"/>
      <c r="D880" s="332"/>
      <c r="E880" s="333" t="s">
        <v>93</v>
      </c>
      <c r="F880" s="334">
        <v>10500</v>
      </c>
      <c r="G880" s="332">
        <v>2</v>
      </c>
      <c r="H880" s="344">
        <f>F880*G880</f>
        <v>21000</v>
      </c>
      <c r="I880" s="344"/>
    </row>
    <row r="881" spans="2:9" x14ac:dyDescent="0.3">
      <c r="B881" s="332" t="s">
        <v>721</v>
      </c>
      <c r="C881" s="333"/>
      <c r="D881" s="332"/>
      <c r="E881" s="333" t="s">
        <v>93</v>
      </c>
      <c r="F881" s="334">
        <v>2500</v>
      </c>
      <c r="G881" s="332">
        <v>5</v>
      </c>
      <c r="H881" s="344">
        <f>F881*G881</f>
        <v>12500</v>
      </c>
      <c r="I881" s="334"/>
    </row>
    <row r="882" spans="2:9" x14ac:dyDescent="0.3">
      <c r="B882" s="332" t="s">
        <v>713</v>
      </c>
      <c r="C882" s="333"/>
      <c r="D882" s="332"/>
      <c r="E882" s="333" t="s">
        <v>33</v>
      </c>
      <c r="F882" s="334">
        <v>9900</v>
      </c>
      <c r="G882" s="332">
        <v>1</v>
      </c>
      <c r="H882" s="344">
        <f>F882*G882</f>
        <v>9900</v>
      </c>
      <c r="I882" s="334"/>
    </row>
    <row r="883" spans="2:9" x14ac:dyDescent="0.3">
      <c r="B883" s="332"/>
      <c r="C883" s="333"/>
      <c r="D883" s="332"/>
      <c r="E883" s="333"/>
      <c r="F883" s="334"/>
      <c r="G883" s="332"/>
      <c r="H883" s="344"/>
      <c r="I883" s="334"/>
    </row>
    <row r="884" spans="2:9" x14ac:dyDescent="0.3">
      <c r="B884" s="332"/>
      <c r="C884" s="333"/>
      <c r="D884" s="332"/>
      <c r="E884" s="333"/>
      <c r="F884" s="334"/>
      <c r="G884" s="332"/>
      <c r="H884" s="334"/>
      <c r="I884" s="334"/>
    </row>
    <row r="885" spans="2:9" x14ac:dyDescent="0.3">
      <c r="B885" s="332"/>
      <c r="C885" s="333"/>
      <c r="D885" s="332"/>
      <c r="E885" s="333"/>
      <c r="F885" s="334"/>
      <c r="G885" s="332"/>
      <c r="H885" s="334" t="s">
        <v>628</v>
      </c>
      <c r="I885" s="334">
        <f>SUM(H880:H884)</f>
        <v>43400</v>
      </c>
    </row>
    <row r="886" spans="2:9" x14ac:dyDescent="0.3">
      <c r="B886" s="332" t="s">
        <v>632</v>
      </c>
      <c r="C886" s="333"/>
      <c r="D886" s="332"/>
      <c r="E886" s="333" t="s">
        <v>624</v>
      </c>
      <c r="F886" s="334" t="s">
        <v>633</v>
      </c>
      <c r="G886" s="332" t="s">
        <v>634</v>
      </c>
      <c r="H886" s="334" t="s">
        <v>627</v>
      </c>
      <c r="I886" s="334"/>
    </row>
    <row r="887" spans="2:9" x14ac:dyDescent="0.3">
      <c r="B887" s="332"/>
      <c r="C887" s="333"/>
      <c r="D887" s="332"/>
      <c r="E887" s="332"/>
      <c r="F887" s="332"/>
      <c r="G887" s="332"/>
      <c r="H887" s="332"/>
      <c r="I887" s="332"/>
    </row>
    <row r="888" spans="2:9" x14ac:dyDescent="0.3">
      <c r="B888" s="332"/>
      <c r="C888" s="333"/>
      <c r="D888" s="332"/>
      <c r="E888" s="333"/>
      <c r="F888" s="336"/>
      <c r="G888" s="334"/>
      <c r="H888" s="334"/>
      <c r="I888" s="334"/>
    </row>
    <row r="889" spans="2:9" x14ac:dyDescent="0.3">
      <c r="B889" s="332"/>
      <c r="C889" s="333"/>
      <c r="D889" s="332"/>
      <c r="E889" s="333"/>
      <c r="F889" s="334"/>
      <c r="G889" s="332"/>
      <c r="H889" s="334" t="s">
        <v>628</v>
      </c>
      <c r="I889" s="334">
        <f>SUM(H888)</f>
        <v>0</v>
      </c>
    </row>
    <row r="890" spans="2:9" x14ac:dyDescent="0.3">
      <c r="B890" s="332" t="s">
        <v>635</v>
      </c>
      <c r="C890" s="333"/>
      <c r="D890" s="332"/>
      <c r="E890" s="333"/>
      <c r="F890" s="334"/>
      <c r="G890" s="332"/>
      <c r="H890" s="334" t="s">
        <v>627</v>
      </c>
      <c r="I890" s="334"/>
    </row>
    <row r="891" spans="2:9" x14ac:dyDescent="0.3">
      <c r="B891" s="332" t="s">
        <v>636</v>
      </c>
      <c r="C891" s="333"/>
      <c r="D891" s="332"/>
      <c r="E891" s="333" t="s">
        <v>637</v>
      </c>
      <c r="F891" s="334" t="s">
        <v>638</v>
      </c>
      <c r="G891" s="332" t="s">
        <v>626</v>
      </c>
      <c r="I891" s="334"/>
    </row>
    <row r="892" spans="2:9" ht="28.8" x14ac:dyDescent="0.3">
      <c r="B892" s="342" t="s">
        <v>702</v>
      </c>
      <c r="C892" s="333"/>
      <c r="D892" s="332"/>
      <c r="E892" s="346">
        <v>168000</v>
      </c>
      <c r="F892" s="344">
        <v>1.8</v>
      </c>
      <c r="G892" s="347">
        <v>5.6417910447686968</v>
      </c>
      <c r="H892" s="344">
        <f>E892*F892/G892</f>
        <v>53600.000000070519</v>
      </c>
      <c r="I892" s="344"/>
    </row>
    <row r="893" spans="2:9" x14ac:dyDescent="0.3">
      <c r="B893" s="332"/>
      <c r="C893" s="333"/>
      <c r="D893" s="332"/>
      <c r="E893" s="333"/>
      <c r="F893" s="334"/>
      <c r="G893" s="332"/>
      <c r="H893" s="334" t="s">
        <v>628</v>
      </c>
      <c r="I893" s="334">
        <f>H892</f>
        <v>53600.000000070519</v>
      </c>
    </row>
    <row r="894" spans="2:9" x14ac:dyDescent="0.3">
      <c r="B894" s="332"/>
      <c r="C894" s="333"/>
      <c r="D894" s="332"/>
      <c r="E894" s="333"/>
      <c r="F894" s="334"/>
      <c r="G894" s="332"/>
      <c r="H894" s="330" t="s">
        <v>640</v>
      </c>
      <c r="I894" s="330">
        <f>I893+I885+I877+I889</f>
        <v>100000.00000007052</v>
      </c>
    </row>
    <row r="896" spans="2:9" ht="115.2" x14ac:dyDescent="0.3">
      <c r="B896" s="339" t="s">
        <v>725</v>
      </c>
      <c r="C896" s="339" t="s">
        <v>621</v>
      </c>
      <c r="D896" s="341" t="s">
        <v>554</v>
      </c>
      <c r="E896" s="339"/>
      <c r="F896" s="340"/>
      <c r="G896" s="340" t="s">
        <v>622</v>
      </c>
      <c r="H896" s="340" t="s">
        <v>102</v>
      </c>
      <c r="I896" s="340">
        <f>+ROUND(I919,0)</f>
        <v>5000000</v>
      </c>
    </row>
    <row r="897" spans="2:9" x14ac:dyDescent="0.3">
      <c r="B897" s="332" t="s">
        <v>623</v>
      </c>
      <c r="C897" s="333"/>
      <c r="D897" s="332"/>
      <c r="E897" s="333"/>
      <c r="F897" s="334"/>
      <c r="G897" s="332"/>
      <c r="H897" s="334"/>
      <c r="I897" s="334"/>
    </row>
    <row r="898" spans="2:9" x14ac:dyDescent="0.3">
      <c r="B898" s="332" t="s">
        <v>271</v>
      </c>
      <c r="C898" s="333"/>
      <c r="D898" s="332"/>
      <c r="E898" s="333" t="s">
        <v>624</v>
      </c>
      <c r="F898" s="334" t="s">
        <v>625</v>
      </c>
      <c r="G898" s="332" t="s">
        <v>626</v>
      </c>
      <c r="H898" s="334" t="s">
        <v>627</v>
      </c>
      <c r="I898" s="334"/>
    </row>
    <row r="899" spans="2:9" x14ac:dyDescent="0.3">
      <c r="B899" s="332" t="s">
        <v>701</v>
      </c>
      <c r="C899" s="333"/>
      <c r="D899" s="332"/>
      <c r="E899" s="333" t="s">
        <v>644</v>
      </c>
      <c r="F899" s="334">
        <v>1500</v>
      </c>
      <c r="G899" s="335">
        <v>2</v>
      </c>
      <c r="H899" s="334">
        <f>F899*G899</f>
        <v>3000</v>
      </c>
      <c r="I899" s="334"/>
    </row>
    <row r="900" spans="2:9" x14ac:dyDescent="0.3">
      <c r="B900" s="332"/>
      <c r="C900" s="333"/>
      <c r="D900" s="332"/>
      <c r="E900" s="333"/>
      <c r="F900" s="334"/>
      <c r="G900" s="335"/>
      <c r="H900" s="334"/>
      <c r="I900" s="334"/>
    </row>
    <row r="901" spans="2:9" x14ac:dyDescent="0.3">
      <c r="B901" s="332"/>
      <c r="C901" s="333"/>
      <c r="D901" s="332"/>
      <c r="E901" s="333"/>
      <c r="F901" s="334"/>
      <c r="G901" s="335"/>
      <c r="H901" s="334"/>
      <c r="I901" s="334"/>
    </row>
    <row r="902" spans="2:9" x14ac:dyDescent="0.3">
      <c r="B902" s="332"/>
      <c r="C902" s="333"/>
      <c r="D902" s="332"/>
      <c r="E902" s="333"/>
      <c r="F902" s="334"/>
      <c r="G902" s="332"/>
      <c r="H902" s="334" t="s">
        <v>628</v>
      </c>
      <c r="I902" s="334">
        <f>SUM(H899:H901)</f>
        <v>3000</v>
      </c>
    </row>
    <row r="903" spans="2:9" x14ac:dyDescent="0.3">
      <c r="B903" s="332" t="s">
        <v>629</v>
      </c>
      <c r="C903" s="333"/>
      <c r="D903" s="332"/>
      <c r="E903" s="333"/>
      <c r="F903" s="334"/>
      <c r="G903" s="332"/>
      <c r="H903" s="334"/>
      <c r="I903" s="334"/>
    </row>
    <row r="904" spans="2:9" x14ac:dyDescent="0.3">
      <c r="B904" s="332" t="s">
        <v>271</v>
      </c>
      <c r="C904" s="333"/>
      <c r="D904" s="332"/>
      <c r="E904" s="333" t="s">
        <v>624</v>
      </c>
      <c r="F904" s="334" t="s">
        <v>630</v>
      </c>
      <c r="G904" s="332" t="s">
        <v>631</v>
      </c>
      <c r="H904" s="334" t="s">
        <v>627</v>
      </c>
      <c r="I904" s="334"/>
    </row>
    <row r="905" spans="2:9" x14ac:dyDescent="0.3">
      <c r="B905" s="332" t="s">
        <v>723</v>
      </c>
      <c r="C905" s="333"/>
      <c r="D905" s="332"/>
      <c r="E905" s="333" t="s">
        <v>93</v>
      </c>
      <c r="F905" s="334">
        <v>10500</v>
      </c>
      <c r="G905" s="332">
        <v>20</v>
      </c>
      <c r="H905" s="344">
        <f>F905*G905</f>
        <v>210000</v>
      </c>
      <c r="I905" s="344"/>
    </row>
    <row r="906" spans="2:9" x14ac:dyDescent="0.3">
      <c r="B906" s="332" t="s">
        <v>720</v>
      </c>
      <c r="C906" s="333"/>
      <c r="D906" s="332"/>
      <c r="E906" s="333" t="s">
        <v>93</v>
      </c>
      <c r="F906" s="334">
        <v>2500</v>
      </c>
      <c r="G906" s="332">
        <v>75</v>
      </c>
      <c r="H906" s="344">
        <f>F906*G906</f>
        <v>187500</v>
      </c>
      <c r="I906" s="334"/>
    </row>
    <row r="907" spans="2:9" x14ac:dyDescent="0.3">
      <c r="B907" s="332"/>
      <c r="C907" s="333"/>
      <c r="D907" s="332"/>
      <c r="E907" s="333"/>
      <c r="F907" s="334"/>
      <c r="G907" s="332"/>
      <c r="H907" s="344"/>
      <c r="I907" s="334"/>
    </row>
    <row r="908" spans="2:9" x14ac:dyDescent="0.3">
      <c r="B908" s="332"/>
      <c r="C908" s="333"/>
      <c r="D908" s="332"/>
      <c r="E908" s="333"/>
      <c r="F908" s="334"/>
      <c r="G908" s="332"/>
      <c r="H908" s="344"/>
      <c r="I908" s="334"/>
    </row>
    <row r="909" spans="2:9" x14ac:dyDescent="0.3">
      <c r="B909" s="332"/>
      <c r="C909" s="333"/>
      <c r="D909" s="332"/>
      <c r="E909" s="333"/>
      <c r="F909" s="334"/>
      <c r="G909" s="332"/>
      <c r="H909" s="334"/>
      <c r="I909" s="334"/>
    </row>
    <row r="910" spans="2:9" x14ac:dyDescent="0.3">
      <c r="B910" s="332"/>
      <c r="C910" s="333"/>
      <c r="D910" s="332"/>
      <c r="E910" s="333"/>
      <c r="F910" s="334"/>
      <c r="G910" s="332"/>
      <c r="H910" s="334" t="s">
        <v>628</v>
      </c>
      <c r="I910" s="334">
        <f>SUM(H905:H909)</f>
        <v>397500</v>
      </c>
    </row>
    <row r="911" spans="2:9" x14ac:dyDescent="0.3">
      <c r="B911" s="332" t="s">
        <v>632</v>
      </c>
      <c r="C911" s="333"/>
      <c r="D911" s="332"/>
      <c r="E911" s="333" t="s">
        <v>624</v>
      </c>
      <c r="F911" s="334" t="s">
        <v>633</v>
      </c>
      <c r="G911" s="332" t="s">
        <v>634</v>
      </c>
      <c r="H911" s="334" t="s">
        <v>627</v>
      </c>
      <c r="I911" s="334"/>
    </row>
    <row r="912" spans="2:9" x14ac:dyDescent="0.3">
      <c r="B912" s="332"/>
      <c r="C912" s="333"/>
      <c r="D912" s="332"/>
      <c r="E912" s="332"/>
      <c r="F912" s="332"/>
      <c r="G912" s="332"/>
      <c r="H912" s="332"/>
      <c r="I912" s="332"/>
    </row>
    <row r="913" spans="2:9" x14ac:dyDescent="0.3">
      <c r="B913" s="332"/>
      <c r="C913" s="333"/>
      <c r="D913" s="332"/>
      <c r="E913" s="333"/>
      <c r="F913" s="336"/>
      <c r="G913" s="334"/>
      <c r="H913" s="334"/>
      <c r="I913" s="334"/>
    </row>
    <row r="914" spans="2:9" x14ac:dyDescent="0.3">
      <c r="B914" s="332"/>
      <c r="C914" s="333"/>
      <c r="D914" s="332"/>
      <c r="E914" s="333"/>
      <c r="F914" s="334"/>
      <c r="G914" s="332"/>
      <c r="H914" s="334" t="s">
        <v>628</v>
      </c>
      <c r="I914" s="334">
        <f>SUM(H913)</f>
        <v>0</v>
      </c>
    </row>
    <row r="915" spans="2:9" x14ac:dyDescent="0.3">
      <c r="B915" s="332" t="s">
        <v>635</v>
      </c>
      <c r="C915" s="333"/>
      <c r="D915" s="332"/>
      <c r="E915" s="333"/>
      <c r="F915" s="334"/>
      <c r="G915" s="332"/>
      <c r="H915" s="334" t="s">
        <v>627</v>
      </c>
      <c r="I915" s="334"/>
    </row>
    <row r="916" spans="2:9" x14ac:dyDescent="0.3">
      <c r="B916" s="332" t="s">
        <v>636</v>
      </c>
      <c r="C916" s="333"/>
      <c r="D916" s="332"/>
      <c r="E916" s="333" t="s">
        <v>637</v>
      </c>
      <c r="F916" s="334" t="s">
        <v>638</v>
      </c>
      <c r="G916" s="332" t="s">
        <v>626</v>
      </c>
      <c r="I916" s="334"/>
    </row>
    <row r="917" spans="2:9" ht="28.8" x14ac:dyDescent="0.3">
      <c r="B917" s="342" t="s">
        <v>702</v>
      </c>
      <c r="C917" s="333"/>
      <c r="D917" s="332"/>
      <c r="E917" s="346">
        <v>168000</v>
      </c>
      <c r="F917" s="344">
        <v>1.8</v>
      </c>
      <c r="G917" s="345">
        <v>6.5746276769214018E-2</v>
      </c>
      <c r="H917" s="344">
        <f>E917*F917/G917</f>
        <v>4599500.0000000019</v>
      </c>
      <c r="I917" s="344"/>
    </row>
    <row r="918" spans="2:9" x14ac:dyDescent="0.3">
      <c r="B918" s="332"/>
      <c r="C918" s="333"/>
      <c r="D918" s="332"/>
      <c r="E918" s="333"/>
      <c r="F918" s="334"/>
      <c r="G918" s="332"/>
      <c r="H918" s="334" t="s">
        <v>628</v>
      </c>
      <c r="I918" s="334">
        <f>H917</f>
        <v>4599500.0000000019</v>
      </c>
    </row>
    <row r="919" spans="2:9" x14ac:dyDescent="0.3">
      <c r="B919" s="332"/>
      <c r="C919" s="333"/>
      <c r="D919" s="332"/>
      <c r="E919" s="333"/>
      <c r="F919" s="334"/>
      <c r="G919" s="332"/>
      <c r="H919" s="330" t="s">
        <v>640</v>
      </c>
      <c r="I919" s="330">
        <f>I918+I910+I902+I914</f>
        <v>5000000.0000000019</v>
      </c>
    </row>
    <row r="921" spans="2:9" ht="100.8" x14ac:dyDescent="0.3">
      <c r="B921" s="339" t="s">
        <v>726</v>
      </c>
      <c r="C921" s="339" t="s">
        <v>621</v>
      </c>
      <c r="D921" s="341" t="s">
        <v>538</v>
      </c>
      <c r="E921" s="339"/>
      <c r="F921" s="340"/>
      <c r="G921" s="340" t="s">
        <v>622</v>
      </c>
      <c r="H921" s="340" t="s">
        <v>102</v>
      </c>
      <c r="I921" s="340">
        <f>+ROUND(I944,0)</f>
        <v>100000</v>
      </c>
    </row>
    <row r="922" spans="2:9" x14ac:dyDescent="0.3">
      <c r="B922" s="332" t="s">
        <v>623</v>
      </c>
      <c r="C922" s="333"/>
      <c r="D922" s="332"/>
      <c r="E922" s="333"/>
      <c r="F922" s="334"/>
      <c r="G922" s="332"/>
      <c r="H922" s="334"/>
      <c r="I922" s="334"/>
    </row>
    <row r="923" spans="2:9" x14ac:dyDescent="0.3">
      <c r="B923" s="332" t="s">
        <v>271</v>
      </c>
      <c r="C923" s="333"/>
      <c r="D923" s="332"/>
      <c r="E923" s="333" t="s">
        <v>624</v>
      </c>
      <c r="F923" s="334" t="s">
        <v>625</v>
      </c>
      <c r="G923" s="332" t="s">
        <v>626</v>
      </c>
      <c r="H923" s="334" t="s">
        <v>627</v>
      </c>
      <c r="I923" s="334"/>
    </row>
    <row r="924" spans="2:9" x14ac:dyDescent="0.3">
      <c r="B924" s="332" t="s">
        <v>701</v>
      </c>
      <c r="C924" s="333"/>
      <c r="D924" s="332"/>
      <c r="E924" s="333" t="s">
        <v>644</v>
      </c>
      <c r="F924" s="334">
        <v>1500</v>
      </c>
      <c r="G924" s="335">
        <v>2</v>
      </c>
      <c r="H924" s="334">
        <f>F924*G924</f>
        <v>3000</v>
      </c>
      <c r="I924" s="334"/>
    </row>
    <row r="925" spans="2:9" x14ac:dyDescent="0.3">
      <c r="B925" s="332"/>
      <c r="C925" s="333"/>
      <c r="D925" s="332"/>
      <c r="E925" s="333"/>
      <c r="F925" s="334"/>
      <c r="G925" s="335"/>
      <c r="H925" s="334"/>
      <c r="I925" s="334"/>
    </row>
    <row r="926" spans="2:9" x14ac:dyDescent="0.3">
      <c r="B926" s="332"/>
      <c r="C926" s="333"/>
      <c r="D926" s="332"/>
      <c r="E926" s="333"/>
      <c r="F926" s="334"/>
      <c r="G926" s="335"/>
      <c r="H926" s="334"/>
      <c r="I926" s="334"/>
    </row>
    <row r="927" spans="2:9" x14ac:dyDescent="0.3">
      <c r="B927" s="332"/>
      <c r="C927" s="333"/>
      <c r="D927" s="332"/>
      <c r="E927" s="333"/>
      <c r="F927" s="334"/>
      <c r="G927" s="332"/>
      <c r="H927" s="334" t="s">
        <v>628</v>
      </c>
      <c r="I927" s="334">
        <f>SUM(H924:H926)</f>
        <v>3000</v>
      </c>
    </row>
    <row r="928" spans="2:9" x14ac:dyDescent="0.3">
      <c r="B928" s="332" t="s">
        <v>629</v>
      </c>
      <c r="C928" s="333"/>
      <c r="D928" s="332"/>
      <c r="E928" s="333"/>
      <c r="F928" s="334"/>
      <c r="G928" s="332"/>
      <c r="H928" s="334"/>
      <c r="I928" s="334"/>
    </row>
    <row r="929" spans="2:9" x14ac:dyDescent="0.3">
      <c r="B929" s="332" t="s">
        <v>271</v>
      </c>
      <c r="C929" s="333"/>
      <c r="D929" s="332"/>
      <c r="E929" s="333" t="s">
        <v>624</v>
      </c>
      <c r="F929" s="334" t="s">
        <v>630</v>
      </c>
      <c r="G929" s="332" t="s">
        <v>631</v>
      </c>
      <c r="H929" s="334" t="s">
        <v>627</v>
      </c>
      <c r="I929" s="334"/>
    </row>
    <row r="930" spans="2:9" x14ac:dyDescent="0.3">
      <c r="B930" s="332"/>
      <c r="C930" s="333"/>
      <c r="D930" s="332"/>
      <c r="E930" s="333"/>
      <c r="F930" s="334"/>
      <c r="G930" s="332"/>
      <c r="H930" s="344"/>
      <c r="I930" s="344"/>
    </row>
    <row r="931" spans="2:9" x14ac:dyDescent="0.3">
      <c r="B931" s="332"/>
      <c r="C931" s="333"/>
      <c r="D931" s="332"/>
      <c r="E931" s="333"/>
      <c r="F931" s="334"/>
      <c r="G931" s="332"/>
      <c r="H931" s="344"/>
      <c r="I931" s="334"/>
    </row>
    <row r="932" spans="2:9" x14ac:dyDescent="0.3">
      <c r="B932" s="332"/>
      <c r="C932" s="333"/>
      <c r="D932" s="332"/>
      <c r="E932" s="333"/>
      <c r="F932" s="334"/>
      <c r="G932" s="332"/>
      <c r="H932" s="344"/>
      <c r="I932" s="334"/>
    </row>
    <row r="933" spans="2:9" x14ac:dyDescent="0.3">
      <c r="B933" s="332"/>
      <c r="C933" s="333"/>
      <c r="D933" s="332"/>
      <c r="E933" s="333"/>
      <c r="F933" s="334"/>
      <c r="G933" s="332"/>
      <c r="H933" s="344"/>
      <c r="I933" s="334"/>
    </row>
    <row r="934" spans="2:9" x14ac:dyDescent="0.3">
      <c r="B934" s="332"/>
      <c r="C934" s="333"/>
      <c r="D934" s="332"/>
      <c r="E934" s="333"/>
      <c r="F934" s="334"/>
      <c r="G934" s="332"/>
      <c r="H934" s="334"/>
      <c r="I934" s="334"/>
    </row>
    <row r="935" spans="2:9" x14ac:dyDescent="0.3">
      <c r="B935" s="332"/>
      <c r="C935" s="333"/>
      <c r="D935" s="332"/>
      <c r="E935" s="333"/>
      <c r="F935" s="334"/>
      <c r="G935" s="332"/>
      <c r="H935" s="334" t="s">
        <v>628</v>
      </c>
      <c r="I935" s="334">
        <f>SUM(H930:H934)</f>
        <v>0</v>
      </c>
    </row>
    <row r="936" spans="2:9" x14ac:dyDescent="0.3">
      <c r="B936" s="332" t="s">
        <v>632</v>
      </c>
      <c r="C936" s="333"/>
      <c r="D936" s="332"/>
      <c r="E936" s="333" t="s">
        <v>624</v>
      </c>
      <c r="F936" s="334" t="s">
        <v>633</v>
      </c>
      <c r="G936" s="332" t="s">
        <v>634</v>
      </c>
      <c r="H936" s="334" t="s">
        <v>627</v>
      </c>
      <c r="I936" s="334"/>
    </row>
    <row r="937" spans="2:9" x14ac:dyDescent="0.3">
      <c r="B937" s="332"/>
      <c r="C937" s="333"/>
      <c r="D937" s="332"/>
      <c r="E937" s="332"/>
      <c r="F937" s="332"/>
      <c r="G937" s="332"/>
      <c r="H937" s="332"/>
      <c r="I937" s="332"/>
    </row>
    <row r="938" spans="2:9" x14ac:dyDescent="0.3">
      <c r="B938" s="332"/>
      <c r="C938" s="333"/>
      <c r="D938" s="332"/>
      <c r="E938" s="333"/>
      <c r="F938" s="336"/>
      <c r="G938" s="334"/>
      <c r="H938" s="334"/>
      <c r="I938" s="334"/>
    </row>
    <row r="939" spans="2:9" x14ac:dyDescent="0.3">
      <c r="B939" s="332"/>
      <c r="C939" s="333"/>
      <c r="D939" s="332"/>
      <c r="E939" s="333"/>
      <c r="F939" s="334"/>
      <c r="G939" s="332"/>
      <c r="H939" s="334" t="s">
        <v>628</v>
      </c>
      <c r="I939" s="334">
        <f>SUM(H938)</f>
        <v>0</v>
      </c>
    </row>
    <row r="940" spans="2:9" x14ac:dyDescent="0.3">
      <c r="B940" s="332" t="s">
        <v>635</v>
      </c>
      <c r="C940" s="333"/>
      <c r="D940" s="332"/>
      <c r="E940" s="333"/>
      <c r="F940" s="334"/>
      <c r="G940" s="332"/>
      <c r="H940" s="334" t="s">
        <v>627</v>
      </c>
      <c r="I940" s="334"/>
    </row>
    <row r="941" spans="2:9" x14ac:dyDescent="0.3">
      <c r="B941" s="332" t="s">
        <v>636</v>
      </c>
      <c r="C941" s="333"/>
      <c r="D941" s="332"/>
      <c r="E941" s="333" t="s">
        <v>637</v>
      </c>
      <c r="F941" s="334" t="s">
        <v>638</v>
      </c>
      <c r="G941" s="332" t="s">
        <v>626</v>
      </c>
      <c r="I941" s="334"/>
    </row>
    <row r="942" spans="2:9" ht="28.8" x14ac:dyDescent="0.3">
      <c r="B942" s="342" t="s">
        <v>702</v>
      </c>
      <c r="C942" s="333"/>
      <c r="D942" s="332"/>
      <c r="E942" s="346">
        <v>168000</v>
      </c>
      <c r="F942" s="344">
        <v>1.8</v>
      </c>
      <c r="G942" s="345">
        <v>3.1175257718745111</v>
      </c>
      <c r="H942" s="344">
        <f>E942*F942/G942</f>
        <v>97000.000041113512</v>
      </c>
      <c r="I942" s="344"/>
    </row>
    <row r="943" spans="2:9" x14ac:dyDescent="0.3">
      <c r="B943" s="332"/>
      <c r="C943" s="333"/>
      <c r="D943" s="332"/>
      <c r="E943" s="333"/>
      <c r="F943" s="334"/>
      <c r="G943" s="332"/>
      <c r="H943" s="334" t="s">
        <v>628</v>
      </c>
      <c r="I943" s="334">
        <f>H942</f>
        <v>97000.000041113512</v>
      </c>
    </row>
    <row r="944" spans="2:9" x14ac:dyDescent="0.3">
      <c r="B944" s="332"/>
      <c r="C944" s="333"/>
      <c r="D944" s="332"/>
      <c r="E944" s="333"/>
      <c r="F944" s="334"/>
      <c r="G944" s="332"/>
      <c r="H944" s="330" t="s">
        <v>640</v>
      </c>
      <c r="I944" s="330">
        <f>I943+I935+I927+I939</f>
        <v>100000.00004111351</v>
      </c>
    </row>
    <row r="946" spans="2:9" ht="57.6" x14ac:dyDescent="0.3">
      <c r="B946" s="339" t="s">
        <v>728</v>
      </c>
      <c r="C946" s="339" t="s">
        <v>621</v>
      </c>
      <c r="D946" s="341" t="s">
        <v>549</v>
      </c>
      <c r="E946" s="339"/>
      <c r="F946" s="340"/>
      <c r="G946" s="340" t="s">
        <v>622</v>
      </c>
      <c r="H946" s="340" t="s">
        <v>102</v>
      </c>
      <c r="I946" s="340">
        <f>+ROUND(I969,0)</f>
        <v>2400000</v>
      </c>
    </row>
    <row r="947" spans="2:9" x14ac:dyDescent="0.3">
      <c r="B947" s="332" t="s">
        <v>623</v>
      </c>
      <c r="C947" s="333"/>
      <c r="D947" s="332"/>
      <c r="E947" s="333"/>
      <c r="F947" s="334"/>
      <c r="G947" s="332"/>
      <c r="H947" s="334"/>
      <c r="I947" s="334"/>
    </row>
    <row r="948" spans="2:9" x14ac:dyDescent="0.3">
      <c r="B948" s="332" t="s">
        <v>271</v>
      </c>
      <c r="C948" s="333"/>
      <c r="D948" s="332"/>
      <c r="E948" s="333" t="s">
        <v>624</v>
      </c>
      <c r="F948" s="334" t="s">
        <v>625</v>
      </c>
      <c r="G948" s="332" t="s">
        <v>626</v>
      </c>
      <c r="H948" s="334" t="s">
        <v>627</v>
      </c>
      <c r="I948" s="334"/>
    </row>
    <row r="949" spans="2:9" x14ac:dyDescent="0.3">
      <c r="B949" s="332" t="s">
        <v>701</v>
      </c>
      <c r="C949" s="333"/>
      <c r="D949" s="332"/>
      <c r="E949" s="333" t="s">
        <v>644</v>
      </c>
      <c r="F949" s="334">
        <v>1500</v>
      </c>
      <c r="G949" s="335">
        <v>2</v>
      </c>
      <c r="H949" s="334">
        <f>F949*G949</f>
        <v>3000</v>
      </c>
      <c r="I949" s="334"/>
    </row>
    <row r="950" spans="2:9" x14ac:dyDescent="0.3">
      <c r="B950" s="332"/>
      <c r="C950" s="333"/>
      <c r="D950" s="332"/>
      <c r="E950" s="333"/>
      <c r="F950" s="334"/>
      <c r="G950" s="335"/>
      <c r="H950" s="334"/>
      <c r="I950" s="334"/>
    </row>
    <row r="951" spans="2:9" x14ac:dyDescent="0.3">
      <c r="B951" s="332"/>
      <c r="C951" s="333"/>
      <c r="D951" s="332"/>
      <c r="E951" s="333"/>
      <c r="F951" s="334"/>
      <c r="G951" s="335"/>
      <c r="H951" s="334"/>
      <c r="I951" s="334"/>
    </row>
    <row r="952" spans="2:9" x14ac:dyDescent="0.3">
      <c r="B952" s="332"/>
      <c r="C952" s="333"/>
      <c r="D952" s="332"/>
      <c r="E952" s="333"/>
      <c r="F952" s="334"/>
      <c r="G952" s="332"/>
      <c r="H952" s="334" t="s">
        <v>628</v>
      </c>
      <c r="I952" s="334">
        <f>SUM(H949:H951)</f>
        <v>3000</v>
      </c>
    </row>
    <row r="953" spans="2:9" x14ac:dyDescent="0.3">
      <c r="B953" s="332" t="s">
        <v>629</v>
      </c>
      <c r="C953" s="333"/>
      <c r="D953" s="332"/>
      <c r="E953" s="333"/>
      <c r="F953" s="334"/>
      <c r="G953" s="332"/>
      <c r="H953" s="334"/>
      <c r="I953" s="334"/>
    </row>
    <row r="954" spans="2:9" x14ac:dyDescent="0.3">
      <c r="B954" s="332" t="s">
        <v>271</v>
      </c>
      <c r="C954" s="333"/>
      <c r="D954" s="332"/>
      <c r="E954" s="333" t="s">
        <v>624</v>
      </c>
      <c r="F954" s="334" t="s">
        <v>630</v>
      </c>
      <c r="G954" s="332" t="s">
        <v>631</v>
      </c>
      <c r="H954" s="334" t="s">
        <v>627</v>
      </c>
      <c r="I954" s="334"/>
    </row>
    <row r="955" spans="2:9" x14ac:dyDescent="0.3">
      <c r="B955" s="332" t="s">
        <v>727</v>
      </c>
      <c r="C955" s="333"/>
      <c r="D955" s="332"/>
      <c r="E955" s="333">
        <v>1</v>
      </c>
      <c r="F955" s="334">
        <v>97000</v>
      </c>
      <c r="G955" s="332">
        <v>20</v>
      </c>
      <c r="H955" s="344">
        <f>F955*G955</f>
        <v>1940000</v>
      </c>
      <c r="I955" s="344"/>
    </row>
    <row r="956" spans="2:9" x14ac:dyDescent="0.3">
      <c r="B956" s="332"/>
      <c r="C956" s="333"/>
      <c r="D956" s="332"/>
      <c r="E956" s="333"/>
      <c r="F956" s="334"/>
      <c r="G956" s="332"/>
      <c r="H956" s="344"/>
      <c r="I956" s="334"/>
    </row>
    <row r="957" spans="2:9" x14ac:dyDescent="0.3">
      <c r="B957" s="332"/>
      <c r="C957" s="333"/>
      <c r="D957" s="332"/>
      <c r="E957" s="333"/>
      <c r="F957" s="334"/>
      <c r="G957" s="332"/>
      <c r="H957" s="344"/>
      <c r="I957" s="334"/>
    </row>
    <row r="958" spans="2:9" x14ac:dyDescent="0.3">
      <c r="B958" s="332"/>
      <c r="C958" s="333"/>
      <c r="D958" s="332"/>
      <c r="E958" s="333"/>
      <c r="F958" s="334"/>
      <c r="G958" s="332"/>
      <c r="H958" s="344"/>
      <c r="I958" s="334"/>
    </row>
    <row r="959" spans="2:9" x14ac:dyDescent="0.3">
      <c r="B959" s="332"/>
      <c r="C959" s="333"/>
      <c r="D959" s="332"/>
      <c r="E959" s="333"/>
      <c r="F959" s="334"/>
      <c r="G959" s="332"/>
      <c r="H959" s="334"/>
      <c r="I959" s="334"/>
    </row>
    <row r="960" spans="2:9" x14ac:dyDescent="0.3">
      <c r="B960" s="332"/>
      <c r="C960" s="333"/>
      <c r="D960" s="332"/>
      <c r="E960" s="333"/>
      <c r="F960" s="334"/>
      <c r="G960" s="332"/>
      <c r="H960" s="334" t="s">
        <v>628</v>
      </c>
      <c r="I960" s="334">
        <f>SUM(H955:H959)</f>
        <v>1940000</v>
      </c>
    </row>
    <row r="961" spans="2:9" x14ac:dyDescent="0.3">
      <c r="B961" s="332" t="s">
        <v>632</v>
      </c>
      <c r="C961" s="333"/>
      <c r="D961" s="332"/>
      <c r="E961" s="333" t="s">
        <v>624</v>
      </c>
      <c r="F961" s="334" t="s">
        <v>633</v>
      </c>
      <c r="G961" s="332" t="s">
        <v>634</v>
      </c>
      <c r="H961" s="334" t="s">
        <v>627</v>
      </c>
      <c r="I961" s="334"/>
    </row>
    <row r="962" spans="2:9" x14ac:dyDescent="0.3">
      <c r="B962" s="332"/>
      <c r="C962" s="333"/>
      <c r="D962" s="332"/>
      <c r="E962" s="332"/>
      <c r="F962" s="332"/>
      <c r="G962" s="332"/>
      <c r="H962" s="332"/>
      <c r="I962" s="332"/>
    </row>
    <row r="963" spans="2:9" x14ac:dyDescent="0.3">
      <c r="B963" s="332"/>
      <c r="C963" s="333"/>
      <c r="D963" s="332"/>
      <c r="E963" s="333"/>
      <c r="F963" s="336"/>
      <c r="G963" s="334"/>
      <c r="H963" s="334"/>
      <c r="I963" s="334"/>
    </row>
    <row r="964" spans="2:9" x14ac:dyDescent="0.3">
      <c r="B964" s="332"/>
      <c r="C964" s="333"/>
      <c r="D964" s="332"/>
      <c r="E964" s="333"/>
      <c r="F964" s="334"/>
      <c r="G964" s="332"/>
      <c r="H964" s="334" t="s">
        <v>628</v>
      </c>
      <c r="I964" s="334">
        <f>SUM(H963)</f>
        <v>0</v>
      </c>
    </row>
    <row r="965" spans="2:9" x14ac:dyDescent="0.3">
      <c r="B965" s="332" t="s">
        <v>635</v>
      </c>
      <c r="C965" s="333"/>
      <c r="D965" s="332"/>
      <c r="E965" s="333"/>
      <c r="F965" s="334"/>
      <c r="G965" s="332"/>
      <c r="H965" s="334" t="s">
        <v>627</v>
      </c>
      <c r="I965" s="334"/>
    </row>
    <row r="966" spans="2:9" x14ac:dyDescent="0.3">
      <c r="B966" s="332" t="s">
        <v>636</v>
      </c>
      <c r="C966" s="333"/>
      <c r="D966" s="332"/>
      <c r="E966" s="333" t="s">
        <v>637</v>
      </c>
      <c r="F966" s="334" t="s">
        <v>638</v>
      </c>
      <c r="G966" s="332" t="s">
        <v>626</v>
      </c>
      <c r="I966" s="334"/>
    </row>
    <row r="967" spans="2:9" ht="28.8" x14ac:dyDescent="0.3">
      <c r="B967" s="342" t="s">
        <v>702</v>
      </c>
      <c r="C967" s="333"/>
      <c r="D967" s="332"/>
      <c r="E967" s="346">
        <v>168000</v>
      </c>
      <c r="F967" s="344">
        <v>1.8</v>
      </c>
      <c r="G967" s="345">
        <v>0.66170678348016954</v>
      </c>
      <c r="H967" s="344">
        <f>E967*F967/G967</f>
        <v>456999.99992377672</v>
      </c>
      <c r="I967" s="344"/>
    </row>
    <row r="968" spans="2:9" x14ac:dyDescent="0.3">
      <c r="B968" s="332"/>
      <c r="C968" s="333"/>
      <c r="D968" s="332"/>
      <c r="E968" s="333"/>
      <c r="F968" s="334"/>
      <c r="G968" s="332"/>
      <c r="H968" s="334" t="s">
        <v>628</v>
      </c>
      <c r="I968" s="334">
        <f>H967</f>
        <v>456999.99992377672</v>
      </c>
    </row>
    <row r="969" spans="2:9" x14ac:dyDescent="0.3">
      <c r="B969" s="332"/>
      <c r="C969" s="333"/>
      <c r="D969" s="332"/>
      <c r="E969" s="333"/>
      <c r="F969" s="334"/>
      <c r="G969" s="332"/>
      <c r="H969" s="330" t="s">
        <v>640</v>
      </c>
      <c r="I969" s="330">
        <f>I968+I960+I952+I964</f>
        <v>2399999.9999237768</v>
      </c>
    </row>
    <row r="971" spans="2:9" ht="43.2" x14ac:dyDescent="0.3">
      <c r="B971" s="339" t="s">
        <v>729</v>
      </c>
      <c r="C971" s="339" t="s">
        <v>621</v>
      </c>
      <c r="D971" s="341" t="s">
        <v>539</v>
      </c>
      <c r="E971" s="339"/>
      <c r="F971" s="340"/>
      <c r="G971" s="340" t="s">
        <v>622</v>
      </c>
      <c r="H971" s="340" t="s">
        <v>33</v>
      </c>
      <c r="I971" s="340">
        <f>+ROUND(I994,0)</f>
        <v>35000</v>
      </c>
    </row>
    <row r="972" spans="2:9" x14ac:dyDescent="0.3">
      <c r="B972" s="332" t="s">
        <v>623</v>
      </c>
      <c r="C972" s="333"/>
      <c r="D972" s="332"/>
      <c r="E972" s="333"/>
      <c r="F972" s="334"/>
      <c r="G972" s="332"/>
      <c r="H972" s="334"/>
      <c r="I972" s="334"/>
    </row>
    <row r="973" spans="2:9" x14ac:dyDescent="0.3">
      <c r="B973" s="332" t="s">
        <v>271</v>
      </c>
      <c r="C973" s="333"/>
      <c r="D973" s="332"/>
      <c r="E973" s="333" t="s">
        <v>624</v>
      </c>
      <c r="F973" s="334" t="s">
        <v>625</v>
      </c>
      <c r="G973" s="332" t="s">
        <v>626</v>
      </c>
      <c r="H973" s="334" t="s">
        <v>627</v>
      </c>
      <c r="I973" s="334"/>
    </row>
    <row r="974" spans="2:9" x14ac:dyDescent="0.3">
      <c r="B974" s="332" t="s">
        <v>701</v>
      </c>
      <c r="C974" s="333"/>
      <c r="D974" s="332"/>
      <c r="E974" s="333" t="s">
        <v>644</v>
      </c>
      <c r="F974" s="334">
        <v>1500</v>
      </c>
      <c r="G974" s="335">
        <v>2</v>
      </c>
      <c r="H974" s="334">
        <f>F974*G974</f>
        <v>3000</v>
      </c>
      <c r="I974" s="334"/>
    </row>
    <row r="975" spans="2:9" x14ac:dyDescent="0.3">
      <c r="B975" s="332"/>
      <c r="C975" s="333"/>
      <c r="D975" s="332"/>
      <c r="E975" s="333"/>
      <c r="F975" s="334"/>
      <c r="G975" s="335"/>
      <c r="H975" s="334"/>
      <c r="I975" s="334"/>
    </row>
    <row r="976" spans="2:9" x14ac:dyDescent="0.3">
      <c r="B976" s="332"/>
      <c r="C976" s="333"/>
      <c r="D976" s="332"/>
      <c r="E976" s="333"/>
      <c r="F976" s="334"/>
      <c r="G976" s="335"/>
      <c r="H976" s="334"/>
      <c r="I976" s="334"/>
    </row>
    <row r="977" spans="2:9" x14ac:dyDescent="0.3">
      <c r="B977" s="332"/>
      <c r="C977" s="333"/>
      <c r="D977" s="332"/>
      <c r="E977" s="333"/>
      <c r="F977" s="334"/>
      <c r="G977" s="332"/>
      <c r="H977" s="334" t="s">
        <v>628</v>
      </c>
      <c r="I977" s="334">
        <f>SUM(H974:H976)</f>
        <v>3000</v>
      </c>
    </row>
    <row r="978" spans="2:9" x14ac:dyDescent="0.3">
      <c r="B978" s="332" t="s">
        <v>629</v>
      </c>
      <c r="C978" s="333"/>
      <c r="D978" s="332"/>
      <c r="E978" s="333"/>
      <c r="F978" s="334"/>
      <c r="G978" s="332"/>
      <c r="H978" s="334"/>
      <c r="I978" s="334"/>
    </row>
    <row r="979" spans="2:9" x14ac:dyDescent="0.3">
      <c r="B979" s="332" t="s">
        <v>271</v>
      </c>
      <c r="C979" s="333"/>
      <c r="D979" s="332"/>
      <c r="E979" s="333" t="s">
        <v>624</v>
      </c>
      <c r="F979" s="334" t="s">
        <v>630</v>
      </c>
      <c r="G979" s="332" t="s">
        <v>631</v>
      </c>
      <c r="H979" s="334" t="s">
        <v>627</v>
      </c>
      <c r="I979" s="334"/>
    </row>
    <row r="980" spans="2:9" x14ac:dyDescent="0.3">
      <c r="B980" s="332"/>
      <c r="C980" s="333"/>
      <c r="D980" s="332"/>
      <c r="E980" s="333"/>
      <c r="F980" s="334"/>
      <c r="G980" s="332"/>
      <c r="H980" s="344"/>
      <c r="I980" s="344"/>
    </row>
    <row r="981" spans="2:9" x14ac:dyDescent="0.3">
      <c r="B981" s="332"/>
      <c r="C981" s="333"/>
      <c r="D981" s="332"/>
      <c r="E981" s="333"/>
      <c r="F981" s="334"/>
      <c r="G981" s="332"/>
      <c r="H981" s="344"/>
      <c r="I981" s="334"/>
    </row>
    <row r="982" spans="2:9" x14ac:dyDescent="0.3">
      <c r="B982" s="332"/>
      <c r="C982" s="333"/>
      <c r="D982" s="332"/>
      <c r="E982" s="333"/>
      <c r="F982" s="334"/>
      <c r="G982" s="332"/>
      <c r="H982" s="344"/>
      <c r="I982" s="334"/>
    </row>
    <row r="983" spans="2:9" x14ac:dyDescent="0.3">
      <c r="B983" s="332"/>
      <c r="C983" s="333"/>
      <c r="D983" s="332"/>
      <c r="E983" s="333"/>
      <c r="F983" s="334"/>
      <c r="G983" s="332"/>
      <c r="H983" s="344"/>
      <c r="I983" s="334"/>
    </row>
    <row r="984" spans="2:9" x14ac:dyDescent="0.3">
      <c r="B984" s="332"/>
      <c r="C984" s="333"/>
      <c r="D984" s="332"/>
      <c r="E984" s="333"/>
      <c r="F984" s="334"/>
      <c r="G984" s="332"/>
      <c r="H984" s="334"/>
      <c r="I984" s="334"/>
    </row>
    <row r="985" spans="2:9" x14ac:dyDescent="0.3">
      <c r="B985" s="332"/>
      <c r="C985" s="333"/>
      <c r="D985" s="332"/>
      <c r="E985" s="333"/>
      <c r="F985" s="334"/>
      <c r="G985" s="332"/>
      <c r="H985" s="334" t="s">
        <v>628</v>
      </c>
      <c r="I985" s="334">
        <f>SUM(H980:H984)</f>
        <v>0</v>
      </c>
    </row>
    <row r="986" spans="2:9" x14ac:dyDescent="0.3">
      <c r="B986" s="332" t="s">
        <v>632</v>
      </c>
      <c r="C986" s="333"/>
      <c r="D986" s="332"/>
      <c r="E986" s="333" t="s">
        <v>624</v>
      </c>
      <c r="F986" s="334" t="s">
        <v>633</v>
      </c>
      <c r="G986" s="332" t="s">
        <v>634</v>
      </c>
      <c r="H986" s="334" t="s">
        <v>627</v>
      </c>
      <c r="I986" s="334"/>
    </row>
    <row r="987" spans="2:9" x14ac:dyDescent="0.3">
      <c r="B987" s="332"/>
      <c r="C987" s="333"/>
      <c r="D987" s="332"/>
      <c r="E987" s="332"/>
      <c r="F987" s="332"/>
      <c r="G987" s="332"/>
      <c r="H987" s="332"/>
      <c r="I987" s="332"/>
    </row>
    <row r="988" spans="2:9" x14ac:dyDescent="0.3">
      <c r="B988" s="332"/>
      <c r="C988" s="333"/>
      <c r="D988" s="332"/>
      <c r="E988" s="333"/>
      <c r="F988" s="336"/>
      <c r="G988" s="334"/>
      <c r="H988" s="334"/>
      <c r="I988" s="334"/>
    </row>
    <row r="989" spans="2:9" x14ac:dyDescent="0.3">
      <c r="B989" s="332"/>
      <c r="C989" s="333"/>
      <c r="D989" s="332"/>
      <c r="E989" s="333"/>
      <c r="F989" s="334"/>
      <c r="G989" s="332"/>
      <c r="H989" s="334" t="s">
        <v>628</v>
      </c>
      <c r="I989" s="334">
        <f>SUM(H988)</f>
        <v>0</v>
      </c>
    </row>
    <row r="990" spans="2:9" x14ac:dyDescent="0.3">
      <c r="B990" s="332" t="s">
        <v>635</v>
      </c>
      <c r="C990" s="333"/>
      <c r="D990" s="332"/>
      <c r="E990" s="333"/>
      <c r="F990" s="334"/>
      <c r="G990" s="332"/>
      <c r="H990" s="334" t="s">
        <v>627</v>
      </c>
      <c r="I990" s="334"/>
    </row>
    <row r="991" spans="2:9" x14ac:dyDescent="0.3">
      <c r="B991" s="332" t="s">
        <v>636</v>
      </c>
      <c r="C991" s="333"/>
      <c r="D991" s="332"/>
      <c r="E991" s="333" t="s">
        <v>637</v>
      </c>
      <c r="F991" s="334" t="s">
        <v>638</v>
      </c>
      <c r="G991" s="332" t="s">
        <v>626</v>
      </c>
      <c r="I991" s="334"/>
    </row>
    <row r="992" spans="2:9" ht="28.8" x14ac:dyDescent="0.3">
      <c r="B992" s="342" t="s">
        <v>702</v>
      </c>
      <c r="C992" s="333"/>
      <c r="D992" s="332"/>
      <c r="E992" s="346">
        <v>168000</v>
      </c>
      <c r="F992" s="344">
        <v>1.8</v>
      </c>
      <c r="G992" s="345">
        <v>9.4499999995438273</v>
      </c>
      <c r="H992" s="344">
        <f>E992*F992/G992</f>
        <v>32000.000001544711</v>
      </c>
      <c r="I992" s="344"/>
    </row>
    <row r="993" spans="2:9" x14ac:dyDescent="0.3">
      <c r="B993" s="332"/>
      <c r="C993" s="333"/>
      <c r="D993" s="332"/>
      <c r="E993" s="333"/>
      <c r="F993" s="334"/>
      <c r="G993" s="332"/>
      <c r="H993" s="334" t="s">
        <v>628</v>
      </c>
      <c r="I993" s="334">
        <f>H992</f>
        <v>32000.000001544711</v>
      </c>
    </row>
    <row r="994" spans="2:9" x14ac:dyDescent="0.3">
      <c r="B994" s="332"/>
      <c r="C994" s="333"/>
      <c r="D994" s="332"/>
      <c r="E994" s="333"/>
      <c r="F994" s="334"/>
      <c r="G994" s="332"/>
      <c r="H994" s="330" t="s">
        <v>640</v>
      </c>
      <c r="I994" s="330">
        <f>I993+I985+I977+I989</f>
        <v>35000.000001544715</v>
      </c>
    </row>
    <row r="996" spans="2:9" ht="72" x14ac:dyDescent="0.3">
      <c r="B996" s="339" t="s">
        <v>730</v>
      </c>
      <c r="C996" s="339" t="s">
        <v>621</v>
      </c>
      <c r="D996" s="341" t="s">
        <v>546</v>
      </c>
      <c r="E996" s="339"/>
      <c r="F996" s="340"/>
      <c r="G996" s="340" t="s">
        <v>622</v>
      </c>
      <c r="H996" s="340" t="s">
        <v>33</v>
      </c>
      <c r="I996" s="340">
        <f>+ROUND(I1019,0)</f>
        <v>35000</v>
      </c>
    </row>
    <row r="997" spans="2:9" x14ac:dyDescent="0.3">
      <c r="B997" s="332" t="s">
        <v>623</v>
      </c>
      <c r="C997" s="333"/>
      <c r="D997" s="332"/>
      <c r="E997" s="333"/>
      <c r="F997" s="334"/>
      <c r="G997" s="332"/>
      <c r="H997" s="334"/>
      <c r="I997" s="334"/>
    </row>
    <row r="998" spans="2:9" x14ac:dyDescent="0.3">
      <c r="B998" s="332" t="s">
        <v>271</v>
      </c>
      <c r="C998" s="333"/>
      <c r="D998" s="332"/>
      <c r="E998" s="333" t="s">
        <v>624</v>
      </c>
      <c r="F998" s="334" t="s">
        <v>625</v>
      </c>
      <c r="G998" s="332" t="s">
        <v>626</v>
      </c>
      <c r="H998" s="334" t="s">
        <v>627</v>
      </c>
      <c r="I998" s="334"/>
    </row>
    <row r="999" spans="2:9" x14ac:dyDescent="0.3">
      <c r="B999" s="332" t="s">
        <v>701</v>
      </c>
      <c r="C999" s="333"/>
      <c r="D999" s="332"/>
      <c r="E999" s="333" t="s">
        <v>644</v>
      </c>
      <c r="F999" s="334">
        <v>1500</v>
      </c>
      <c r="G999" s="335">
        <v>2</v>
      </c>
      <c r="H999" s="334">
        <f>F999*G999</f>
        <v>3000</v>
      </c>
      <c r="I999" s="334"/>
    </row>
    <row r="1000" spans="2:9" x14ac:dyDescent="0.3">
      <c r="B1000" s="332"/>
      <c r="C1000" s="333"/>
      <c r="D1000" s="332"/>
      <c r="E1000" s="333"/>
      <c r="F1000" s="334"/>
      <c r="G1000" s="335"/>
      <c r="H1000" s="334"/>
      <c r="I1000" s="334"/>
    </row>
    <row r="1001" spans="2:9" x14ac:dyDescent="0.3">
      <c r="B1001" s="332"/>
      <c r="C1001" s="333"/>
      <c r="D1001" s="332"/>
      <c r="E1001" s="333"/>
      <c r="F1001" s="334"/>
      <c r="G1001" s="335"/>
      <c r="H1001" s="334"/>
      <c r="I1001" s="334"/>
    </row>
    <row r="1002" spans="2:9" x14ac:dyDescent="0.3">
      <c r="B1002" s="332"/>
      <c r="C1002" s="333"/>
      <c r="D1002" s="332"/>
      <c r="E1002" s="333"/>
      <c r="F1002" s="334"/>
      <c r="G1002" s="332"/>
      <c r="H1002" s="334" t="s">
        <v>628</v>
      </c>
      <c r="I1002" s="334">
        <f>SUM(H999:H1001)</f>
        <v>3000</v>
      </c>
    </row>
    <row r="1003" spans="2:9" x14ac:dyDescent="0.3">
      <c r="B1003" s="332" t="s">
        <v>629</v>
      </c>
      <c r="C1003" s="333"/>
      <c r="D1003" s="332"/>
      <c r="E1003" s="333"/>
      <c r="F1003" s="334"/>
      <c r="G1003" s="332"/>
      <c r="H1003" s="334"/>
      <c r="I1003" s="334"/>
    </row>
    <row r="1004" spans="2:9" x14ac:dyDescent="0.3">
      <c r="B1004" s="332" t="s">
        <v>271</v>
      </c>
      <c r="C1004" s="333"/>
      <c r="D1004" s="332"/>
      <c r="E1004" s="333" t="s">
        <v>624</v>
      </c>
      <c r="F1004" s="334" t="s">
        <v>630</v>
      </c>
      <c r="G1004" s="332" t="s">
        <v>631</v>
      </c>
      <c r="H1004" s="334" t="s">
        <v>627</v>
      </c>
      <c r="I1004" s="334"/>
    </row>
    <row r="1005" spans="2:9" x14ac:dyDescent="0.3">
      <c r="B1005" s="332"/>
      <c r="C1005" s="333"/>
      <c r="D1005" s="332"/>
      <c r="E1005" s="333"/>
      <c r="F1005" s="334"/>
      <c r="G1005" s="332"/>
      <c r="H1005" s="344"/>
      <c r="I1005" s="344"/>
    </row>
    <row r="1006" spans="2:9" x14ac:dyDescent="0.3">
      <c r="B1006" s="332"/>
      <c r="C1006" s="333"/>
      <c r="D1006" s="332"/>
      <c r="E1006" s="333"/>
      <c r="F1006" s="334"/>
      <c r="G1006" s="332"/>
      <c r="H1006" s="344"/>
      <c r="I1006" s="334"/>
    </row>
    <row r="1007" spans="2:9" x14ac:dyDescent="0.3">
      <c r="B1007" s="332"/>
      <c r="C1007" s="333"/>
      <c r="D1007" s="332"/>
      <c r="E1007" s="333"/>
      <c r="F1007" s="334"/>
      <c r="G1007" s="332"/>
      <c r="H1007" s="344"/>
      <c r="I1007" s="334"/>
    </row>
    <row r="1008" spans="2:9" x14ac:dyDescent="0.3">
      <c r="B1008" s="332"/>
      <c r="C1008" s="333"/>
      <c r="D1008" s="332"/>
      <c r="E1008" s="333"/>
      <c r="F1008" s="334"/>
      <c r="G1008" s="332"/>
      <c r="H1008" s="344"/>
      <c r="I1008" s="334"/>
    </row>
    <row r="1009" spans="2:9" x14ac:dyDescent="0.3">
      <c r="B1009" s="332"/>
      <c r="C1009" s="333"/>
      <c r="D1009" s="332"/>
      <c r="E1009" s="333"/>
      <c r="F1009" s="334"/>
      <c r="G1009" s="332"/>
      <c r="H1009" s="334"/>
      <c r="I1009" s="334"/>
    </row>
    <row r="1010" spans="2:9" x14ac:dyDescent="0.3">
      <c r="B1010" s="332"/>
      <c r="C1010" s="333"/>
      <c r="D1010" s="332"/>
      <c r="E1010" s="333"/>
      <c r="F1010" s="334"/>
      <c r="G1010" s="332"/>
      <c r="H1010" s="334" t="s">
        <v>628</v>
      </c>
      <c r="I1010" s="334">
        <f>SUM(H1005:H1009)</f>
        <v>0</v>
      </c>
    </row>
    <row r="1011" spans="2:9" x14ac:dyDescent="0.3">
      <c r="B1011" s="332" t="s">
        <v>632</v>
      </c>
      <c r="C1011" s="333"/>
      <c r="D1011" s="332"/>
      <c r="E1011" s="333" t="s">
        <v>624</v>
      </c>
      <c r="F1011" s="334" t="s">
        <v>633</v>
      </c>
      <c r="G1011" s="332" t="s">
        <v>634</v>
      </c>
      <c r="H1011" s="334" t="s">
        <v>627</v>
      </c>
      <c r="I1011" s="334"/>
    </row>
    <row r="1012" spans="2:9" x14ac:dyDescent="0.3">
      <c r="B1012" s="332"/>
      <c r="C1012" s="333"/>
      <c r="D1012" s="332"/>
      <c r="E1012" s="332"/>
      <c r="F1012" s="332"/>
      <c r="G1012" s="332"/>
      <c r="H1012" s="332"/>
      <c r="I1012" s="332"/>
    </row>
    <row r="1013" spans="2:9" x14ac:dyDescent="0.3">
      <c r="B1013" s="332"/>
      <c r="C1013" s="333"/>
      <c r="D1013" s="332"/>
      <c r="E1013" s="333"/>
      <c r="F1013" s="336"/>
      <c r="G1013" s="334"/>
      <c r="H1013" s="334"/>
      <c r="I1013" s="334"/>
    </row>
    <row r="1014" spans="2:9" x14ac:dyDescent="0.3">
      <c r="B1014" s="332"/>
      <c r="C1014" s="333"/>
      <c r="D1014" s="332"/>
      <c r="E1014" s="333"/>
      <c r="F1014" s="334"/>
      <c r="G1014" s="332"/>
      <c r="H1014" s="334" t="s">
        <v>628</v>
      </c>
      <c r="I1014" s="334">
        <f>SUM(H1013)</f>
        <v>0</v>
      </c>
    </row>
    <row r="1015" spans="2:9" x14ac:dyDescent="0.3">
      <c r="B1015" s="332" t="s">
        <v>635</v>
      </c>
      <c r="C1015" s="333"/>
      <c r="D1015" s="332"/>
      <c r="E1015" s="333"/>
      <c r="F1015" s="334"/>
      <c r="G1015" s="332"/>
      <c r="H1015" s="334" t="s">
        <v>627</v>
      </c>
      <c r="I1015" s="334"/>
    </row>
    <row r="1016" spans="2:9" x14ac:dyDescent="0.3">
      <c r="B1016" s="332" t="s">
        <v>636</v>
      </c>
      <c r="C1016" s="333"/>
      <c r="D1016" s="332"/>
      <c r="E1016" s="333" t="s">
        <v>637</v>
      </c>
      <c r="F1016" s="334" t="s">
        <v>638</v>
      </c>
      <c r="G1016" s="332" t="s">
        <v>626</v>
      </c>
      <c r="I1016" s="334"/>
    </row>
    <row r="1017" spans="2:9" ht="28.8" x14ac:dyDescent="0.3">
      <c r="B1017" s="342" t="s">
        <v>702</v>
      </c>
      <c r="C1017" s="333"/>
      <c r="D1017" s="332"/>
      <c r="E1017" s="346">
        <v>168000</v>
      </c>
      <c r="F1017" s="344">
        <v>1.8</v>
      </c>
      <c r="G1017" s="345">
        <v>9.4499999995438273</v>
      </c>
      <c r="H1017" s="344">
        <f>E1017*F1017/G1017</f>
        <v>32000.000001544711</v>
      </c>
      <c r="I1017" s="344"/>
    </row>
    <row r="1018" spans="2:9" x14ac:dyDescent="0.3">
      <c r="B1018" s="332"/>
      <c r="C1018" s="333"/>
      <c r="D1018" s="332"/>
      <c r="E1018" s="333"/>
      <c r="F1018" s="334"/>
      <c r="G1018" s="332"/>
      <c r="H1018" s="334" t="s">
        <v>628</v>
      </c>
      <c r="I1018" s="334">
        <f>H1017</f>
        <v>32000.000001544711</v>
      </c>
    </row>
    <row r="1019" spans="2:9" x14ac:dyDescent="0.3">
      <c r="B1019" s="332"/>
      <c r="C1019" s="333"/>
      <c r="D1019" s="332"/>
      <c r="E1019" s="333"/>
      <c r="F1019" s="334"/>
      <c r="G1019" s="332"/>
      <c r="H1019" s="330" t="s">
        <v>640</v>
      </c>
      <c r="I1019" s="330">
        <f>I1018+I1010+I1002+I1014</f>
        <v>35000.000001544715</v>
      </c>
    </row>
    <row r="1021" spans="2:9" ht="86.4" x14ac:dyDescent="0.3">
      <c r="B1021" s="339" t="s">
        <v>731</v>
      </c>
      <c r="C1021" s="339" t="s">
        <v>621</v>
      </c>
      <c r="D1021" s="341" t="s">
        <v>547</v>
      </c>
      <c r="E1021" s="339"/>
      <c r="F1021" s="340"/>
      <c r="G1021" s="340" t="s">
        <v>622</v>
      </c>
      <c r="H1021" s="340" t="s">
        <v>33</v>
      </c>
      <c r="I1021" s="340">
        <f>+ROUND(I1044,0)</f>
        <v>100000</v>
      </c>
    </row>
    <row r="1022" spans="2:9" x14ac:dyDescent="0.3">
      <c r="B1022" s="332" t="s">
        <v>623</v>
      </c>
      <c r="C1022" s="333"/>
      <c r="D1022" s="332"/>
      <c r="E1022" s="333"/>
      <c r="F1022" s="334"/>
      <c r="G1022" s="332"/>
      <c r="H1022" s="334"/>
      <c r="I1022" s="334"/>
    </row>
    <row r="1023" spans="2:9" x14ac:dyDescent="0.3">
      <c r="B1023" s="332" t="s">
        <v>271</v>
      </c>
      <c r="C1023" s="333"/>
      <c r="D1023" s="332"/>
      <c r="E1023" s="333" t="s">
        <v>624</v>
      </c>
      <c r="F1023" s="334" t="s">
        <v>625</v>
      </c>
      <c r="G1023" s="332" t="s">
        <v>626</v>
      </c>
      <c r="H1023" s="334" t="s">
        <v>627</v>
      </c>
      <c r="I1023" s="334"/>
    </row>
    <row r="1024" spans="2:9" x14ac:dyDescent="0.3">
      <c r="B1024" s="332" t="s">
        <v>701</v>
      </c>
      <c r="C1024" s="333"/>
      <c r="D1024" s="332"/>
      <c r="E1024" s="333" t="s">
        <v>644</v>
      </c>
      <c r="F1024" s="334">
        <v>1500</v>
      </c>
      <c r="G1024" s="335">
        <v>2</v>
      </c>
      <c r="H1024" s="334">
        <f>F1024*G1024</f>
        <v>3000</v>
      </c>
      <c r="I1024" s="334"/>
    </row>
    <row r="1025" spans="2:9" x14ac:dyDescent="0.3">
      <c r="B1025" s="332"/>
      <c r="C1025" s="333"/>
      <c r="D1025" s="332"/>
      <c r="E1025" s="333"/>
      <c r="F1025" s="334"/>
      <c r="G1025" s="335"/>
      <c r="H1025" s="334"/>
      <c r="I1025" s="334"/>
    </row>
    <row r="1026" spans="2:9" x14ac:dyDescent="0.3">
      <c r="B1026" s="332"/>
      <c r="C1026" s="333"/>
      <c r="D1026" s="332"/>
      <c r="E1026" s="333"/>
      <c r="F1026" s="334"/>
      <c r="G1026" s="335"/>
      <c r="H1026" s="334"/>
      <c r="I1026" s="334"/>
    </row>
    <row r="1027" spans="2:9" x14ac:dyDescent="0.3">
      <c r="B1027" s="332"/>
      <c r="C1027" s="333"/>
      <c r="D1027" s="332"/>
      <c r="E1027" s="333"/>
      <c r="F1027" s="334"/>
      <c r="G1027" s="332"/>
      <c r="H1027" s="334" t="s">
        <v>628</v>
      </c>
      <c r="I1027" s="334">
        <f>SUM(H1024:H1026)</f>
        <v>3000</v>
      </c>
    </row>
    <row r="1028" spans="2:9" x14ac:dyDescent="0.3">
      <c r="B1028" s="332" t="s">
        <v>629</v>
      </c>
      <c r="C1028" s="333"/>
      <c r="D1028" s="332"/>
      <c r="E1028" s="333"/>
      <c r="F1028" s="334"/>
      <c r="G1028" s="332"/>
      <c r="H1028" s="334"/>
      <c r="I1028" s="334"/>
    </row>
    <row r="1029" spans="2:9" x14ac:dyDescent="0.3">
      <c r="B1029" s="332" t="s">
        <v>271</v>
      </c>
      <c r="C1029" s="333"/>
      <c r="D1029" s="332"/>
      <c r="E1029" s="333" t="s">
        <v>624</v>
      </c>
      <c r="F1029" s="334" t="s">
        <v>630</v>
      </c>
      <c r="G1029" s="332" t="s">
        <v>631</v>
      </c>
      <c r="H1029" s="334" t="s">
        <v>627</v>
      </c>
      <c r="I1029" s="334"/>
    </row>
    <row r="1030" spans="2:9" x14ac:dyDescent="0.3">
      <c r="B1030" s="332"/>
      <c r="C1030" s="333"/>
      <c r="D1030" s="332"/>
      <c r="E1030" s="333"/>
      <c r="F1030" s="334"/>
      <c r="G1030" s="332"/>
      <c r="H1030" s="344"/>
      <c r="I1030" s="344"/>
    </row>
    <row r="1031" spans="2:9" x14ac:dyDescent="0.3">
      <c r="B1031" s="332"/>
      <c r="C1031" s="333"/>
      <c r="D1031" s="332"/>
      <c r="E1031" s="333"/>
      <c r="F1031" s="334"/>
      <c r="G1031" s="332"/>
      <c r="H1031" s="344"/>
      <c r="I1031" s="334"/>
    </row>
    <row r="1032" spans="2:9" x14ac:dyDescent="0.3">
      <c r="B1032" s="332"/>
      <c r="C1032" s="333"/>
      <c r="D1032" s="332"/>
      <c r="E1032" s="333"/>
      <c r="F1032" s="334"/>
      <c r="G1032" s="332"/>
      <c r="H1032" s="344"/>
      <c r="I1032" s="334"/>
    </row>
    <row r="1033" spans="2:9" x14ac:dyDescent="0.3">
      <c r="B1033" s="332"/>
      <c r="C1033" s="333"/>
      <c r="D1033" s="332"/>
      <c r="E1033" s="333"/>
      <c r="F1033" s="334"/>
      <c r="G1033" s="332"/>
      <c r="H1033" s="344"/>
      <c r="I1033" s="334"/>
    </row>
    <row r="1034" spans="2:9" x14ac:dyDescent="0.3">
      <c r="B1034" s="332"/>
      <c r="C1034" s="333"/>
      <c r="D1034" s="332"/>
      <c r="E1034" s="333"/>
      <c r="F1034" s="334"/>
      <c r="G1034" s="332"/>
      <c r="H1034" s="334"/>
      <c r="I1034" s="334"/>
    </row>
    <row r="1035" spans="2:9" x14ac:dyDescent="0.3">
      <c r="B1035" s="332"/>
      <c r="C1035" s="333"/>
      <c r="D1035" s="332"/>
      <c r="E1035" s="333"/>
      <c r="F1035" s="334"/>
      <c r="G1035" s="332"/>
      <c r="H1035" s="334" t="s">
        <v>628</v>
      </c>
      <c r="I1035" s="334">
        <f>SUM(H1030:H1034)</f>
        <v>0</v>
      </c>
    </row>
    <row r="1036" spans="2:9" x14ac:dyDescent="0.3">
      <c r="B1036" s="332" t="s">
        <v>632</v>
      </c>
      <c r="C1036" s="333"/>
      <c r="D1036" s="332"/>
      <c r="E1036" s="333" t="s">
        <v>624</v>
      </c>
      <c r="F1036" s="334" t="s">
        <v>633</v>
      </c>
      <c r="G1036" s="332" t="s">
        <v>634</v>
      </c>
      <c r="H1036" s="334" t="s">
        <v>627</v>
      </c>
      <c r="I1036" s="334"/>
    </row>
    <row r="1037" spans="2:9" x14ac:dyDescent="0.3">
      <c r="B1037" s="332"/>
      <c r="C1037" s="333"/>
      <c r="D1037" s="332"/>
      <c r="E1037" s="332"/>
      <c r="F1037" s="332"/>
      <c r="G1037" s="332"/>
      <c r="H1037" s="332"/>
      <c r="I1037" s="332"/>
    </row>
    <row r="1038" spans="2:9" x14ac:dyDescent="0.3">
      <c r="B1038" s="332"/>
      <c r="C1038" s="333"/>
      <c r="D1038" s="332"/>
      <c r="E1038" s="333"/>
      <c r="F1038" s="336"/>
      <c r="G1038" s="334"/>
      <c r="H1038" s="334"/>
      <c r="I1038" s="334"/>
    </row>
    <row r="1039" spans="2:9" x14ac:dyDescent="0.3">
      <c r="B1039" s="332"/>
      <c r="C1039" s="333"/>
      <c r="D1039" s="332"/>
      <c r="E1039" s="333"/>
      <c r="F1039" s="334"/>
      <c r="G1039" s="332"/>
      <c r="H1039" s="334" t="s">
        <v>628</v>
      </c>
      <c r="I1039" s="334">
        <f>SUM(H1038)</f>
        <v>0</v>
      </c>
    </row>
    <row r="1040" spans="2:9" x14ac:dyDescent="0.3">
      <c r="B1040" s="332" t="s">
        <v>635</v>
      </c>
      <c r="C1040" s="333"/>
      <c r="D1040" s="332"/>
      <c r="E1040" s="333"/>
      <c r="F1040" s="334"/>
      <c r="G1040" s="332"/>
      <c r="H1040" s="334" t="s">
        <v>627</v>
      </c>
      <c r="I1040" s="334"/>
    </row>
    <row r="1041" spans="2:9" x14ac:dyDescent="0.3">
      <c r="B1041" s="332" t="s">
        <v>636</v>
      </c>
      <c r="C1041" s="333"/>
      <c r="D1041" s="332"/>
      <c r="E1041" s="333" t="s">
        <v>637</v>
      </c>
      <c r="F1041" s="334" t="s">
        <v>638</v>
      </c>
      <c r="G1041" s="332" t="s">
        <v>626</v>
      </c>
      <c r="I1041" s="334"/>
    </row>
    <row r="1042" spans="2:9" ht="28.8" x14ac:dyDescent="0.3">
      <c r="B1042" s="342" t="s">
        <v>702</v>
      </c>
      <c r="C1042" s="333"/>
      <c r="D1042" s="332"/>
      <c r="E1042" s="346">
        <v>168000</v>
      </c>
      <c r="F1042" s="344">
        <v>1.8</v>
      </c>
      <c r="G1042" s="345">
        <v>3.1175257731884374</v>
      </c>
      <c r="H1042" s="344">
        <f>E1042*F1042/G1042</f>
        <v>97000.000000231463</v>
      </c>
      <c r="I1042" s="344"/>
    </row>
    <row r="1043" spans="2:9" x14ac:dyDescent="0.3">
      <c r="B1043" s="332"/>
      <c r="C1043" s="333"/>
      <c r="D1043" s="332"/>
      <c r="E1043" s="333"/>
      <c r="F1043" s="334"/>
      <c r="G1043" s="332"/>
      <c r="H1043" s="334" t="s">
        <v>628</v>
      </c>
      <c r="I1043" s="334">
        <f>H1042</f>
        <v>97000.000000231463</v>
      </c>
    </row>
    <row r="1044" spans="2:9" x14ac:dyDescent="0.3">
      <c r="B1044" s="332"/>
      <c r="C1044" s="333"/>
      <c r="D1044" s="332"/>
      <c r="E1044" s="333"/>
      <c r="F1044" s="334"/>
      <c r="G1044" s="332"/>
      <c r="H1044" s="330" t="s">
        <v>640</v>
      </c>
      <c r="I1044" s="330">
        <f>I1043+I1035+I1027+I1039</f>
        <v>100000.00000023146</v>
      </c>
    </row>
    <row r="1046" spans="2:9" ht="57.6" x14ac:dyDescent="0.3">
      <c r="B1046" s="339" t="s">
        <v>743</v>
      </c>
      <c r="C1046" s="339" t="s">
        <v>621</v>
      </c>
      <c r="D1046" s="341" t="s">
        <v>548</v>
      </c>
      <c r="E1046" s="339"/>
      <c r="F1046" s="340"/>
      <c r="G1046" s="340" t="s">
        <v>622</v>
      </c>
      <c r="H1046" s="340" t="s">
        <v>102</v>
      </c>
      <c r="I1046" s="340">
        <f>+ROUND(I1069,0)</f>
        <v>85000</v>
      </c>
    </row>
    <row r="1047" spans="2:9" x14ac:dyDescent="0.3">
      <c r="B1047" s="332" t="s">
        <v>623</v>
      </c>
      <c r="C1047" s="333"/>
      <c r="D1047" s="332"/>
      <c r="E1047" s="333"/>
      <c r="F1047" s="334"/>
      <c r="G1047" s="332"/>
      <c r="H1047" s="334"/>
      <c r="I1047" s="334"/>
    </row>
    <row r="1048" spans="2:9" x14ac:dyDescent="0.3">
      <c r="B1048" s="332" t="s">
        <v>271</v>
      </c>
      <c r="C1048" s="333"/>
      <c r="D1048" s="332"/>
      <c r="E1048" s="333" t="s">
        <v>624</v>
      </c>
      <c r="F1048" s="334" t="s">
        <v>625</v>
      </c>
      <c r="G1048" s="332" t="s">
        <v>626</v>
      </c>
      <c r="H1048" s="334" t="s">
        <v>627</v>
      </c>
      <c r="I1048" s="334"/>
    </row>
    <row r="1049" spans="2:9" x14ac:dyDescent="0.3">
      <c r="B1049" s="332" t="s">
        <v>701</v>
      </c>
      <c r="C1049" s="333"/>
      <c r="D1049" s="332"/>
      <c r="E1049" s="333" t="s">
        <v>644</v>
      </c>
      <c r="F1049" s="334">
        <v>1500</v>
      </c>
      <c r="G1049" s="335">
        <v>2</v>
      </c>
      <c r="H1049" s="334">
        <f>F1049*G1049</f>
        <v>3000</v>
      </c>
      <c r="I1049" s="334"/>
    </row>
    <row r="1050" spans="2:9" x14ac:dyDescent="0.3">
      <c r="B1050" s="332"/>
      <c r="C1050" s="333"/>
      <c r="D1050" s="332"/>
      <c r="E1050" s="333"/>
      <c r="F1050" s="334"/>
      <c r="G1050" s="335"/>
      <c r="H1050" s="334"/>
      <c r="I1050" s="334"/>
    </row>
    <row r="1051" spans="2:9" x14ac:dyDescent="0.3">
      <c r="B1051" s="332"/>
      <c r="C1051" s="333"/>
      <c r="D1051" s="332"/>
      <c r="E1051" s="333"/>
      <c r="F1051" s="334"/>
      <c r="G1051" s="335"/>
      <c r="H1051" s="334"/>
      <c r="I1051" s="334"/>
    </row>
    <row r="1052" spans="2:9" x14ac:dyDescent="0.3">
      <c r="B1052" s="332"/>
      <c r="C1052" s="333"/>
      <c r="D1052" s="332"/>
      <c r="E1052" s="333"/>
      <c r="F1052" s="334"/>
      <c r="G1052" s="332"/>
      <c r="H1052" s="334" t="s">
        <v>628</v>
      </c>
      <c r="I1052" s="334">
        <f>SUM(H1049:H1051)</f>
        <v>3000</v>
      </c>
    </row>
    <row r="1053" spans="2:9" x14ac:dyDescent="0.3">
      <c r="B1053" s="332" t="s">
        <v>629</v>
      </c>
      <c r="C1053" s="333"/>
      <c r="D1053" s="332"/>
      <c r="E1053" s="333"/>
      <c r="F1053" s="334"/>
      <c r="G1053" s="332"/>
      <c r="H1053" s="334"/>
      <c r="I1053" s="334"/>
    </row>
    <row r="1054" spans="2:9" x14ac:dyDescent="0.3">
      <c r="B1054" s="332" t="s">
        <v>271</v>
      </c>
      <c r="C1054" s="333"/>
      <c r="D1054" s="332"/>
      <c r="E1054" s="333" t="s">
        <v>624</v>
      </c>
      <c r="F1054" s="334" t="s">
        <v>630</v>
      </c>
      <c r="G1054" s="332" t="s">
        <v>631</v>
      </c>
      <c r="H1054" s="334" t="s">
        <v>627</v>
      </c>
      <c r="I1054" s="334"/>
    </row>
    <row r="1055" spans="2:9" x14ac:dyDescent="0.3">
      <c r="B1055" s="332"/>
      <c r="C1055" s="333"/>
      <c r="D1055" s="332"/>
      <c r="E1055" s="333"/>
      <c r="F1055" s="334"/>
      <c r="G1055" s="332"/>
      <c r="H1055" s="344"/>
      <c r="I1055" s="344"/>
    </row>
    <row r="1056" spans="2:9" x14ac:dyDescent="0.3">
      <c r="B1056" s="332"/>
      <c r="C1056" s="333"/>
      <c r="D1056" s="332"/>
      <c r="E1056" s="333"/>
      <c r="F1056" s="334"/>
      <c r="G1056" s="332"/>
      <c r="H1056" s="344"/>
      <c r="I1056" s="334"/>
    </row>
    <row r="1057" spans="2:9" x14ac:dyDescent="0.3">
      <c r="B1057" s="332"/>
      <c r="C1057" s="333"/>
      <c r="D1057" s="332"/>
      <c r="E1057" s="333"/>
      <c r="F1057" s="334"/>
      <c r="G1057" s="332"/>
      <c r="H1057" s="344"/>
      <c r="I1057" s="334"/>
    </row>
    <row r="1058" spans="2:9" x14ac:dyDescent="0.3">
      <c r="B1058" s="332"/>
      <c r="C1058" s="333"/>
      <c r="D1058" s="332"/>
      <c r="E1058" s="333"/>
      <c r="F1058" s="334"/>
      <c r="G1058" s="332"/>
      <c r="H1058" s="344"/>
      <c r="I1058" s="334"/>
    </row>
    <row r="1059" spans="2:9" x14ac:dyDescent="0.3">
      <c r="B1059" s="332"/>
      <c r="C1059" s="333"/>
      <c r="D1059" s="332"/>
      <c r="E1059" s="333"/>
      <c r="F1059" s="334"/>
      <c r="G1059" s="332"/>
      <c r="H1059" s="334"/>
      <c r="I1059" s="334"/>
    </row>
    <row r="1060" spans="2:9" x14ac:dyDescent="0.3">
      <c r="B1060" s="332"/>
      <c r="C1060" s="333"/>
      <c r="D1060" s="332"/>
      <c r="E1060" s="333"/>
      <c r="F1060" s="334"/>
      <c r="G1060" s="332"/>
      <c r="H1060" s="334" t="s">
        <v>628</v>
      </c>
      <c r="I1060" s="334">
        <f>SUM(H1055:H1059)</f>
        <v>0</v>
      </c>
    </row>
    <row r="1061" spans="2:9" x14ac:dyDescent="0.3">
      <c r="B1061" s="332" t="s">
        <v>632</v>
      </c>
      <c r="C1061" s="333"/>
      <c r="D1061" s="332"/>
      <c r="E1061" s="333" t="s">
        <v>624</v>
      </c>
      <c r="F1061" s="334" t="s">
        <v>633</v>
      </c>
      <c r="G1061" s="332" t="s">
        <v>634</v>
      </c>
      <c r="H1061" s="334" t="s">
        <v>627</v>
      </c>
      <c r="I1061" s="334"/>
    </row>
    <row r="1062" spans="2:9" x14ac:dyDescent="0.3">
      <c r="B1062" s="332"/>
      <c r="C1062" s="333"/>
      <c r="D1062" s="332"/>
      <c r="E1062" s="332"/>
      <c r="F1062" s="332"/>
      <c r="G1062" s="332"/>
      <c r="H1062" s="332"/>
      <c r="I1062" s="332"/>
    </row>
    <row r="1063" spans="2:9" x14ac:dyDescent="0.3">
      <c r="B1063" s="332"/>
      <c r="C1063" s="333"/>
      <c r="D1063" s="332"/>
      <c r="E1063" s="333"/>
      <c r="F1063" s="336"/>
      <c r="G1063" s="334"/>
      <c r="H1063" s="334"/>
      <c r="I1063" s="334"/>
    </row>
    <row r="1064" spans="2:9" x14ac:dyDescent="0.3">
      <c r="B1064" s="332"/>
      <c r="C1064" s="333"/>
      <c r="D1064" s="332"/>
      <c r="E1064" s="333"/>
      <c r="F1064" s="334"/>
      <c r="G1064" s="332"/>
      <c r="H1064" s="334" t="s">
        <v>628</v>
      </c>
      <c r="I1064" s="334">
        <f>SUM(H1063)</f>
        <v>0</v>
      </c>
    </row>
    <row r="1065" spans="2:9" x14ac:dyDescent="0.3">
      <c r="B1065" s="332" t="s">
        <v>635</v>
      </c>
      <c r="C1065" s="333"/>
      <c r="D1065" s="332"/>
      <c r="E1065" s="333"/>
      <c r="F1065" s="334"/>
      <c r="G1065" s="332"/>
      <c r="H1065" s="334" t="s">
        <v>627</v>
      </c>
      <c r="I1065" s="334"/>
    </row>
    <row r="1066" spans="2:9" x14ac:dyDescent="0.3">
      <c r="B1066" s="332" t="s">
        <v>636</v>
      </c>
      <c r="C1066" s="333"/>
      <c r="D1066" s="332"/>
      <c r="E1066" s="333" t="s">
        <v>637</v>
      </c>
      <c r="F1066" s="334" t="s">
        <v>638</v>
      </c>
      <c r="G1066" s="332" t="s">
        <v>626</v>
      </c>
      <c r="H1066" s="332"/>
      <c r="I1066" s="334"/>
    </row>
    <row r="1067" spans="2:9" ht="28.8" x14ac:dyDescent="0.3">
      <c r="B1067" s="342" t="s">
        <v>702</v>
      </c>
      <c r="C1067" s="333"/>
      <c r="D1067" s="332"/>
      <c r="E1067" s="346">
        <v>168000</v>
      </c>
      <c r="F1067" s="344">
        <v>1.8</v>
      </c>
      <c r="G1067" s="345">
        <v>3.6878048731475568</v>
      </c>
      <c r="H1067" s="344">
        <f>E1067*F1067/G1067</f>
        <v>82000.000108980908</v>
      </c>
      <c r="I1067" s="344"/>
    </row>
    <row r="1068" spans="2:9" x14ac:dyDescent="0.3">
      <c r="B1068" s="332"/>
      <c r="C1068" s="333"/>
      <c r="D1068" s="332"/>
      <c r="E1068" s="333"/>
      <c r="F1068" s="334"/>
      <c r="G1068" s="332"/>
      <c r="H1068" s="334" t="s">
        <v>628</v>
      </c>
      <c r="I1068" s="334">
        <f>H1067</f>
        <v>82000.000108980908</v>
      </c>
    </row>
    <row r="1069" spans="2:9" s="301" customFormat="1" x14ac:dyDescent="0.3">
      <c r="B1069" s="332"/>
      <c r="C1069" s="333"/>
      <c r="D1069" s="332"/>
      <c r="E1069" s="333"/>
      <c r="F1069" s="334"/>
      <c r="G1069" s="332"/>
      <c r="H1069" s="330" t="s">
        <v>640</v>
      </c>
      <c r="I1069" s="330">
        <f>I1068+I1060+I1052+I1064</f>
        <v>85000.000108980908</v>
      </c>
    </row>
    <row r="1070" spans="2:9" s="301" customFormat="1" x14ac:dyDescent="0.3">
      <c r="C1070" s="349"/>
      <c r="E1070" s="349"/>
      <c r="F1070" s="350"/>
      <c r="H1070" s="351"/>
      <c r="I1070" s="351"/>
    </row>
    <row r="1071" spans="2:9" s="301" customFormat="1" ht="129.6" x14ac:dyDescent="0.3">
      <c r="B1071" s="339" t="s">
        <v>732</v>
      </c>
      <c r="C1071" s="339" t="s">
        <v>621</v>
      </c>
      <c r="D1071" s="341" t="s">
        <v>540</v>
      </c>
      <c r="E1071" s="339"/>
      <c r="F1071" s="340"/>
      <c r="G1071" s="340" t="s">
        <v>622</v>
      </c>
      <c r="H1071" s="340" t="s">
        <v>102</v>
      </c>
      <c r="I1071" s="340">
        <f>+ROUND(I1094,0)</f>
        <v>100000</v>
      </c>
    </row>
    <row r="1072" spans="2:9" x14ac:dyDescent="0.3">
      <c r="B1072" s="332" t="s">
        <v>623</v>
      </c>
      <c r="C1072" s="333"/>
      <c r="D1072" s="332"/>
      <c r="E1072" s="333"/>
      <c r="F1072" s="334"/>
      <c r="G1072" s="332"/>
      <c r="H1072" s="334"/>
      <c r="I1072" s="334"/>
    </row>
    <row r="1073" spans="2:9" x14ac:dyDescent="0.3">
      <c r="B1073" s="332" t="s">
        <v>271</v>
      </c>
      <c r="C1073" s="333"/>
      <c r="D1073" s="332"/>
      <c r="E1073" s="333" t="s">
        <v>624</v>
      </c>
      <c r="F1073" s="334" t="s">
        <v>625</v>
      </c>
      <c r="G1073" s="332" t="s">
        <v>626</v>
      </c>
      <c r="H1073" s="334" t="s">
        <v>627</v>
      </c>
      <c r="I1073" s="334"/>
    </row>
    <row r="1074" spans="2:9" x14ac:dyDescent="0.3">
      <c r="B1074" s="332" t="s">
        <v>701</v>
      </c>
      <c r="C1074" s="333"/>
      <c r="D1074" s="332"/>
      <c r="E1074" s="333" t="s">
        <v>644</v>
      </c>
      <c r="F1074" s="334">
        <v>1500</v>
      </c>
      <c r="G1074" s="335">
        <v>2</v>
      </c>
      <c r="H1074" s="334">
        <f>F1074*G1074</f>
        <v>3000</v>
      </c>
      <c r="I1074" s="334"/>
    </row>
    <row r="1075" spans="2:9" x14ac:dyDescent="0.3">
      <c r="B1075" s="332"/>
      <c r="C1075" s="333"/>
      <c r="D1075" s="332"/>
      <c r="E1075" s="333"/>
      <c r="F1075" s="334"/>
      <c r="G1075" s="335"/>
      <c r="H1075" s="334"/>
      <c r="I1075" s="334"/>
    </row>
    <row r="1076" spans="2:9" x14ac:dyDescent="0.3">
      <c r="B1076" s="332"/>
      <c r="C1076" s="333"/>
      <c r="D1076" s="332"/>
      <c r="E1076" s="333"/>
      <c r="F1076" s="334"/>
      <c r="G1076" s="335"/>
      <c r="H1076" s="334"/>
      <c r="I1076" s="334"/>
    </row>
    <row r="1077" spans="2:9" x14ac:dyDescent="0.3">
      <c r="B1077" s="332"/>
      <c r="C1077" s="333"/>
      <c r="D1077" s="332"/>
      <c r="E1077" s="333"/>
      <c r="F1077" s="334"/>
      <c r="G1077" s="332"/>
      <c r="H1077" s="334" t="s">
        <v>628</v>
      </c>
      <c r="I1077" s="334">
        <f>SUM(H1074:H1076)</f>
        <v>3000</v>
      </c>
    </row>
    <row r="1078" spans="2:9" x14ac:dyDescent="0.3">
      <c r="B1078" s="332" t="s">
        <v>629</v>
      </c>
      <c r="C1078" s="333"/>
      <c r="D1078" s="332"/>
      <c r="E1078" s="333"/>
      <c r="F1078" s="334"/>
      <c r="G1078" s="332"/>
      <c r="H1078" s="334"/>
      <c r="I1078" s="334"/>
    </row>
    <row r="1079" spans="2:9" x14ac:dyDescent="0.3">
      <c r="B1079" s="332" t="s">
        <v>271</v>
      </c>
      <c r="C1079" s="333"/>
      <c r="D1079" s="332"/>
      <c r="E1079" s="333" t="s">
        <v>624</v>
      </c>
      <c r="F1079" s="334" t="s">
        <v>630</v>
      </c>
      <c r="G1079" s="332" t="s">
        <v>631</v>
      </c>
      <c r="H1079" s="334" t="s">
        <v>627</v>
      </c>
      <c r="I1079" s="334"/>
    </row>
    <row r="1080" spans="2:9" x14ac:dyDescent="0.3">
      <c r="B1080" s="332" t="s">
        <v>723</v>
      </c>
      <c r="C1080" s="333"/>
      <c r="D1080" s="332"/>
      <c r="E1080" s="333" t="s">
        <v>93</v>
      </c>
      <c r="F1080" s="334">
        <v>10500</v>
      </c>
      <c r="G1080" s="332">
        <v>2</v>
      </c>
      <c r="H1080" s="344">
        <f>F1080*G1080</f>
        <v>21000</v>
      </c>
      <c r="I1080" s="344"/>
    </row>
    <row r="1081" spans="2:9" x14ac:dyDescent="0.3">
      <c r="B1081" s="332" t="s">
        <v>721</v>
      </c>
      <c r="C1081" s="333"/>
      <c r="D1081" s="332"/>
      <c r="E1081" s="333" t="s">
        <v>93</v>
      </c>
      <c r="F1081" s="334">
        <v>2500</v>
      </c>
      <c r="G1081" s="332">
        <v>5</v>
      </c>
      <c r="H1081" s="344">
        <f>F1081*G1081</f>
        <v>12500</v>
      </c>
      <c r="I1081" s="334"/>
    </row>
    <row r="1082" spans="2:9" x14ac:dyDescent="0.3">
      <c r="B1082" s="332" t="s">
        <v>713</v>
      </c>
      <c r="C1082" s="333"/>
      <c r="D1082" s="332"/>
      <c r="E1082" s="333" t="s">
        <v>33</v>
      </c>
      <c r="F1082" s="334">
        <v>9900</v>
      </c>
      <c r="G1082" s="332">
        <v>1</v>
      </c>
      <c r="H1082" s="344">
        <f>F1082*G1082</f>
        <v>9900</v>
      </c>
      <c r="I1082" s="334"/>
    </row>
    <row r="1083" spans="2:9" x14ac:dyDescent="0.3">
      <c r="B1083" s="332"/>
      <c r="C1083" s="333"/>
      <c r="D1083" s="332"/>
      <c r="E1083" s="333"/>
      <c r="F1083" s="334"/>
      <c r="G1083" s="332"/>
      <c r="H1083" s="344"/>
      <c r="I1083" s="334"/>
    </row>
    <row r="1084" spans="2:9" x14ac:dyDescent="0.3">
      <c r="B1084" s="332"/>
      <c r="C1084" s="333"/>
      <c r="D1084" s="332"/>
      <c r="E1084" s="333"/>
      <c r="F1084" s="334"/>
      <c r="G1084" s="332"/>
      <c r="H1084" s="334"/>
      <c r="I1084" s="334"/>
    </row>
    <row r="1085" spans="2:9" x14ac:dyDescent="0.3">
      <c r="B1085" s="332"/>
      <c r="C1085" s="333"/>
      <c r="D1085" s="332"/>
      <c r="E1085" s="333"/>
      <c r="F1085" s="334"/>
      <c r="G1085" s="332"/>
      <c r="H1085" s="334" t="s">
        <v>628</v>
      </c>
      <c r="I1085" s="334">
        <f>SUM(H1080:H1084)</f>
        <v>43400</v>
      </c>
    </row>
    <row r="1086" spans="2:9" x14ac:dyDescent="0.3">
      <c r="B1086" s="332" t="s">
        <v>632</v>
      </c>
      <c r="C1086" s="333"/>
      <c r="D1086" s="332"/>
      <c r="E1086" s="333" t="s">
        <v>624</v>
      </c>
      <c r="F1086" s="334" t="s">
        <v>633</v>
      </c>
      <c r="G1086" s="332" t="s">
        <v>634</v>
      </c>
      <c r="H1086" s="334" t="s">
        <v>627</v>
      </c>
      <c r="I1086" s="334"/>
    </row>
    <row r="1087" spans="2:9" x14ac:dyDescent="0.3">
      <c r="B1087" s="332"/>
      <c r="C1087" s="333"/>
      <c r="D1087" s="332"/>
      <c r="E1087" s="332"/>
      <c r="F1087" s="332"/>
      <c r="G1087" s="332"/>
      <c r="H1087" s="332"/>
      <c r="I1087" s="332"/>
    </row>
    <row r="1088" spans="2:9" x14ac:dyDescent="0.3">
      <c r="B1088" s="332"/>
      <c r="C1088" s="333"/>
      <c r="D1088" s="332"/>
      <c r="E1088" s="333"/>
      <c r="F1088" s="336"/>
      <c r="G1088" s="334"/>
      <c r="H1088" s="334"/>
      <c r="I1088" s="334"/>
    </row>
    <row r="1089" spans="2:9" x14ac:dyDescent="0.3">
      <c r="B1089" s="332"/>
      <c r="C1089" s="333"/>
      <c r="D1089" s="332"/>
      <c r="E1089" s="333"/>
      <c r="F1089" s="334"/>
      <c r="G1089" s="332"/>
      <c r="H1089" s="334" t="s">
        <v>628</v>
      </c>
      <c r="I1089" s="334">
        <f>SUM(H1088)</f>
        <v>0</v>
      </c>
    </row>
    <row r="1090" spans="2:9" x14ac:dyDescent="0.3">
      <c r="B1090" s="332" t="s">
        <v>635</v>
      </c>
      <c r="C1090" s="333"/>
      <c r="D1090" s="332"/>
      <c r="E1090" s="333"/>
      <c r="F1090" s="334"/>
      <c r="G1090" s="332"/>
      <c r="H1090" s="334" t="s">
        <v>627</v>
      </c>
      <c r="I1090" s="334"/>
    </row>
    <row r="1091" spans="2:9" x14ac:dyDescent="0.3">
      <c r="B1091" s="332" t="s">
        <v>636</v>
      </c>
      <c r="C1091" s="333"/>
      <c r="D1091" s="332"/>
      <c r="E1091" s="333" t="s">
        <v>637</v>
      </c>
      <c r="F1091" s="334" t="s">
        <v>638</v>
      </c>
      <c r="G1091" s="332" t="s">
        <v>626</v>
      </c>
      <c r="I1091" s="334"/>
    </row>
    <row r="1092" spans="2:9" ht="28.8" x14ac:dyDescent="0.3">
      <c r="B1092" s="342" t="s">
        <v>702</v>
      </c>
      <c r="C1092" s="333"/>
      <c r="D1092" s="332"/>
      <c r="E1092" s="346">
        <v>168000</v>
      </c>
      <c r="F1092" s="344">
        <v>1.8</v>
      </c>
      <c r="G1092" s="347">
        <v>5.6417910447686968</v>
      </c>
      <c r="H1092" s="344">
        <f>E1092*F1092/G1092</f>
        <v>53600.000000070519</v>
      </c>
      <c r="I1092" s="344"/>
    </row>
    <row r="1093" spans="2:9" x14ac:dyDescent="0.3">
      <c r="B1093" s="332"/>
      <c r="C1093" s="333"/>
      <c r="D1093" s="332"/>
      <c r="E1093" s="333"/>
      <c r="F1093" s="334"/>
      <c r="G1093" s="332"/>
      <c r="H1093" s="334" t="s">
        <v>628</v>
      </c>
      <c r="I1093" s="334">
        <f>H1092</f>
        <v>53600.000000070519</v>
      </c>
    </row>
    <row r="1094" spans="2:9" x14ac:dyDescent="0.3">
      <c r="B1094" s="332"/>
      <c r="C1094" s="333"/>
      <c r="D1094" s="332"/>
      <c r="E1094" s="333"/>
      <c r="F1094" s="334"/>
      <c r="G1094" s="332"/>
      <c r="H1094" s="330" t="s">
        <v>640</v>
      </c>
      <c r="I1094" s="330">
        <f>I1093+I1085+I1077+I1089</f>
        <v>100000.00000007052</v>
      </c>
    </row>
    <row r="1096" spans="2:9" ht="57.6" x14ac:dyDescent="0.3">
      <c r="B1096" s="339" t="s">
        <v>742</v>
      </c>
      <c r="C1096" s="339" t="s">
        <v>621</v>
      </c>
      <c r="D1096" s="341" t="s">
        <v>541</v>
      </c>
      <c r="E1096" s="339"/>
      <c r="F1096" s="340"/>
      <c r="G1096" s="340" t="s">
        <v>622</v>
      </c>
      <c r="H1096" s="340" t="s">
        <v>102</v>
      </c>
      <c r="I1096" s="340">
        <f>+ROUND(I1119,0)</f>
        <v>100000</v>
      </c>
    </row>
    <row r="1097" spans="2:9" x14ac:dyDescent="0.3">
      <c r="B1097" s="332" t="s">
        <v>623</v>
      </c>
      <c r="C1097" s="333"/>
      <c r="D1097" s="332"/>
      <c r="E1097" s="333"/>
      <c r="F1097" s="334"/>
      <c r="G1097" s="332"/>
      <c r="H1097" s="334"/>
      <c r="I1097" s="334"/>
    </row>
    <row r="1098" spans="2:9" x14ac:dyDescent="0.3">
      <c r="B1098" s="332" t="s">
        <v>271</v>
      </c>
      <c r="C1098" s="333"/>
      <c r="D1098" s="332"/>
      <c r="E1098" s="333" t="s">
        <v>624</v>
      </c>
      <c r="F1098" s="334" t="s">
        <v>625</v>
      </c>
      <c r="G1098" s="332" t="s">
        <v>626</v>
      </c>
      <c r="H1098" s="334" t="s">
        <v>627</v>
      </c>
      <c r="I1098" s="334"/>
    </row>
    <row r="1099" spans="2:9" x14ac:dyDescent="0.3">
      <c r="B1099" s="332" t="s">
        <v>701</v>
      </c>
      <c r="C1099" s="333"/>
      <c r="D1099" s="332"/>
      <c r="E1099" s="333" t="s">
        <v>644</v>
      </c>
      <c r="F1099" s="334">
        <v>1500</v>
      </c>
      <c r="G1099" s="335">
        <v>2</v>
      </c>
      <c r="H1099" s="334">
        <f>F1099*G1099</f>
        <v>3000</v>
      </c>
      <c r="I1099" s="334"/>
    </row>
    <row r="1100" spans="2:9" x14ac:dyDescent="0.3">
      <c r="B1100" s="332"/>
      <c r="C1100" s="333"/>
      <c r="D1100" s="332"/>
      <c r="E1100" s="333"/>
      <c r="F1100" s="334"/>
      <c r="G1100" s="335"/>
      <c r="H1100" s="334"/>
      <c r="I1100" s="334"/>
    </row>
    <row r="1101" spans="2:9" x14ac:dyDescent="0.3">
      <c r="B1101" s="332"/>
      <c r="C1101" s="333"/>
      <c r="D1101" s="332"/>
      <c r="E1101" s="333"/>
      <c r="F1101" s="334"/>
      <c r="G1101" s="335"/>
      <c r="H1101" s="334"/>
      <c r="I1101" s="334"/>
    </row>
    <row r="1102" spans="2:9" x14ac:dyDescent="0.3">
      <c r="B1102" s="332"/>
      <c r="C1102" s="333"/>
      <c r="D1102" s="332"/>
      <c r="E1102" s="333"/>
      <c r="F1102" s="334"/>
      <c r="G1102" s="332"/>
      <c r="H1102" s="334" t="s">
        <v>628</v>
      </c>
      <c r="I1102" s="334">
        <f>SUM(H1099:H1101)</f>
        <v>3000</v>
      </c>
    </row>
    <row r="1103" spans="2:9" x14ac:dyDescent="0.3">
      <c r="B1103" s="332" t="s">
        <v>629</v>
      </c>
      <c r="C1103" s="333"/>
      <c r="D1103" s="332"/>
      <c r="E1103" s="333"/>
      <c r="F1103" s="334"/>
      <c r="G1103" s="332"/>
      <c r="H1103" s="334"/>
      <c r="I1103" s="334"/>
    </row>
    <row r="1104" spans="2:9" x14ac:dyDescent="0.3">
      <c r="B1104" s="332" t="s">
        <v>271</v>
      </c>
      <c r="C1104" s="333"/>
      <c r="D1104" s="332"/>
      <c r="E1104" s="333" t="s">
        <v>624</v>
      </c>
      <c r="F1104" s="334" t="s">
        <v>630</v>
      </c>
      <c r="G1104" s="332" t="s">
        <v>631</v>
      </c>
      <c r="H1104" s="334" t="s">
        <v>627</v>
      </c>
      <c r="I1104" s="334"/>
    </row>
    <row r="1105" spans="2:9" x14ac:dyDescent="0.3">
      <c r="B1105" s="332" t="s">
        <v>723</v>
      </c>
      <c r="C1105" s="333"/>
      <c r="D1105" s="332"/>
      <c r="E1105" s="333" t="s">
        <v>93</v>
      </c>
      <c r="F1105" s="334">
        <v>10500</v>
      </c>
      <c r="G1105" s="332">
        <v>2</v>
      </c>
      <c r="H1105" s="344">
        <f>F1105*G1105</f>
        <v>21000</v>
      </c>
      <c r="I1105" s="344"/>
    </row>
    <row r="1106" spans="2:9" x14ac:dyDescent="0.3">
      <c r="B1106" s="332" t="s">
        <v>721</v>
      </c>
      <c r="C1106" s="333"/>
      <c r="D1106" s="332"/>
      <c r="E1106" s="333" t="s">
        <v>93</v>
      </c>
      <c r="F1106" s="334">
        <v>2500</v>
      </c>
      <c r="G1106" s="332">
        <v>5</v>
      </c>
      <c r="H1106" s="344">
        <f>F1106*G1106</f>
        <v>12500</v>
      </c>
      <c r="I1106" s="334"/>
    </row>
    <row r="1107" spans="2:9" x14ac:dyDescent="0.3">
      <c r="B1107" s="332" t="s">
        <v>713</v>
      </c>
      <c r="C1107" s="333"/>
      <c r="D1107" s="332"/>
      <c r="E1107" s="333" t="s">
        <v>33</v>
      </c>
      <c r="F1107" s="334">
        <v>9900</v>
      </c>
      <c r="G1107" s="332">
        <v>1</v>
      </c>
      <c r="H1107" s="344">
        <f>F1107*G1107</f>
        <v>9900</v>
      </c>
      <c r="I1107" s="334"/>
    </row>
    <row r="1108" spans="2:9" x14ac:dyDescent="0.3">
      <c r="B1108" s="332"/>
      <c r="C1108" s="333"/>
      <c r="D1108" s="332"/>
      <c r="E1108" s="333"/>
      <c r="F1108" s="334"/>
      <c r="G1108" s="332"/>
      <c r="H1108" s="344"/>
      <c r="I1108" s="334"/>
    </row>
    <row r="1109" spans="2:9" x14ac:dyDescent="0.3">
      <c r="B1109" s="332"/>
      <c r="C1109" s="333"/>
      <c r="D1109" s="332"/>
      <c r="E1109" s="333"/>
      <c r="F1109" s="334"/>
      <c r="G1109" s="332"/>
      <c r="H1109" s="334"/>
      <c r="I1109" s="334"/>
    </row>
    <row r="1110" spans="2:9" x14ac:dyDescent="0.3">
      <c r="B1110" s="332"/>
      <c r="C1110" s="333"/>
      <c r="D1110" s="332"/>
      <c r="E1110" s="333"/>
      <c r="F1110" s="334"/>
      <c r="G1110" s="332"/>
      <c r="H1110" s="334" t="s">
        <v>628</v>
      </c>
      <c r="I1110" s="334">
        <f>SUM(H1105:H1109)</f>
        <v>43400</v>
      </c>
    </row>
    <row r="1111" spans="2:9" x14ac:dyDescent="0.3">
      <c r="B1111" s="332" t="s">
        <v>632</v>
      </c>
      <c r="C1111" s="333"/>
      <c r="D1111" s="332"/>
      <c r="E1111" s="333" t="s">
        <v>624</v>
      </c>
      <c r="F1111" s="334" t="s">
        <v>633</v>
      </c>
      <c r="G1111" s="332" t="s">
        <v>634</v>
      </c>
      <c r="H1111" s="334" t="s">
        <v>627</v>
      </c>
      <c r="I1111" s="334"/>
    </row>
    <row r="1112" spans="2:9" x14ac:dyDescent="0.3">
      <c r="B1112" s="332"/>
      <c r="C1112" s="333"/>
      <c r="D1112" s="332"/>
      <c r="E1112" s="332"/>
      <c r="F1112" s="332"/>
      <c r="G1112" s="332"/>
      <c r="H1112" s="332"/>
      <c r="I1112" s="332"/>
    </row>
    <row r="1113" spans="2:9" x14ac:dyDescent="0.3">
      <c r="B1113" s="332"/>
      <c r="C1113" s="333"/>
      <c r="D1113" s="332"/>
      <c r="E1113" s="333"/>
      <c r="F1113" s="336"/>
      <c r="G1113" s="334"/>
      <c r="H1113" s="334"/>
      <c r="I1113" s="334"/>
    </row>
    <row r="1114" spans="2:9" x14ac:dyDescent="0.3">
      <c r="B1114" s="332"/>
      <c r="C1114" s="333"/>
      <c r="D1114" s="332"/>
      <c r="E1114" s="333"/>
      <c r="F1114" s="334"/>
      <c r="G1114" s="332"/>
      <c r="H1114" s="334" t="s">
        <v>628</v>
      </c>
      <c r="I1114" s="334">
        <f>SUM(H1113)</f>
        <v>0</v>
      </c>
    </row>
    <row r="1115" spans="2:9" x14ac:dyDescent="0.3">
      <c r="B1115" s="332" t="s">
        <v>635</v>
      </c>
      <c r="C1115" s="333"/>
      <c r="D1115" s="332"/>
      <c r="E1115" s="333"/>
      <c r="F1115" s="334"/>
      <c r="G1115" s="332"/>
      <c r="H1115" s="334" t="s">
        <v>627</v>
      </c>
      <c r="I1115" s="334"/>
    </row>
    <row r="1116" spans="2:9" x14ac:dyDescent="0.3">
      <c r="B1116" s="332" t="s">
        <v>636</v>
      </c>
      <c r="C1116" s="333"/>
      <c r="D1116" s="332"/>
      <c r="E1116" s="333" t="s">
        <v>637</v>
      </c>
      <c r="F1116" s="334" t="s">
        <v>638</v>
      </c>
      <c r="G1116" s="332" t="s">
        <v>626</v>
      </c>
      <c r="I1116" s="334"/>
    </row>
    <row r="1117" spans="2:9" ht="28.8" x14ac:dyDescent="0.3">
      <c r="B1117" s="342" t="s">
        <v>702</v>
      </c>
      <c r="C1117" s="333"/>
      <c r="D1117" s="332"/>
      <c r="E1117" s="346">
        <v>168000</v>
      </c>
      <c r="F1117" s="344">
        <v>1.8</v>
      </c>
      <c r="G1117" s="347">
        <v>5.6417910447686968</v>
      </c>
      <c r="H1117" s="344">
        <f>E1117*F1117/G1117</f>
        <v>53600.000000070519</v>
      </c>
      <c r="I1117" s="344"/>
    </row>
    <row r="1118" spans="2:9" x14ac:dyDescent="0.3">
      <c r="B1118" s="332"/>
      <c r="C1118" s="333"/>
      <c r="D1118" s="332"/>
      <c r="E1118" s="333"/>
      <c r="F1118" s="334"/>
      <c r="G1118" s="332"/>
      <c r="H1118" s="334" t="s">
        <v>628</v>
      </c>
      <c r="I1118" s="334">
        <f>H1117</f>
        <v>53600.000000070519</v>
      </c>
    </row>
    <row r="1119" spans="2:9" x14ac:dyDescent="0.3">
      <c r="B1119" s="332"/>
      <c r="C1119" s="333"/>
      <c r="D1119" s="332"/>
      <c r="E1119" s="333"/>
      <c r="F1119" s="334"/>
      <c r="G1119" s="332"/>
      <c r="H1119" s="330" t="s">
        <v>640</v>
      </c>
      <c r="I1119" s="330">
        <f>I1118+I1110+I1102+I1114</f>
        <v>100000.00000007052</v>
      </c>
    </row>
    <row r="1121" spans="2:9" ht="86.4" x14ac:dyDescent="0.3">
      <c r="B1121" s="339" t="s">
        <v>733</v>
      </c>
      <c r="C1121" s="339" t="s">
        <v>621</v>
      </c>
      <c r="D1121" s="341" t="s">
        <v>542</v>
      </c>
      <c r="E1121" s="339"/>
      <c r="F1121" s="340"/>
      <c r="G1121" s="340" t="s">
        <v>622</v>
      </c>
      <c r="H1121" s="340" t="s">
        <v>102</v>
      </c>
      <c r="I1121" s="340">
        <f>+ROUND(I1144,0)</f>
        <v>30000</v>
      </c>
    </row>
    <row r="1122" spans="2:9" x14ac:dyDescent="0.3">
      <c r="B1122" s="332" t="s">
        <v>623</v>
      </c>
      <c r="C1122" s="333"/>
      <c r="D1122" s="332"/>
      <c r="E1122" s="333"/>
      <c r="F1122" s="334"/>
      <c r="G1122" s="332"/>
      <c r="H1122" s="334"/>
      <c r="I1122" s="334"/>
    </row>
    <row r="1123" spans="2:9" x14ac:dyDescent="0.3">
      <c r="B1123" s="332" t="s">
        <v>271</v>
      </c>
      <c r="C1123" s="333"/>
      <c r="D1123" s="332"/>
      <c r="E1123" s="333" t="s">
        <v>624</v>
      </c>
      <c r="F1123" s="334" t="s">
        <v>625</v>
      </c>
      <c r="G1123" s="332" t="s">
        <v>626</v>
      </c>
      <c r="H1123" s="334" t="s">
        <v>627</v>
      </c>
      <c r="I1123" s="334"/>
    </row>
    <row r="1124" spans="2:9" x14ac:dyDescent="0.3">
      <c r="B1124" s="332" t="s">
        <v>701</v>
      </c>
      <c r="C1124" s="333"/>
      <c r="D1124" s="332"/>
      <c r="E1124" s="333" t="s">
        <v>644</v>
      </c>
      <c r="F1124" s="334">
        <v>1500</v>
      </c>
      <c r="G1124" s="335">
        <v>2</v>
      </c>
      <c r="H1124" s="334">
        <f>F1124*G1124</f>
        <v>3000</v>
      </c>
      <c r="I1124" s="334"/>
    </row>
    <row r="1125" spans="2:9" x14ac:dyDescent="0.3">
      <c r="B1125" s="332"/>
      <c r="C1125" s="333"/>
      <c r="D1125" s="332"/>
      <c r="E1125" s="333"/>
      <c r="F1125" s="334"/>
      <c r="G1125" s="335"/>
      <c r="H1125" s="334"/>
      <c r="I1125" s="334"/>
    </row>
    <row r="1126" spans="2:9" x14ac:dyDescent="0.3">
      <c r="B1126" s="332"/>
      <c r="C1126" s="333"/>
      <c r="D1126" s="332"/>
      <c r="E1126" s="333"/>
      <c r="F1126" s="334"/>
      <c r="G1126" s="335"/>
      <c r="H1126" s="334"/>
      <c r="I1126" s="334"/>
    </row>
    <row r="1127" spans="2:9" x14ac:dyDescent="0.3">
      <c r="B1127" s="332"/>
      <c r="C1127" s="333"/>
      <c r="D1127" s="332"/>
      <c r="E1127" s="333"/>
      <c r="F1127" s="334"/>
      <c r="G1127" s="332"/>
      <c r="H1127" s="334" t="s">
        <v>628</v>
      </c>
      <c r="I1127" s="334">
        <f>SUM(H1124:H1126)</f>
        <v>3000</v>
      </c>
    </row>
    <row r="1128" spans="2:9" x14ac:dyDescent="0.3">
      <c r="B1128" s="332" t="s">
        <v>629</v>
      </c>
      <c r="C1128" s="333"/>
      <c r="D1128" s="332"/>
      <c r="E1128" s="333"/>
      <c r="F1128" s="334"/>
      <c r="G1128" s="332"/>
      <c r="H1128" s="334"/>
      <c r="I1128" s="334"/>
    </row>
    <row r="1129" spans="2:9" x14ac:dyDescent="0.3">
      <c r="B1129" s="332" t="s">
        <v>271</v>
      </c>
      <c r="C1129" s="333"/>
      <c r="D1129" s="332"/>
      <c r="E1129" s="333" t="s">
        <v>624</v>
      </c>
      <c r="F1129" s="334" t="s">
        <v>630</v>
      </c>
      <c r="G1129" s="332" t="s">
        <v>631</v>
      </c>
      <c r="H1129" s="334" t="s">
        <v>627</v>
      </c>
      <c r="I1129" s="334"/>
    </row>
    <row r="1130" spans="2:9" x14ac:dyDescent="0.3">
      <c r="B1130" s="332"/>
      <c r="C1130" s="333"/>
      <c r="D1130" s="332"/>
      <c r="E1130" s="333"/>
      <c r="F1130" s="334"/>
      <c r="G1130" s="332"/>
      <c r="H1130" s="344"/>
      <c r="I1130" s="344"/>
    </row>
    <row r="1131" spans="2:9" x14ac:dyDescent="0.3">
      <c r="B1131" s="332"/>
      <c r="C1131" s="333"/>
      <c r="D1131" s="332"/>
      <c r="E1131" s="333"/>
      <c r="F1131" s="334"/>
      <c r="G1131" s="332"/>
      <c r="H1131" s="344"/>
      <c r="I1131" s="334"/>
    </row>
    <row r="1132" spans="2:9" x14ac:dyDescent="0.3">
      <c r="B1132" s="332"/>
      <c r="C1132" s="333"/>
      <c r="D1132" s="332"/>
      <c r="E1132" s="333"/>
      <c r="F1132" s="334"/>
      <c r="G1132" s="332"/>
      <c r="H1132" s="344"/>
      <c r="I1132" s="334"/>
    </row>
    <row r="1133" spans="2:9" x14ac:dyDescent="0.3">
      <c r="B1133" s="332"/>
      <c r="C1133" s="333"/>
      <c r="D1133" s="332"/>
      <c r="E1133" s="333"/>
      <c r="F1133" s="334"/>
      <c r="G1133" s="332"/>
      <c r="H1133" s="344"/>
      <c r="I1133" s="334"/>
    </row>
    <row r="1134" spans="2:9" x14ac:dyDescent="0.3">
      <c r="B1134" s="332"/>
      <c r="C1134" s="333"/>
      <c r="D1134" s="332"/>
      <c r="E1134" s="333"/>
      <c r="F1134" s="334"/>
      <c r="G1134" s="332"/>
      <c r="H1134" s="334"/>
      <c r="I1134" s="334"/>
    </row>
    <row r="1135" spans="2:9" x14ac:dyDescent="0.3">
      <c r="B1135" s="332"/>
      <c r="C1135" s="333"/>
      <c r="D1135" s="332"/>
      <c r="E1135" s="333"/>
      <c r="F1135" s="334"/>
      <c r="G1135" s="332"/>
      <c r="H1135" s="334" t="s">
        <v>628</v>
      </c>
      <c r="I1135" s="334">
        <f>SUM(H1130:H1134)</f>
        <v>0</v>
      </c>
    </row>
    <row r="1136" spans="2:9" x14ac:dyDescent="0.3">
      <c r="B1136" s="332" t="s">
        <v>632</v>
      </c>
      <c r="C1136" s="333"/>
      <c r="D1136" s="332"/>
      <c r="E1136" s="333" t="s">
        <v>624</v>
      </c>
      <c r="F1136" s="334" t="s">
        <v>633</v>
      </c>
      <c r="G1136" s="332" t="s">
        <v>634</v>
      </c>
      <c r="H1136" s="334" t="s">
        <v>627</v>
      </c>
      <c r="I1136" s="334"/>
    </row>
    <row r="1137" spans="2:9" x14ac:dyDescent="0.3">
      <c r="B1137" s="332"/>
      <c r="C1137" s="333"/>
      <c r="D1137" s="332"/>
      <c r="E1137" s="332"/>
      <c r="F1137" s="332"/>
      <c r="G1137" s="332"/>
      <c r="H1137" s="332"/>
      <c r="I1137" s="332"/>
    </row>
    <row r="1138" spans="2:9" x14ac:dyDescent="0.3">
      <c r="B1138" s="332"/>
      <c r="C1138" s="333"/>
      <c r="D1138" s="332"/>
      <c r="E1138" s="333"/>
      <c r="F1138" s="336"/>
      <c r="G1138" s="334"/>
      <c r="H1138" s="334"/>
      <c r="I1138" s="334"/>
    </row>
    <row r="1139" spans="2:9" x14ac:dyDescent="0.3">
      <c r="B1139" s="332"/>
      <c r="C1139" s="333"/>
      <c r="D1139" s="332"/>
      <c r="E1139" s="333"/>
      <c r="F1139" s="334"/>
      <c r="G1139" s="332"/>
      <c r="H1139" s="334" t="s">
        <v>628</v>
      </c>
      <c r="I1139" s="334">
        <f>SUM(H1138)</f>
        <v>0</v>
      </c>
    </row>
    <row r="1140" spans="2:9" x14ac:dyDescent="0.3">
      <c r="B1140" s="332" t="s">
        <v>635</v>
      </c>
      <c r="C1140" s="333"/>
      <c r="D1140" s="332"/>
      <c r="E1140" s="333"/>
      <c r="F1140" s="334"/>
      <c r="G1140" s="332"/>
      <c r="H1140" s="334" t="s">
        <v>627</v>
      </c>
      <c r="I1140" s="334"/>
    </row>
    <row r="1141" spans="2:9" x14ac:dyDescent="0.3">
      <c r="B1141" s="332" t="s">
        <v>636</v>
      </c>
      <c r="C1141" s="333"/>
      <c r="D1141" s="332"/>
      <c r="E1141" s="333" t="s">
        <v>637</v>
      </c>
      <c r="F1141" s="334" t="s">
        <v>638</v>
      </c>
      <c r="G1141" s="332" t="s">
        <v>626</v>
      </c>
      <c r="I1141" s="334"/>
    </row>
    <row r="1142" spans="2:9" ht="28.8" x14ac:dyDescent="0.3">
      <c r="B1142" s="342" t="s">
        <v>702</v>
      </c>
      <c r="C1142" s="333"/>
      <c r="D1142" s="332"/>
      <c r="E1142" s="346">
        <v>168000</v>
      </c>
      <c r="F1142" s="344">
        <v>1.8</v>
      </c>
      <c r="G1142" s="345">
        <v>11.19999999663265</v>
      </c>
      <c r="H1142" s="344">
        <f>E1142*F1142/G1142</f>
        <v>27000.000008117717</v>
      </c>
      <c r="I1142" s="344"/>
    </row>
    <row r="1143" spans="2:9" x14ac:dyDescent="0.3">
      <c r="B1143" s="332"/>
      <c r="C1143" s="333"/>
      <c r="D1143" s="332"/>
      <c r="E1143" s="333"/>
      <c r="F1143" s="334"/>
      <c r="G1143" s="332"/>
      <c r="H1143" s="334" t="s">
        <v>628</v>
      </c>
      <c r="I1143" s="334">
        <f>H1142</f>
        <v>27000.000008117717</v>
      </c>
    </row>
    <row r="1144" spans="2:9" x14ac:dyDescent="0.3">
      <c r="B1144" s="332"/>
      <c r="C1144" s="333"/>
      <c r="D1144" s="332"/>
      <c r="E1144" s="333"/>
      <c r="F1144" s="334"/>
      <c r="G1144" s="332"/>
      <c r="H1144" s="330" t="s">
        <v>640</v>
      </c>
      <c r="I1144" s="330">
        <f>I1143+I1135+I1127+I1139</f>
        <v>30000.000008117717</v>
      </c>
    </row>
    <row r="1146" spans="2:9" ht="57.6" x14ac:dyDescent="0.3">
      <c r="B1146" s="339" t="s">
        <v>735</v>
      </c>
      <c r="C1146" s="339" t="s">
        <v>621</v>
      </c>
      <c r="D1146" s="341" t="s">
        <v>543</v>
      </c>
      <c r="E1146" s="339"/>
      <c r="F1146" s="340"/>
      <c r="G1146" s="340" t="s">
        <v>622</v>
      </c>
      <c r="H1146" s="340" t="s">
        <v>102</v>
      </c>
      <c r="I1146" s="340">
        <f>+ROUND(I1169,0)</f>
        <v>25000</v>
      </c>
    </row>
    <row r="1147" spans="2:9" x14ac:dyDescent="0.3">
      <c r="B1147" s="332" t="s">
        <v>623</v>
      </c>
      <c r="C1147" s="333"/>
      <c r="D1147" s="332"/>
      <c r="E1147" s="333"/>
      <c r="F1147" s="334"/>
      <c r="G1147" s="332"/>
      <c r="H1147" s="334"/>
      <c r="I1147" s="334"/>
    </row>
    <row r="1148" spans="2:9" x14ac:dyDescent="0.3">
      <c r="B1148" s="332" t="s">
        <v>271</v>
      </c>
      <c r="C1148" s="333"/>
      <c r="D1148" s="332"/>
      <c r="E1148" s="333" t="s">
        <v>624</v>
      </c>
      <c r="F1148" s="334" t="s">
        <v>625</v>
      </c>
      <c r="G1148" s="332" t="s">
        <v>626</v>
      </c>
      <c r="H1148" s="334" t="s">
        <v>627</v>
      </c>
      <c r="I1148" s="334"/>
    </row>
    <row r="1149" spans="2:9" x14ac:dyDescent="0.3">
      <c r="B1149" s="332" t="s">
        <v>701</v>
      </c>
      <c r="C1149" s="333"/>
      <c r="D1149" s="332"/>
      <c r="E1149" s="333" t="s">
        <v>644</v>
      </c>
      <c r="F1149" s="334">
        <v>1500</v>
      </c>
      <c r="G1149" s="335">
        <v>2</v>
      </c>
      <c r="H1149" s="334">
        <f>F1149*G1149</f>
        <v>3000</v>
      </c>
      <c r="I1149" s="334"/>
    </row>
    <row r="1150" spans="2:9" x14ac:dyDescent="0.3">
      <c r="B1150" s="332"/>
      <c r="C1150" s="333"/>
      <c r="D1150" s="332"/>
      <c r="E1150" s="333"/>
      <c r="F1150" s="334"/>
      <c r="G1150" s="335"/>
      <c r="H1150" s="334"/>
      <c r="I1150" s="334"/>
    </row>
    <row r="1151" spans="2:9" x14ac:dyDescent="0.3">
      <c r="B1151" s="332"/>
      <c r="C1151" s="333"/>
      <c r="D1151" s="332"/>
      <c r="E1151" s="333"/>
      <c r="F1151" s="334"/>
      <c r="G1151" s="335"/>
      <c r="H1151" s="334"/>
      <c r="I1151" s="334"/>
    </row>
    <row r="1152" spans="2:9" x14ac:dyDescent="0.3">
      <c r="B1152" s="332"/>
      <c r="C1152" s="333"/>
      <c r="D1152" s="332"/>
      <c r="E1152" s="333"/>
      <c r="F1152" s="334"/>
      <c r="G1152" s="332"/>
      <c r="H1152" s="334" t="s">
        <v>628</v>
      </c>
      <c r="I1152" s="334">
        <f>SUM(H1149:H1151)</f>
        <v>3000</v>
      </c>
    </row>
    <row r="1153" spans="2:9" x14ac:dyDescent="0.3">
      <c r="B1153" s="332" t="s">
        <v>629</v>
      </c>
      <c r="C1153" s="333"/>
      <c r="D1153" s="332"/>
      <c r="E1153" s="333"/>
      <c r="F1153" s="334"/>
      <c r="G1153" s="332"/>
      <c r="H1153" s="334"/>
      <c r="I1153" s="334"/>
    </row>
    <row r="1154" spans="2:9" x14ac:dyDescent="0.3">
      <c r="B1154" s="332" t="s">
        <v>271</v>
      </c>
      <c r="C1154" s="333"/>
      <c r="D1154" s="332"/>
      <c r="E1154" s="333" t="s">
        <v>624</v>
      </c>
      <c r="F1154" s="334" t="s">
        <v>630</v>
      </c>
      <c r="G1154" s="332" t="s">
        <v>631</v>
      </c>
      <c r="H1154" s="334" t="s">
        <v>627</v>
      </c>
      <c r="I1154" s="334"/>
    </row>
    <row r="1155" spans="2:9" x14ac:dyDescent="0.3">
      <c r="B1155" s="332"/>
      <c r="C1155" s="333"/>
      <c r="D1155" s="332"/>
      <c r="E1155" s="333"/>
      <c r="F1155" s="334"/>
      <c r="G1155" s="332"/>
      <c r="H1155" s="344"/>
      <c r="I1155" s="344"/>
    </row>
    <row r="1156" spans="2:9" x14ac:dyDescent="0.3">
      <c r="B1156" s="332"/>
      <c r="C1156" s="333"/>
      <c r="D1156" s="332"/>
      <c r="E1156" s="333"/>
      <c r="F1156" s="334"/>
      <c r="G1156" s="332"/>
      <c r="H1156" s="344"/>
      <c r="I1156" s="334"/>
    </row>
    <row r="1157" spans="2:9" x14ac:dyDescent="0.3">
      <c r="B1157" s="332"/>
      <c r="C1157" s="333"/>
      <c r="D1157" s="332"/>
      <c r="E1157" s="333"/>
      <c r="F1157" s="334"/>
      <c r="G1157" s="332"/>
      <c r="H1157" s="344"/>
      <c r="I1157" s="334"/>
    </row>
    <row r="1158" spans="2:9" x14ac:dyDescent="0.3">
      <c r="B1158" s="332"/>
      <c r="C1158" s="333"/>
      <c r="D1158" s="332"/>
      <c r="E1158" s="333"/>
      <c r="F1158" s="334"/>
      <c r="G1158" s="332"/>
      <c r="H1158" s="344"/>
      <c r="I1158" s="334"/>
    </row>
    <row r="1159" spans="2:9" x14ac:dyDescent="0.3">
      <c r="B1159" s="332"/>
      <c r="C1159" s="333"/>
      <c r="D1159" s="332"/>
      <c r="E1159" s="333"/>
      <c r="F1159" s="334"/>
      <c r="G1159" s="332"/>
      <c r="H1159" s="334"/>
      <c r="I1159" s="334"/>
    </row>
    <row r="1160" spans="2:9" x14ac:dyDescent="0.3">
      <c r="B1160" s="332"/>
      <c r="C1160" s="333"/>
      <c r="D1160" s="332"/>
      <c r="E1160" s="333"/>
      <c r="F1160" s="334"/>
      <c r="G1160" s="332"/>
      <c r="H1160" s="334" t="s">
        <v>628</v>
      </c>
      <c r="I1160" s="334">
        <f>SUM(H1155:H1159)</f>
        <v>0</v>
      </c>
    </row>
    <row r="1161" spans="2:9" x14ac:dyDescent="0.3">
      <c r="B1161" s="332" t="s">
        <v>632</v>
      </c>
      <c r="C1161" s="333"/>
      <c r="D1161" s="332"/>
      <c r="E1161" s="333" t="s">
        <v>624</v>
      </c>
      <c r="F1161" s="334" t="s">
        <v>633</v>
      </c>
      <c r="G1161" s="332" t="s">
        <v>634</v>
      </c>
      <c r="H1161" s="334" t="s">
        <v>627</v>
      </c>
      <c r="I1161" s="334"/>
    </row>
    <row r="1162" spans="2:9" x14ac:dyDescent="0.3">
      <c r="B1162" s="332"/>
      <c r="C1162" s="333"/>
      <c r="D1162" s="332"/>
      <c r="E1162" s="332"/>
      <c r="F1162" s="332"/>
      <c r="G1162" s="332"/>
      <c r="H1162" s="332"/>
      <c r="I1162" s="332"/>
    </row>
    <row r="1163" spans="2:9" x14ac:dyDescent="0.3">
      <c r="B1163" s="332"/>
      <c r="C1163" s="333"/>
      <c r="D1163" s="332"/>
      <c r="E1163" s="333"/>
      <c r="F1163" s="336"/>
      <c r="G1163" s="334"/>
      <c r="H1163" s="334"/>
      <c r="I1163" s="334"/>
    </row>
    <row r="1164" spans="2:9" x14ac:dyDescent="0.3">
      <c r="B1164" s="332"/>
      <c r="C1164" s="333"/>
      <c r="D1164" s="332"/>
      <c r="E1164" s="333"/>
      <c r="F1164" s="334"/>
      <c r="G1164" s="332"/>
      <c r="H1164" s="334" t="s">
        <v>628</v>
      </c>
      <c r="I1164" s="334">
        <f>SUM(H1163)</f>
        <v>0</v>
      </c>
    </row>
    <row r="1165" spans="2:9" x14ac:dyDescent="0.3">
      <c r="B1165" s="332" t="s">
        <v>635</v>
      </c>
      <c r="C1165" s="333"/>
      <c r="D1165" s="332"/>
      <c r="E1165" s="333"/>
      <c r="F1165" s="334"/>
      <c r="G1165" s="332"/>
      <c r="H1165" s="334" t="s">
        <v>627</v>
      </c>
      <c r="I1165" s="334"/>
    </row>
    <row r="1166" spans="2:9" x14ac:dyDescent="0.3">
      <c r="B1166" s="332" t="s">
        <v>636</v>
      </c>
      <c r="C1166" s="333"/>
      <c r="D1166" s="332"/>
      <c r="E1166" s="333" t="s">
        <v>637</v>
      </c>
      <c r="F1166" s="334" t="s">
        <v>638</v>
      </c>
      <c r="G1166" s="332" t="s">
        <v>626</v>
      </c>
      <c r="I1166" s="334"/>
    </row>
    <row r="1167" spans="2:9" ht="28.8" x14ac:dyDescent="0.3">
      <c r="B1167" s="342" t="s">
        <v>702</v>
      </c>
      <c r="C1167" s="333"/>
      <c r="D1167" s="332"/>
      <c r="E1167" s="346">
        <v>168000</v>
      </c>
      <c r="F1167" s="344">
        <v>1.8</v>
      </c>
      <c r="G1167" s="345">
        <v>13.745454510438796</v>
      </c>
      <c r="H1167" s="344">
        <f>E1167*F1167/G1167</f>
        <v>22000.000056043726</v>
      </c>
      <c r="I1167" s="344"/>
    </row>
    <row r="1168" spans="2:9" x14ac:dyDescent="0.3">
      <c r="B1168" s="332"/>
      <c r="C1168" s="333"/>
      <c r="D1168" s="332"/>
      <c r="E1168" s="333"/>
      <c r="F1168" s="334"/>
      <c r="G1168" s="332"/>
      <c r="H1168" s="334" t="s">
        <v>628</v>
      </c>
      <c r="I1168" s="334">
        <f>H1167</f>
        <v>22000.000056043726</v>
      </c>
    </row>
    <row r="1169" spans="2:9" x14ac:dyDescent="0.3">
      <c r="B1169" s="332"/>
      <c r="C1169" s="333"/>
      <c r="D1169" s="332"/>
      <c r="E1169" s="333"/>
      <c r="F1169" s="334"/>
      <c r="G1169" s="332"/>
      <c r="H1169" s="330" t="s">
        <v>640</v>
      </c>
      <c r="I1169" s="330">
        <f>I1168+I1160+I1152+I1164</f>
        <v>25000.000056043726</v>
      </c>
    </row>
    <row r="1171" spans="2:9" ht="57.6" x14ac:dyDescent="0.3">
      <c r="B1171" s="339" t="s">
        <v>736</v>
      </c>
      <c r="C1171" s="339" t="s">
        <v>621</v>
      </c>
      <c r="D1171" s="341" t="s">
        <v>544</v>
      </c>
      <c r="E1171" s="339"/>
      <c r="F1171" s="340"/>
      <c r="G1171" s="340" t="s">
        <v>622</v>
      </c>
      <c r="H1171" s="340" t="s">
        <v>102</v>
      </c>
      <c r="I1171" s="340">
        <f>+ROUND(I1194,0)</f>
        <v>100000</v>
      </c>
    </row>
    <row r="1172" spans="2:9" x14ac:dyDescent="0.3">
      <c r="B1172" s="332" t="s">
        <v>623</v>
      </c>
      <c r="C1172" s="333"/>
      <c r="D1172" s="332"/>
      <c r="E1172" s="333"/>
      <c r="F1172" s="334"/>
      <c r="G1172" s="332"/>
      <c r="H1172" s="334"/>
      <c r="I1172" s="334"/>
    </row>
    <row r="1173" spans="2:9" x14ac:dyDescent="0.3">
      <c r="B1173" s="332" t="s">
        <v>271</v>
      </c>
      <c r="C1173" s="333"/>
      <c r="D1173" s="332"/>
      <c r="E1173" s="333" t="s">
        <v>624</v>
      </c>
      <c r="F1173" s="334" t="s">
        <v>625</v>
      </c>
      <c r="G1173" s="332" t="s">
        <v>626</v>
      </c>
      <c r="H1173" s="334" t="s">
        <v>627</v>
      </c>
      <c r="I1173" s="334"/>
    </row>
    <row r="1174" spans="2:9" x14ac:dyDescent="0.3">
      <c r="B1174" s="332" t="s">
        <v>701</v>
      </c>
      <c r="C1174" s="333"/>
      <c r="D1174" s="332"/>
      <c r="E1174" s="333" t="s">
        <v>644</v>
      </c>
      <c r="F1174" s="334">
        <v>1500</v>
      </c>
      <c r="G1174" s="335">
        <v>2</v>
      </c>
      <c r="H1174" s="334">
        <f>F1174*G1174</f>
        <v>3000</v>
      </c>
      <c r="I1174" s="334"/>
    </row>
    <row r="1175" spans="2:9" x14ac:dyDescent="0.3">
      <c r="B1175" s="332"/>
      <c r="C1175" s="333"/>
      <c r="D1175" s="332"/>
      <c r="E1175" s="333"/>
      <c r="F1175" s="334"/>
      <c r="G1175" s="335"/>
      <c r="H1175" s="334"/>
      <c r="I1175" s="334"/>
    </row>
    <row r="1176" spans="2:9" x14ac:dyDescent="0.3">
      <c r="B1176" s="332"/>
      <c r="C1176" s="333"/>
      <c r="D1176" s="332"/>
      <c r="E1176" s="333"/>
      <c r="F1176" s="334"/>
      <c r="G1176" s="335"/>
      <c r="H1176" s="334"/>
      <c r="I1176" s="334"/>
    </row>
    <row r="1177" spans="2:9" x14ac:dyDescent="0.3">
      <c r="B1177" s="332"/>
      <c r="C1177" s="333"/>
      <c r="D1177" s="332"/>
      <c r="E1177" s="333"/>
      <c r="F1177" s="334"/>
      <c r="G1177" s="332"/>
      <c r="H1177" s="334" t="s">
        <v>628</v>
      </c>
      <c r="I1177" s="334">
        <f>SUM(H1174:H1176)</f>
        <v>3000</v>
      </c>
    </row>
    <row r="1178" spans="2:9" x14ac:dyDescent="0.3">
      <c r="B1178" s="332" t="s">
        <v>629</v>
      </c>
      <c r="C1178" s="333"/>
      <c r="D1178" s="332"/>
      <c r="E1178" s="333"/>
      <c r="F1178" s="334"/>
      <c r="G1178" s="332"/>
      <c r="H1178" s="334"/>
      <c r="I1178" s="334"/>
    </row>
    <row r="1179" spans="2:9" x14ac:dyDescent="0.3">
      <c r="B1179" s="332" t="s">
        <v>271</v>
      </c>
      <c r="C1179" s="333"/>
      <c r="D1179" s="332"/>
      <c r="E1179" s="333" t="s">
        <v>624</v>
      </c>
      <c r="F1179" s="334" t="s">
        <v>630</v>
      </c>
      <c r="G1179" s="332" t="s">
        <v>631</v>
      </c>
      <c r="H1179" s="334" t="s">
        <v>627</v>
      </c>
      <c r="I1179" s="334"/>
    </row>
    <row r="1180" spans="2:9" x14ac:dyDescent="0.3">
      <c r="B1180" s="332"/>
      <c r="C1180" s="333"/>
      <c r="D1180" s="332"/>
      <c r="E1180" s="333"/>
      <c r="F1180" s="334"/>
      <c r="G1180" s="332"/>
      <c r="H1180" s="344"/>
      <c r="I1180" s="344"/>
    </row>
    <row r="1181" spans="2:9" x14ac:dyDescent="0.3">
      <c r="B1181" s="332"/>
      <c r="C1181" s="333"/>
      <c r="D1181" s="332"/>
      <c r="E1181" s="333"/>
      <c r="F1181" s="334"/>
      <c r="G1181" s="332"/>
      <c r="H1181" s="344"/>
      <c r="I1181" s="334"/>
    </row>
    <row r="1182" spans="2:9" x14ac:dyDescent="0.3">
      <c r="B1182" s="332"/>
      <c r="C1182" s="333"/>
      <c r="D1182" s="332"/>
      <c r="E1182" s="333"/>
      <c r="F1182" s="334"/>
      <c r="G1182" s="332"/>
      <c r="H1182" s="344"/>
      <c r="I1182" s="334"/>
    </row>
    <row r="1183" spans="2:9" x14ac:dyDescent="0.3">
      <c r="B1183" s="332"/>
      <c r="C1183" s="333"/>
      <c r="D1183" s="332"/>
      <c r="E1183" s="333"/>
      <c r="F1183" s="334"/>
      <c r="G1183" s="332"/>
      <c r="H1183" s="344"/>
      <c r="I1183" s="334"/>
    </row>
    <row r="1184" spans="2:9" x14ac:dyDescent="0.3">
      <c r="B1184" s="332"/>
      <c r="C1184" s="333"/>
      <c r="D1184" s="332"/>
      <c r="E1184" s="333"/>
      <c r="F1184" s="334"/>
      <c r="G1184" s="332"/>
      <c r="H1184" s="334"/>
      <c r="I1184" s="334"/>
    </row>
    <row r="1185" spans="2:9" x14ac:dyDescent="0.3">
      <c r="B1185" s="332"/>
      <c r="C1185" s="333"/>
      <c r="D1185" s="332"/>
      <c r="E1185" s="333"/>
      <c r="F1185" s="334"/>
      <c r="G1185" s="332"/>
      <c r="H1185" s="334" t="s">
        <v>628</v>
      </c>
      <c r="I1185" s="334">
        <f>SUM(H1180:H1184)</f>
        <v>0</v>
      </c>
    </row>
    <row r="1186" spans="2:9" x14ac:dyDescent="0.3">
      <c r="B1186" s="332" t="s">
        <v>632</v>
      </c>
      <c r="C1186" s="333"/>
      <c r="D1186" s="332"/>
      <c r="E1186" s="333" t="s">
        <v>624</v>
      </c>
      <c r="F1186" s="334" t="s">
        <v>633</v>
      </c>
      <c r="G1186" s="332" t="s">
        <v>634</v>
      </c>
      <c r="H1186" s="334" t="s">
        <v>627</v>
      </c>
      <c r="I1186" s="334"/>
    </row>
    <row r="1187" spans="2:9" x14ac:dyDescent="0.3">
      <c r="B1187" s="332"/>
      <c r="C1187" s="333"/>
      <c r="D1187" s="332"/>
      <c r="E1187" s="332"/>
      <c r="F1187" s="332"/>
      <c r="G1187" s="332"/>
      <c r="H1187" s="332"/>
      <c r="I1187" s="332"/>
    </row>
    <row r="1188" spans="2:9" x14ac:dyDescent="0.3">
      <c r="B1188" s="332"/>
      <c r="C1188" s="333"/>
      <c r="D1188" s="332"/>
      <c r="E1188" s="333"/>
      <c r="F1188" s="336"/>
      <c r="G1188" s="334"/>
      <c r="H1188" s="334"/>
      <c r="I1188" s="334"/>
    </row>
    <row r="1189" spans="2:9" x14ac:dyDescent="0.3">
      <c r="B1189" s="332"/>
      <c r="C1189" s="333"/>
      <c r="D1189" s="332"/>
      <c r="E1189" s="333"/>
      <c r="F1189" s="334"/>
      <c r="G1189" s="332"/>
      <c r="H1189" s="334" t="s">
        <v>628</v>
      </c>
      <c r="I1189" s="334">
        <f>SUM(H1188)</f>
        <v>0</v>
      </c>
    </row>
    <row r="1190" spans="2:9" x14ac:dyDescent="0.3">
      <c r="B1190" s="332" t="s">
        <v>635</v>
      </c>
      <c r="C1190" s="333"/>
      <c r="D1190" s="332"/>
      <c r="E1190" s="333"/>
      <c r="F1190" s="334"/>
      <c r="G1190" s="332"/>
      <c r="H1190" s="334" t="s">
        <v>627</v>
      </c>
      <c r="I1190" s="334"/>
    </row>
    <row r="1191" spans="2:9" x14ac:dyDescent="0.3">
      <c r="B1191" s="332" t="s">
        <v>636</v>
      </c>
      <c r="C1191" s="333"/>
      <c r="D1191" s="332"/>
      <c r="E1191" s="333" t="s">
        <v>637</v>
      </c>
      <c r="F1191" s="334" t="s">
        <v>638</v>
      </c>
      <c r="G1191" s="332" t="s">
        <v>626</v>
      </c>
      <c r="I1191" s="334"/>
    </row>
    <row r="1192" spans="2:9" ht="28.8" x14ac:dyDescent="0.3">
      <c r="B1192" s="342" t="s">
        <v>702</v>
      </c>
      <c r="C1192" s="333"/>
      <c r="D1192" s="332"/>
      <c r="E1192" s="346">
        <v>168000</v>
      </c>
      <c r="F1192" s="344">
        <v>1.8</v>
      </c>
      <c r="G1192" s="345">
        <v>3.1175257718745111</v>
      </c>
      <c r="H1192" s="344">
        <f>E1192*F1192/G1192</f>
        <v>97000.000041113512</v>
      </c>
      <c r="I1192" s="344"/>
    </row>
    <row r="1193" spans="2:9" x14ac:dyDescent="0.3">
      <c r="B1193" s="332"/>
      <c r="C1193" s="333"/>
      <c r="D1193" s="332"/>
      <c r="E1193" s="333"/>
      <c r="F1193" s="334"/>
      <c r="G1193" s="332"/>
      <c r="H1193" s="334" t="s">
        <v>628</v>
      </c>
      <c r="I1193" s="334">
        <f>H1192</f>
        <v>97000.000041113512</v>
      </c>
    </row>
    <row r="1194" spans="2:9" x14ac:dyDescent="0.3">
      <c r="B1194" s="332"/>
      <c r="C1194" s="333"/>
      <c r="D1194" s="332"/>
      <c r="E1194" s="333"/>
      <c r="F1194" s="334"/>
      <c r="G1194" s="332"/>
      <c r="H1194" s="330" t="s">
        <v>640</v>
      </c>
      <c r="I1194" s="330">
        <f>I1193+I1185+I1177+I1189</f>
        <v>100000.00004111351</v>
      </c>
    </row>
    <row r="1196" spans="2:9" ht="72" x14ac:dyDescent="0.3">
      <c r="B1196" s="339" t="s">
        <v>737</v>
      </c>
      <c r="C1196" s="339" t="s">
        <v>621</v>
      </c>
      <c r="D1196" s="341" t="s">
        <v>490</v>
      </c>
      <c r="E1196" s="339"/>
      <c r="F1196" s="340"/>
      <c r="G1196" s="340" t="s">
        <v>622</v>
      </c>
      <c r="H1196" s="340" t="s">
        <v>102</v>
      </c>
      <c r="I1196" s="340">
        <f>+ROUND(I1219,0)</f>
        <v>800000</v>
      </c>
    </row>
    <row r="1197" spans="2:9" x14ac:dyDescent="0.3">
      <c r="B1197" s="332" t="s">
        <v>623</v>
      </c>
      <c r="C1197" s="333"/>
      <c r="D1197" s="332"/>
      <c r="E1197" s="333"/>
      <c r="F1197" s="334"/>
      <c r="G1197" s="332"/>
      <c r="H1197" s="334"/>
      <c r="I1197" s="334"/>
    </row>
    <row r="1198" spans="2:9" x14ac:dyDescent="0.3">
      <c r="B1198" s="332" t="s">
        <v>271</v>
      </c>
      <c r="C1198" s="333"/>
      <c r="D1198" s="332"/>
      <c r="E1198" s="333" t="s">
        <v>624</v>
      </c>
      <c r="F1198" s="334" t="s">
        <v>625</v>
      </c>
      <c r="G1198" s="332" t="s">
        <v>626</v>
      </c>
      <c r="H1198" s="334" t="s">
        <v>627</v>
      </c>
      <c r="I1198" s="334"/>
    </row>
    <row r="1199" spans="2:9" x14ac:dyDescent="0.3">
      <c r="B1199" s="332" t="s">
        <v>701</v>
      </c>
      <c r="C1199" s="333"/>
      <c r="D1199" s="332"/>
      <c r="E1199" s="333" t="s">
        <v>644</v>
      </c>
      <c r="F1199" s="334">
        <v>1500</v>
      </c>
      <c r="G1199" s="335">
        <v>2</v>
      </c>
      <c r="H1199" s="334">
        <f>F1199*G1199</f>
        <v>3000</v>
      </c>
      <c r="I1199" s="334"/>
    </row>
    <row r="1200" spans="2:9" x14ac:dyDescent="0.3">
      <c r="B1200" s="332"/>
      <c r="C1200" s="333"/>
      <c r="D1200" s="332"/>
      <c r="E1200" s="333"/>
      <c r="F1200" s="334"/>
      <c r="G1200" s="335"/>
      <c r="H1200" s="334"/>
      <c r="I1200" s="334"/>
    </row>
    <row r="1201" spans="2:9" x14ac:dyDescent="0.3">
      <c r="B1201" s="332"/>
      <c r="C1201" s="333"/>
      <c r="D1201" s="332"/>
      <c r="E1201" s="333"/>
      <c r="F1201" s="334"/>
      <c r="G1201" s="335"/>
      <c r="H1201" s="334"/>
      <c r="I1201" s="334"/>
    </row>
    <row r="1202" spans="2:9" x14ac:dyDescent="0.3">
      <c r="B1202" s="332"/>
      <c r="C1202" s="333"/>
      <c r="D1202" s="332"/>
      <c r="E1202" s="333"/>
      <c r="F1202" s="334"/>
      <c r="G1202" s="332"/>
      <c r="H1202" s="334" t="s">
        <v>628</v>
      </c>
      <c r="I1202" s="334">
        <f>SUM(H1199:H1201)</f>
        <v>3000</v>
      </c>
    </row>
    <row r="1203" spans="2:9" x14ac:dyDescent="0.3">
      <c r="B1203" s="332" t="s">
        <v>629</v>
      </c>
      <c r="C1203" s="333"/>
      <c r="D1203" s="332"/>
      <c r="E1203" s="333"/>
      <c r="F1203" s="334"/>
      <c r="G1203" s="332"/>
      <c r="H1203" s="334"/>
      <c r="I1203" s="334"/>
    </row>
    <row r="1204" spans="2:9" x14ac:dyDescent="0.3">
      <c r="B1204" s="332" t="s">
        <v>271</v>
      </c>
      <c r="C1204" s="333"/>
      <c r="D1204" s="332"/>
      <c r="E1204" s="333" t="s">
        <v>624</v>
      </c>
      <c r="F1204" s="334" t="s">
        <v>630</v>
      </c>
      <c r="G1204" s="332" t="s">
        <v>631</v>
      </c>
      <c r="H1204" s="334" t="s">
        <v>627</v>
      </c>
      <c r="I1204" s="334"/>
    </row>
    <row r="1205" spans="2:9" x14ac:dyDescent="0.3">
      <c r="B1205" s="332" t="s">
        <v>727</v>
      </c>
      <c r="C1205" s="333"/>
      <c r="D1205" s="332"/>
      <c r="E1205" s="333">
        <v>1</v>
      </c>
      <c r="F1205" s="334">
        <v>97000</v>
      </c>
      <c r="G1205" s="332">
        <v>2</v>
      </c>
      <c r="H1205" s="344">
        <f>F1205*G1205</f>
        <v>194000</v>
      </c>
      <c r="I1205" s="344"/>
    </row>
    <row r="1206" spans="2:9" x14ac:dyDescent="0.3">
      <c r="B1206" s="332"/>
      <c r="C1206" s="333"/>
      <c r="D1206" s="332"/>
      <c r="E1206" s="333"/>
      <c r="F1206" s="334"/>
      <c r="G1206" s="332"/>
      <c r="H1206" s="344"/>
      <c r="I1206" s="334"/>
    </row>
    <row r="1207" spans="2:9" x14ac:dyDescent="0.3">
      <c r="B1207" s="332"/>
      <c r="C1207" s="333"/>
      <c r="D1207" s="332"/>
      <c r="E1207" s="333"/>
      <c r="F1207" s="334"/>
      <c r="G1207" s="332"/>
      <c r="H1207" s="344"/>
      <c r="I1207" s="334"/>
    </row>
    <row r="1208" spans="2:9" x14ac:dyDescent="0.3">
      <c r="B1208" s="332"/>
      <c r="C1208" s="333"/>
      <c r="D1208" s="332"/>
      <c r="E1208" s="333"/>
      <c r="F1208" s="334"/>
      <c r="G1208" s="332"/>
      <c r="H1208" s="344"/>
      <c r="I1208" s="334"/>
    </row>
    <row r="1209" spans="2:9" x14ac:dyDescent="0.3">
      <c r="B1209" s="332"/>
      <c r="C1209" s="333"/>
      <c r="D1209" s="332"/>
      <c r="E1209" s="333"/>
      <c r="F1209" s="334"/>
      <c r="G1209" s="332"/>
      <c r="H1209" s="334"/>
      <c r="I1209" s="334"/>
    </row>
    <row r="1210" spans="2:9" x14ac:dyDescent="0.3">
      <c r="B1210" s="332"/>
      <c r="C1210" s="333"/>
      <c r="D1210" s="332"/>
      <c r="E1210" s="333"/>
      <c r="F1210" s="334"/>
      <c r="G1210" s="332"/>
      <c r="H1210" s="334" t="s">
        <v>628</v>
      </c>
      <c r="I1210" s="334">
        <f>SUM(H1205:H1209)</f>
        <v>194000</v>
      </c>
    </row>
    <row r="1211" spans="2:9" x14ac:dyDescent="0.3">
      <c r="B1211" s="332" t="s">
        <v>632</v>
      </c>
      <c r="C1211" s="333"/>
      <c r="D1211" s="332"/>
      <c r="E1211" s="333" t="s">
        <v>624</v>
      </c>
      <c r="F1211" s="334" t="s">
        <v>633</v>
      </c>
      <c r="G1211" s="332" t="s">
        <v>634</v>
      </c>
      <c r="H1211" s="334" t="s">
        <v>627</v>
      </c>
      <c r="I1211" s="334"/>
    </row>
    <row r="1212" spans="2:9" x14ac:dyDescent="0.3">
      <c r="B1212" s="332"/>
      <c r="C1212" s="333"/>
      <c r="D1212" s="332"/>
      <c r="E1212" s="332"/>
      <c r="F1212" s="332"/>
      <c r="G1212" s="332"/>
      <c r="H1212" s="332"/>
      <c r="I1212" s="332"/>
    </row>
    <row r="1213" spans="2:9" x14ac:dyDescent="0.3">
      <c r="B1213" s="332"/>
      <c r="C1213" s="333"/>
      <c r="D1213" s="332"/>
      <c r="E1213" s="333"/>
      <c r="F1213" s="336"/>
      <c r="G1213" s="334"/>
      <c r="H1213" s="334"/>
      <c r="I1213" s="334"/>
    </row>
    <row r="1214" spans="2:9" x14ac:dyDescent="0.3">
      <c r="B1214" s="332"/>
      <c r="C1214" s="333"/>
      <c r="D1214" s="332"/>
      <c r="E1214" s="333"/>
      <c r="F1214" s="334"/>
      <c r="G1214" s="332"/>
      <c r="H1214" s="334" t="s">
        <v>628</v>
      </c>
      <c r="I1214" s="334">
        <f>SUM(H1213)</f>
        <v>0</v>
      </c>
    </row>
    <row r="1215" spans="2:9" x14ac:dyDescent="0.3">
      <c r="B1215" s="332" t="s">
        <v>635</v>
      </c>
      <c r="C1215" s="333"/>
      <c r="D1215" s="332"/>
      <c r="E1215" s="333"/>
      <c r="F1215" s="334"/>
      <c r="G1215" s="332"/>
      <c r="H1215" s="334" t="s">
        <v>627</v>
      </c>
      <c r="I1215" s="334"/>
    </row>
    <row r="1216" spans="2:9" x14ac:dyDescent="0.3">
      <c r="B1216" s="332" t="s">
        <v>636</v>
      </c>
      <c r="C1216" s="333"/>
      <c r="D1216" s="332"/>
      <c r="E1216" s="333" t="s">
        <v>637</v>
      </c>
      <c r="F1216" s="334" t="s">
        <v>638</v>
      </c>
      <c r="G1216" s="332" t="s">
        <v>626</v>
      </c>
      <c r="I1216" s="334"/>
    </row>
    <row r="1217" spans="2:9" ht="28.8" x14ac:dyDescent="0.3">
      <c r="B1217" s="342" t="s">
        <v>702</v>
      </c>
      <c r="C1217" s="333"/>
      <c r="D1217" s="332"/>
      <c r="E1217" s="346">
        <v>168000</v>
      </c>
      <c r="F1217" s="344">
        <v>1.8</v>
      </c>
      <c r="G1217" s="345">
        <v>0.50149253731343812</v>
      </c>
      <c r="H1217" s="344">
        <f>E1217*F1217/G1217</f>
        <v>602999.9999999936</v>
      </c>
      <c r="I1217" s="344"/>
    </row>
    <row r="1218" spans="2:9" x14ac:dyDescent="0.3">
      <c r="B1218" s="332"/>
      <c r="C1218" s="333"/>
      <c r="D1218" s="332"/>
      <c r="E1218" s="333"/>
      <c r="F1218" s="334"/>
      <c r="G1218" s="332"/>
      <c r="H1218" s="334" t="s">
        <v>628</v>
      </c>
      <c r="I1218" s="334">
        <f>H1217</f>
        <v>602999.9999999936</v>
      </c>
    </row>
    <row r="1219" spans="2:9" x14ac:dyDescent="0.3">
      <c r="B1219" s="332"/>
      <c r="C1219" s="333"/>
      <c r="D1219" s="332"/>
      <c r="E1219" s="333"/>
      <c r="F1219" s="334"/>
      <c r="G1219" s="332"/>
      <c r="H1219" s="330" t="s">
        <v>640</v>
      </c>
      <c r="I1219" s="330">
        <f>I1218+I1210+I1202+I1214</f>
        <v>799999.9999999936</v>
      </c>
    </row>
    <row r="1221" spans="2:9" ht="43.2" x14ac:dyDescent="0.3">
      <c r="B1221" s="339" t="s">
        <v>738</v>
      </c>
      <c r="C1221" s="339" t="s">
        <v>621</v>
      </c>
      <c r="D1221" s="341" t="s">
        <v>545</v>
      </c>
      <c r="E1221" s="339"/>
      <c r="F1221" s="340"/>
      <c r="G1221" s="340" t="s">
        <v>622</v>
      </c>
      <c r="H1221" s="340" t="s">
        <v>33</v>
      </c>
      <c r="I1221" s="340">
        <f>+ROUND(I1244,0)</f>
        <v>35000</v>
      </c>
    </row>
    <row r="1222" spans="2:9" x14ac:dyDescent="0.3">
      <c r="B1222" s="332" t="s">
        <v>623</v>
      </c>
      <c r="C1222" s="333"/>
      <c r="D1222" s="332"/>
      <c r="E1222" s="333"/>
      <c r="F1222" s="334"/>
      <c r="G1222" s="332"/>
      <c r="H1222" s="334"/>
      <c r="I1222" s="334"/>
    </row>
    <row r="1223" spans="2:9" x14ac:dyDescent="0.3">
      <c r="B1223" s="332" t="s">
        <v>271</v>
      </c>
      <c r="C1223" s="333"/>
      <c r="D1223" s="332"/>
      <c r="E1223" s="333" t="s">
        <v>624</v>
      </c>
      <c r="F1223" s="334" t="s">
        <v>625</v>
      </c>
      <c r="G1223" s="332" t="s">
        <v>626</v>
      </c>
      <c r="H1223" s="334" t="s">
        <v>627</v>
      </c>
      <c r="I1223" s="334"/>
    </row>
    <row r="1224" spans="2:9" x14ac:dyDescent="0.3">
      <c r="B1224" s="332" t="s">
        <v>701</v>
      </c>
      <c r="C1224" s="333"/>
      <c r="D1224" s="332"/>
      <c r="E1224" s="333" t="s">
        <v>644</v>
      </c>
      <c r="F1224" s="334">
        <v>1500</v>
      </c>
      <c r="G1224" s="335">
        <v>2</v>
      </c>
      <c r="H1224" s="334">
        <f>F1224*G1224</f>
        <v>3000</v>
      </c>
      <c r="I1224" s="334"/>
    </row>
    <row r="1225" spans="2:9" x14ac:dyDescent="0.3">
      <c r="B1225" s="332"/>
      <c r="C1225" s="333"/>
      <c r="D1225" s="332"/>
      <c r="E1225" s="333"/>
      <c r="F1225" s="334"/>
      <c r="G1225" s="335"/>
      <c r="H1225" s="334"/>
      <c r="I1225" s="334"/>
    </row>
    <row r="1226" spans="2:9" x14ac:dyDescent="0.3">
      <c r="B1226" s="332"/>
      <c r="C1226" s="333"/>
      <c r="D1226" s="332"/>
      <c r="E1226" s="333"/>
      <c r="F1226" s="334"/>
      <c r="G1226" s="335"/>
      <c r="H1226" s="334"/>
      <c r="I1226" s="334"/>
    </row>
    <row r="1227" spans="2:9" x14ac:dyDescent="0.3">
      <c r="B1227" s="332"/>
      <c r="C1227" s="333"/>
      <c r="D1227" s="332"/>
      <c r="E1227" s="333"/>
      <c r="F1227" s="334"/>
      <c r="G1227" s="332"/>
      <c r="H1227" s="334" t="s">
        <v>628</v>
      </c>
      <c r="I1227" s="334">
        <f>SUM(H1224:H1226)</f>
        <v>3000</v>
      </c>
    </row>
    <row r="1228" spans="2:9" x14ac:dyDescent="0.3">
      <c r="B1228" s="332" t="s">
        <v>629</v>
      </c>
      <c r="C1228" s="333"/>
      <c r="D1228" s="332"/>
      <c r="E1228" s="333"/>
      <c r="F1228" s="334"/>
      <c r="G1228" s="332"/>
      <c r="H1228" s="334"/>
      <c r="I1228" s="334"/>
    </row>
    <row r="1229" spans="2:9" x14ac:dyDescent="0.3">
      <c r="B1229" s="332" t="s">
        <v>271</v>
      </c>
      <c r="C1229" s="333"/>
      <c r="D1229" s="332"/>
      <c r="E1229" s="333" t="s">
        <v>624</v>
      </c>
      <c r="F1229" s="334" t="s">
        <v>630</v>
      </c>
      <c r="G1229" s="332" t="s">
        <v>631</v>
      </c>
      <c r="H1229" s="334" t="s">
        <v>627</v>
      </c>
      <c r="I1229" s="334"/>
    </row>
    <row r="1230" spans="2:9" x14ac:dyDescent="0.3">
      <c r="B1230" s="332"/>
      <c r="C1230" s="333"/>
      <c r="D1230" s="332"/>
      <c r="E1230" s="333"/>
      <c r="F1230" s="334"/>
      <c r="G1230" s="332"/>
      <c r="H1230" s="344"/>
      <c r="I1230" s="344"/>
    </row>
    <row r="1231" spans="2:9" x14ac:dyDescent="0.3">
      <c r="B1231" s="332"/>
      <c r="C1231" s="333"/>
      <c r="D1231" s="332"/>
      <c r="E1231" s="333"/>
      <c r="F1231" s="334"/>
      <c r="G1231" s="332"/>
      <c r="H1231" s="344"/>
      <c r="I1231" s="334"/>
    </row>
    <row r="1232" spans="2:9" x14ac:dyDescent="0.3">
      <c r="B1232" s="332"/>
      <c r="C1232" s="333"/>
      <c r="D1232" s="332"/>
      <c r="E1232" s="333"/>
      <c r="F1232" s="334"/>
      <c r="G1232" s="332"/>
      <c r="H1232" s="344"/>
      <c r="I1232" s="334"/>
    </row>
    <row r="1233" spans="2:9" x14ac:dyDescent="0.3">
      <c r="B1233" s="332"/>
      <c r="C1233" s="333"/>
      <c r="D1233" s="332"/>
      <c r="E1233" s="333"/>
      <c r="F1233" s="334"/>
      <c r="G1233" s="332"/>
      <c r="H1233" s="344"/>
      <c r="I1233" s="334"/>
    </row>
    <row r="1234" spans="2:9" x14ac:dyDescent="0.3">
      <c r="B1234" s="332"/>
      <c r="C1234" s="333"/>
      <c r="D1234" s="332"/>
      <c r="E1234" s="333"/>
      <c r="F1234" s="334"/>
      <c r="G1234" s="332"/>
      <c r="H1234" s="334"/>
      <c r="I1234" s="334"/>
    </row>
    <row r="1235" spans="2:9" x14ac:dyDescent="0.3">
      <c r="B1235" s="332"/>
      <c r="C1235" s="333"/>
      <c r="D1235" s="332"/>
      <c r="E1235" s="333"/>
      <c r="F1235" s="334"/>
      <c r="G1235" s="332"/>
      <c r="H1235" s="334" t="s">
        <v>628</v>
      </c>
      <c r="I1235" s="334">
        <f>SUM(H1230:H1234)</f>
        <v>0</v>
      </c>
    </row>
    <row r="1236" spans="2:9" x14ac:dyDescent="0.3">
      <c r="B1236" s="332" t="s">
        <v>632</v>
      </c>
      <c r="C1236" s="333"/>
      <c r="D1236" s="332"/>
      <c r="E1236" s="333" t="s">
        <v>624</v>
      </c>
      <c r="F1236" s="334" t="s">
        <v>633</v>
      </c>
      <c r="G1236" s="332" t="s">
        <v>634</v>
      </c>
      <c r="H1236" s="334" t="s">
        <v>627</v>
      </c>
      <c r="I1236" s="334"/>
    </row>
    <row r="1237" spans="2:9" x14ac:dyDescent="0.3">
      <c r="B1237" s="332"/>
      <c r="C1237" s="333"/>
      <c r="D1237" s="332"/>
      <c r="E1237" s="332"/>
      <c r="F1237" s="332"/>
      <c r="G1237" s="332"/>
      <c r="H1237" s="332"/>
      <c r="I1237" s="332"/>
    </row>
    <row r="1238" spans="2:9" x14ac:dyDescent="0.3">
      <c r="B1238" s="332"/>
      <c r="C1238" s="333"/>
      <c r="D1238" s="332"/>
      <c r="E1238" s="333"/>
      <c r="F1238" s="336"/>
      <c r="G1238" s="334"/>
      <c r="H1238" s="334"/>
      <c r="I1238" s="334"/>
    </row>
    <row r="1239" spans="2:9" x14ac:dyDescent="0.3">
      <c r="B1239" s="332"/>
      <c r="C1239" s="333"/>
      <c r="D1239" s="332"/>
      <c r="E1239" s="333"/>
      <c r="F1239" s="334"/>
      <c r="G1239" s="332"/>
      <c r="H1239" s="334" t="s">
        <v>628</v>
      </c>
      <c r="I1239" s="334">
        <f>SUM(H1238)</f>
        <v>0</v>
      </c>
    </row>
    <row r="1240" spans="2:9" x14ac:dyDescent="0.3">
      <c r="B1240" s="332" t="s">
        <v>635</v>
      </c>
      <c r="C1240" s="333"/>
      <c r="D1240" s="332"/>
      <c r="E1240" s="333"/>
      <c r="F1240" s="334"/>
      <c r="G1240" s="332"/>
      <c r="H1240" s="334" t="s">
        <v>627</v>
      </c>
      <c r="I1240" s="334"/>
    </row>
    <row r="1241" spans="2:9" x14ac:dyDescent="0.3">
      <c r="B1241" s="332" t="s">
        <v>636</v>
      </c>
      <c r="C1241" s="333"/>
      <c r="D1241" s="332"/>
      <c r="E1241" s="333" t="s">
        <v>637</v>
      </c>
      <c r="F1241" s="334" t="s">
        <v>638</v>
      </c>
      <c r="G1241" s="332" t="s">
        <v>626</v>
      </c>
      <c r="I1241" s="334"/>
    </row>
    <row r="1242" spans="2:9" ht="28.8" x14ac:dyDescent="0.3">
      <c r="B1242" s="342" t="s">
        <v>702</v>
      </c>
      <c r="C1242" s="333"/>
      <c r="D1242" s="332"/>
      <c r="E1242" s="346">
        <v>168000</v>
      </c>
      <c r="F1242" s="344">
        <v>1.8</v>
      </c>
      <c r="G1242" s="345">
        <v>9.4499999995438273</v>
      </c>
      <c r="H1242" s="344">
        <f>E1242*F1242/G1242</f>
        <v>32000.000001544711</v>
      </c>
      <c r="I1242" s="344"/>
    </row>
    <row r="1243" spans="2:9" x14ac:dyDescent="0.3">
      <c r="B1243" s="332"/>
      <c r="C1243" s="333"/>
      <c r="D1243" s="332"/>
      <c r="E1243" s="333"/>
      <c r="F1243" s="334"/>
      <c r="G1243" s="332"/>
      <c r="H1243" s="334" t="s">
        <v>628</v>
      </c>
      <c r="I1243" s="334">
        <f>H1242</f>
        <v>32000.000001544711</v>
      </c>
    </row>
    <row r="1244" spans="2:9" x14ac:dyDescent="0.3">
      <c r="B1244" s="332"/>
      <c r="C1244" s="333"/>
      <c r="D1244" s="332"/>
      <c r="E1244" s="333"/>
      <c r="F1244" s="334"/>
      <c r="G1244" s="332"/>
      <c r="H1244" s="330" t="s">
        <v>640</v>
      </c>
      <c r="I1244" s="330">
        <f>I1243+I1235+I1227+I1239</f>
        <v>35000.000001544715</v>
      </c>
    </row>
    <row r="1246" spans="2:9" ht="72" x14ac:dyDescent="0.3">
      <c r="B1246" s="339" t="s">
        <v>739</v>
      </c>
      <c r="C1246" s="339" t="s">
        <v>621</v>
      </c>
      <c r="D1246" s="341" t="s">
        <v>546</v>
      </c>
      <c r="E1246" s="339"/>
      <c r="F1246" s="340"/>
      <c r="G1246" s="340" t="s">
        <v>622</v>
      </c>
      <c r="H1246" s="340" t="s">
        <v>33</v>
      </c>
      <c r="I1246" s="340">
        <f>+ROUND(I1269,0)</f>
        <v>35000</v>
      </c>
    </row>
    <row r="1247" spans="2:9" x14ac:dyDescent="0.3">
      <c r="B1247" s="332" t="s">
        <v>623</v>
      </c>
      <c r="C1247" s="333"/>
      <c r="D1247" s="332"/>
      <c r="E1247" s="333"/>
      <c r="F1247" s="334"/>
      <c r="G1247" s="332"/>
      <c r="H1247" s="334"/>
      <c r="I1247" s="334"/>
    </row>
    <row r="1248" spans="2:9" x14ac:dyDescent="0.3">
      <c r="B1248" s="332" t="s">
        <v>271</v>
      </c>
      <c r="C1248" s="333"/>
      <c r="D1248" s="332"/>
      <c r="E1248" s="333" t="s">
        <v>624</v>
      </c>
      <c r="F1248" s="334" t="s">
        <v>625</v>
      </c>
      <c r="G1248" s="332" t="s">
        <v>626</v>
      </c>
      <c r="H1248" s="334" t="s">
        <v>627</v>
      </c>
      <c r="I1248" s="334"/>
    </row>
    <row r="1249" spans="2:9" x14ac:dyDescent="0.3">
      <c r="B1249" s="332" t="s">
        <v>701</v>
      </c>
      <c r="C1249" s="333"/>
      <c r="D1249" s="332"/>
      <c r="E1249" s="333" t="s">
        <v>644</v>
      </c>
      <c r="F1249" s="334">
        <v>1500</v>
      </c>
      <c r="G1249" s="335">
        <v>2</v>
      </c>
      <c r="H1249" s="334">
        <f>F1249*G1249</f>
        <v>3000</v>
      </c>
      <c r="I1249" s="334"/>
    </row>
    <row r="1250" spans="2:9" x14ac:dyDescent="0.3">
      <c r="B1250" s="332"/>
      <c r="C1250" s="333"/>
      <c r="D1250" s="332"/>
      <c r="E1250" s="333"/>
      <c r="F1250" s="334"/>
      <c r="G1250" s="335"/>
      <c r="H1250" s="334"/>
      <c r="I1250" s="334"/>
    </row>
    <row r="1251" spans="2:9" x14ac:dyDescent="0.3">
      <c r="B1251" s="332"/>
      <c r="C1251" s="333"/>
      <c r="D1251" s="332"/>
      <c r="E1251" s="333"/>
      <c r="F1251" s="334"/>
      <c r="G1251" s="335"/>
      <c r="H1251" s="334"/>
      <c r="I1251" s="334"/>
    </row>
    <row r="1252" spans="2:9" x14ac:dyDescent="0.3">
      <c r="B1252" s="332"/>
      <c r="C1252" s="333"/>
      <c r="D1252" s="332"/>
      <c r="E1252" s="333"/>
      <c r="F1252" s="334"/>
      <c r="G1252" s="332"/>
      <c r="H1252" s="334" t="s">
        <v>628</v>
      </c>
      <c r="I1252" s="334">
        <f>SUM(H1249:H1251)</f>
        <v>3000</v>
      </c>
    </row>
    <row r="1253" spans="2:9" x14ac:dyDescent="0.3">
      <c r="B1253" s="332" t="s">
        <v>629</v>
      </c>
      <c r="C1253" s="333"/>
      <c r="D1253" s="332"/>
      <c r="E1253" s="333"/>
      <c r="F1253" s="334"/>
      <c r="G1253" s="332"/>
      <c r="H1253" s="334"/>
      <c r="I1253" s="334"/>
    </row>
    <row r="1254" spans="2:9" x14ac:dyDescent="0.3">
      <c r="B1254" s="332" t="s">
        <v>271</v>
      </c>
      <c r="C1254" s="333"/>
      <c r="D1254" s="332"/>
      <c r="E1254" s="333" t="s">
        <v>624</v>
      </c>
      <c r="F1254" s="334" t="s">
        <v>630</v>
      </c>
      <c r="G1254" s="332" t="s">
        <v>631</v>
      </c>
      <c r="H1254" s="334" t="s">
        <v>627</v>
      </c>
      <c r="I1254" s="334"/>
    </row>
    <row r="1255" spans="2:9" x14ac:dyDescent="0.3">
      <c r="B1255" s="332"/>
      <c r="C1255" s="333"/>
      <c r="D1255" s="332"/>
      <c r="E1255" s="333"/>
      <c r="F1255" s="334"/>
      <c r="G1255" s="332"/>
      <c r="H1255" s="344"/>
      <c r="I1255" s="344"/>
    </row>
    <row r="1256" spans="2:9" x14ac:dyDescent="0.3">
      <c r="B1256" s="332"/>
      <c r="C1256" s="333"/>
      <c r="D1256" s="332"/>
      <c r="E1256" s="333"/>
      <c r="F1256" s="334"/>
      <c r="G1256" s="332"/>
      <c r="H1256" s="344"/>
      <c r="I1256" s="334"/>
    </row>
    <row r="1257" spans="2:9" x14ac:dyDescent="0.3">
      <c r="B1257" s="332"/>
      <c r="C1257" s="333"/>
      <c r="D1257" s="332"/>
      <c r="E1257" s="333"/>
      <c r="F1257" s="334"/>
      <c r="G1257" s="332"/>
      <c r="H1257" s="344"/>
      <c r="I1257" s="334"/>
    </row>
    <row r="1258" spans="2:9" x14ac:dyDescent="0.3">
      <c r="B1258" s="332"/>
      <c r="C1258" s="333"/>
      <c r="D1258" s="332"/>
      <c r="E1258" s="333"/>
      <c r="F1258" s="334"/>
      <c r="G1258" s="332"/>
      <c r="H1258" s="344"/>
      <c r="I1258" s="334"/>
    </row>
    <row r="1259" spans="2:9" x14ac:dyDescent="0.3">
      <c r="B1259" s="332"/>
      <c r="C1259" s="333"/>
      <c r="D1259" s="332"/>
      <c r="E1259" s="333"/>
      <c r="F1259" s="334"/>
      <c r="G1259" s="332"/>
      <c r="H1259" s="334"/>
      <c r="I1259" s="334"/>
    </row>
    <row r="1260" spans="2:9" x14ac:dyDescent="0.3">
      <c r="B1260" s="332"/>
      <c r="C1260" s="333"/>
      <c r="D1260" s="332"/>
      <c r="E1260" s="333"/>
      <c r="F1260" s="334"/>
      <c r="G1260" s="332"/>
      <c r="H1260" s="334" t="s">
        <v>628</v>
      </c>
      <c r="I1260" s="334">
        <f>SUM(H1255:H1259)</f>
        <v>0</v>
      </c>
    </row>
    <row r="1261" spans="2:9" x14ac:dyDescent="0.3">
      <c r="B1261" s="332" t="s">
        <v>632</v>
      </c>
      <c r="C1261" s="333"/>
      <c r="D1261" s="332"/>
      <c r="E1261" s="333" t="s">
        <v>624</v>
      </c>
      <c r="F1261" s="334" t="s">
        <v>633</v>
      </c>
      <c r="G1261" s="332" t="s">
        <v>634</v>
      </c>
      <c r="H1261" s="334" t="s">
        <v>627</v>
      </c>
      <c r="I1261" s="334"/>
    </row>
    <row r="1262" spans="2:9" x14ac:dyDescent="0.3">
      <c r="B1262" s="332"/>
      <c r="C1262" s="333"/>
      <c r="D1262" s="332"/>
      <c r="E1262" s="332"/>
      <c r="F1262" s="332"/>
      <c r="G1262" s="332"/>
      <c r="H1262" s="332"/>
      <c r="I1262" s="332"/>
    </row>
    <row r="1263" spans="2:9" x14ac:dyDescent="0.3">
      <c r="B1263" s="332"/>
      <c r="C1263" s="333"/>
      <c r="D1263" s="332"/>
      <c r="E1263" s="333"/>
      <c r="F1263" s="336"/>
      <c r="G1263" s="334"/>
      <c r="H1263" s="334"/>
      <c r="I1263" s="334"/>
    </row>
    <row r="1264" spans="2:9" x14ac:dyDescent="0.3">
      <c r="B1264" s="332"/>
      <c r="C1264" s="333"/>
      <c r="D1264" s="332"/>
      <c r="E1264" s="333"/>
      <c r="F1264" s="334"/>
      <c r="G1264" s="332"/>
      <c r="H1264" s="334" t="s">
        <v>628</v>
      </c>
      <c r="I1264" s="334">
        <f>SUM(H1263)</f>
        <v>0</v>
      </c>
    </row>
    <row r="1265" spans="2:9" x14ac:dyDescent="0.3">
      <c r="B1265" s="332" t="s">
        <v>635</v>
      </c>
      <c r="C1265" s="333"/>
      <c r="D1265" s="332"/>
      <c r="E1265" s="333"/>
      <c r="F1265" s="334"/>
      <c r="G1265" s="332"/>
      <c r="H1265" s="334" t="s">
        <v>627</v>
      </c>
      <c r="I1265" s="334"/>
    </row>
    <row r="1266" spans="2:9" x14ac:dyDescent="0.3">
      <c r="B1266" s="332" t="s">
        <v>636</v>
      </c>
      <c r="C1266" s="333"/>
      <c r="D1266" s="332"/>
      <c r="E1266" s="333" t="s">
        <v>637</v>
      </c>
      <c r="F1266" s="334" t="s">
        <v>638</v>
      </c>
      <c r="G1266" s="332" t="s">
        <v>626</v>
      </c>
      <c r="I1266" s="334"/>
    </row>
    <row r="1267" spans="2:9" ht="28.8" x14ac:dyDescent="0.3">
      <c r="B1267" s="342" t="s">
        <v>702</v>
      </c>
      <c r="C1267" s="333"/>
      <c r="D1267" s="332"/>
      <c r="E1267" s="346">
        <v>168000</v>
      </c>
      <c r="F1267" s="344">
        <v>1.8</v>
      </c>
      <c r="G1267" s="345">
        <v>9.4499999995438273</v>
      </c>
      <c r="H1267" s="344">
        <f>E1267*F1267/G1267</f>
        <v>32000.000001544711</v>
      </c>
      <c r="I1267" s="344"/>
    </row>
    <row r="1268" spans="2:9" x14ac:dyDescent="0.3">
      <c r="B1268" s="332"/>
      <c r="C1268" s="333"/>
      <c r="D1268" s="332"/>
      <c r="E1268" s="333"/>
      <c r="F1268" s="334"/>
      <c r="G1268" s="332"/>
      <c r="H1268" s="334" t="s">
        <v>628</v>
      </c>
      <c r="I1268" s="334">
        <f>H1267</f>
        <v>32000.000001544711</v>
      </c>
    </row>
    <row r="1269" spans="2:9" x14ac:dyDescent="0.3">
      <c r="B1269" s="332"/>
      <c r="C1269" s="333"/>
      <c r="D1269" s="332"/>
      <c r="E1269" s="333"/>
      <c r="F1269" s="334"/>
      <c r="G1269" s="332"/>
      <c r="H1269" s="330" t="s">
        <v>640</v>
      </c>
      <c r="I1269" s="330">
        <f>I1268+I1260+I1252+I1264</f>
        <v>35000.000001544715</v>
      </c>
    </row>
    <row r="1271" spans="2:9" ht="86.4" x14ac:dyDescent="0.3">
      <c r="B1271" s="339" t="s">
        <v>740</v>
      </c>
      <c r="C1271" s="339" t="s">
        <v>621</v>
      </c>
      <c r="D1271" s="341" t="s">
        <v>547</v>
      </c>
      <c r="E1271" s="339"/>
      <c r="F1271" s="340"/>
      <c r="G1271" s="340" t="s">
        <v>622</v>
      </c>
      <c r="H1271" s="340" t="s">
        <v>102</v>
      </c>
      <c r="I1271" s="340">
        <f>+ROUND(I1294,0)</f>
        <v>100000</v>
      </c>
    </row>
    <row r="1272" spans="2:9" x14ac:dyDescent="0.3">
      <c r="B1272" s="332" t="s">
        <v>623</v>
      </c>
      <c r="C1272" s="333"/>
      <c r="D1272" s="332"/>
      <c r="E1272" s="333"/>
      <c r="F1272" s="334"/>
      <c r="G1272" s="332"/>
      <c r="H1272" s="334"/>
      <c r="I1272" s="334"/>
    </row>
    <row r="1273" spans="2:9" x14ac:dyDescent="0.3">
      <c r="B1273" s="332" t="s">
        <v>271</v>
      </c>
      <c r="C1273" s="333"/>
      <c r="D1273" s="332"/>
      <c r="E1273" s="333" t="s">
        <v>624</v>
      </c>
      <c r="F1273" s="334" t="s">
        <v>625</v>
      </c>
      <c r="G1273" s="332" t="s">
        <v>626</v>
      </c>
      <c r="H1273" s="334" t="s">
        <v>627</v>
      </c>
      <c r="I1273" s="334"/>
    </row>
    <row r="1274" spans="2:9" x14ac:dyDescent="0.3">
      <c r="B1274" s="332" t="s">
        <v>701</v>
      </c>
      <c r="C1274" s="333"/>
      <c r="D1274" s="332"/>
      <c r="E1274" s="333" t="s">
        <v>644</v>
      </c>
      <c r="F1274" s="334">
        <v>1500</v>
      </c>
      <c r="G1274" s="335">
        <v>2</v>
      </c>
      <c r="H1274" s="334">
        <f>F1274*G1274</f>
        <v>3000</v>
      </c>
      <c r="I1274" s="334"/>
    </row>
    <row r="1275" spans="2:9" x14ac:dyDescent="0.3">
      <c r="B1275" s="332"/>
      <c r="C1275" s="333"/>
      <c r="D1275" s="332"/>
      <c r="E1275" s="333"/>
      <c r="F1275" s="334"/>
      <c r="G1275" s="335"/>
      <c r="H1275" s="334"/>
      <c r="I1275" s="334"/>
    </row>
    <row r="1276" spans="2:9" x14ac:dyDescent="0.3">
      <c r="B1276" s="332"/>
      <c r="C1276" s="333"/>
      <c r="D1276" s="332"/>
      <c r="E1276" s="333"/>
      <c r="F1276" s="334"/>
      <c r="G1276" s="335"/>
      <c r="H1276" s="334"/>
      <c r="I1276" s="334"/>
    </row>
    <row r="1277" spans="2:9" x14ac:dyDescent="0.3">
      <c r="B1277" s="332"/>
      <c r="C1277" s="333"/>
      <c r="D1277" s="332"/>
      <c r="E1277" s="333"/>
      <c r="F1277" s="334"/>
      <c r="G1277" s="332"/>
      <c r="H1277" s="334" t="s">
        <v>628</v>
      </c>
      <c r="I1277" s="334">
        <f>SUM(H1274:H1276)</f>
        <v>3000</v>
      </c>
    </row>
    <row r="1278" spans="2:9" x14ac:dyDescent="0.3">
      <c r="B1278" s="332" t="s">
        <v>629</v>
      </c>
      <c r="C1278" s="333"/>
      <c r="D1278" s="332"/>
      <c r="E1278" s="333"/>
      <c r="F1278" s="334"/>
      <c r="G1278" s="332"/>
      <c r="H1278" s="334"/>
      <c r="I1278" s="334"/>
    </row>
    <row r="1279" spans="2:9" x14ac:dyDescent="0.3">
      <c r="B1279" s="332" t="s">
        <v>271</v>
      </c>
      <c r="C1279" s="333"/>
      <c r="D1279" s="332"/>
      <c r="E1279" s="333" t="s">
        <v>624</v>
      </c>
      <c r="F1279" s="334" t="s">
        <v>630</v>
      </c>
      <c r="G1279" s="332" t="s">
        <v>631</v>
      </c>
      <c r="H1279" s="334" t="s">
        <v>627</v>
      </c>
      <c r="I1279" s="334"/>
    </row>
    <row r="1280" spans="2:9" x14ac:dyDescent="0.3">
      <c r="B1280" s="332" t="s">
        <v>723</v>
      </c>
      <c r="C1280" s="333"/>
      <c r="D1280" s="332"/>
      <c r="E1280" s="333" t="s">
        <v>93</v>
      </c>
      <c r="F1280" s="334">
        <v>10500</v>
      </c>
      <c r="G1280" s="332">
        <v>2</v>
      </c>
      <c r="H1280" s="344">
        <f>F1280*G1280</f>
        <v>21000</v>
      </c>
      <c r="I1280" s="344"/>
    </row>
    <row r="1281" spans="2:9" x14ac:dyDescent="0.3">
      <c r="B1281" s="332" t="s">
        <v>721</v>
      </c>
      <c r="C1281" s="333"/>
      <c r="D1281" s="332"/>
      <c r="E1281" s="333" t="s">
        <v>93</v>
      </c>
      <c r="F1281" s="334">
        <v>2500</v>
      </c>
      <c r="G1281" s="332">
        <v>5</v>
      </c>
      <c r="H1281" s="344">
        <f>F1281*G1281</f>
        <v>12500</v>
      </c>
      <c r="I1281" s="334"/>
    </row>
    <row r="1282" spans="2:9" x14ac:dyDescent="0.3">
      <c r="B1282" s="332" t="s">
        <v>713</v>
      </c>
      <c r="C1282" s="333"/>
      <c r="D1282" s="332"/>
      <c r="E1282" s="333" t="s">
        <v>33</v>
      </c>
      <c r="F1282" s="334">
        <v>9900</v>
      </c>
      <c r="G1282" s="332">
        <v>1</v>
      </c>
      <c r="H1282" s="344">
        <f>F1282*G1282</f>
        <v>9900</v>
      </c>
      <c r="I1282" s="334"/>
    </row>
    <row r="1283" spans="2:9" x14ac:dyDescent="0.3">
      <c r="B1283" s="332"/>
      <c r="C1283" s="333"/>
      <c r="D1283" s="332"/>
      <c r="E1283" s="333"/>
      <c r="F1283" s="334"/>
      <c r="G1283" s="332"/>
      <c r="H1283" s="344"/>
      <c r="I1283" s="334"/>
    </row>
    <row r="1284" spans="2:9" x14ac:dyDescent="0.3">
      <c r="B1284" s="332"/>
      <c r="C1284" s="333"/>
      <c r="D1284" s="332"/>
      <c r="E1284" s="333"/>
      <c r="F1284" s="334"/>
      <c r="G1284" s="332"/>
      <c r="H1284" s="334"/>
      <c r="I1284" s="334"/>
    </row>
    <row r="1285" spans="2:9" x14ac:dyDescent="0.3">
      <c r="B1285" s="332"/>
      <c r="C1285" s="333"/>
      <c r="D1285" s="332"/>
      <c r="E1285" s="333"/>
      <c r="F1285" s="334"/>
      <c r="G1285" s="332"/>
      <c r="H1285" s="334" t="s">
        <v>628</v>
      </c>
      <c r="I1285" s="334">
        <f>SUM(H1280:H1284)</f>
        <v>43400</v>
      </c>
    </row>
    <row r="1286" spans="2:9" x14ac:dyDescent="0.3">
      <c r="B1286" s="332" t="s">
        <v>632</v>
      </c>
      <c r="C1286" s="333"/>
      <c r="D1286" s="332"/>
      <c r="E1286" s="333" t="s">
        <v>624</v>
      </c>
      <c r="F1286" s="334" t="s">
        <v>633</v>
      </c>
      <c r="G1286" s="332" t="s">
        <v>634</v>
      </c>
      <c r="H1286" s="334" t="s">
        <v>627</v>
      </c>
      <c r="I1286" s="334"/>
    </row>
    <row r="1287" spans="2:9" x14ac:dyDescent="0.3">
      <c r="B1287" s="332"/>
      <c r="C1287" s="333"/>
      <c r="D1287" s="332"/>
      <c r="E1287" s="332"/>
      <c r="F1287" s="332"/>
      <c r="G1287" s="332"/>
      <c r="H1287" s="332"/>
      <c r="I1287" s="332"/>
    </row>
    <row r="1288" spans="2:9" x14ac:dyDescent="0.3">
      <c r="B1288" s="332"/>
      <c r="C1288" s="333"/>
      <c r="D1288" s="332"/>
      <c r="E1288" s="333"/>
      <c r="F1288" s="336"/>
      <c r="G1288" s="334"/>
      <c r="H1288" s="334"/>
      <c r="I1288" s="334"/>
    </row>
    <row r="1289" spans="2:9" x14ac:dyDescent="0.3">
      <c r="B1289" s="332"/>
      <c r="C1289" s="333"/>
      <c r="D1289" s="332"/>
      <c r="E1289" s="333"/>
      <c r="F1289" s="334"/>
      <c r="G1289" s="332"/>
      <c r="H1289" s="334" t="s">
        <v>628</v>
      </c>
      <c r="I1289" s="334">
        <f>SUM(H1288)</f>
        <v>0</v>
      </c>
    </row>
    <row r="1290" spans="2:9" x14ac:dyDescent="0.3">
      <c r="B1290" s="332" t="s">
        <v>635</v>
      </c>
      <c r="C1290" s="333"/>
      <c r="D1290" s="332"/>
      <c r="E1290" s="333"/>
      <c r="F1290" s="334"/>
      <c r="G1290" s="332"/>
      <c r="H1290" s="334" t="s">
        <v>627</v>
      </c>
      <c r="I1290" s="334"/>
    </row>
    <row r="1291" spans="2:9" x14ac:dyDescent="0.3">
      <c r="B1291" s="332" t="s">
        <v>636</v>
      </c>
      <c r="C1291" s="333"/>
      <c r="D1291" s="332"/>
      <c r="E1291" s="333" t="s">
        <v>637</v>
      </c>
      <c r="F1291" s="334" t="s">
        <v>638</v>
      </c>
      <c r="G1291" s="332" t="s">
        <v>626</v>
      </c>
      <c r="I1291" s="334"/>
    </row>
    <row r="1292" spans="2:9" ht="28.8" x14ac:dyDescent="0.3">
      <c r="B1292" s="342" t="s">
        <v>702</v>
      </c>
      <c r="C1292" s="333"/>
      <c r="D1292" s="332"/>
      <c r="E1292" s="346">
        <v>168000</v>
      </c>
      <c r="F1292" s="344">
        <v>1.8</v>
      </c>
      <c r="G1292" s="347">
        <v>5.6417910447686968</v>
      </c>
      <c r="H1292" s="344">
        <f>E1292*F1292/G1292</f>
        <v>53600.000000070519</v>
      </c>
      <c r="I1292" s="344"/>
    </row>
    <row r="1293" spans="2:9" x14ac:dyDescent="0.3">
      <c r="B1293" s="332"/>
      <c r="C1293" s="333"/>
      <c r="D1293" s="332"/>
      <c r="E1293" s="333"/>
      <c r="F1293" s="334"/>
      <c r="G1293" s="332"/>
      <c r="H1293" s="334" t="s">
        <v>628</v>
      </c>
      <c r="I1293" s="334">
        <f>H1292</f>
        <v>53600.000000070519</v>
      </c>
    </row>
    <row r="1294" spans="2:9" x14ac:dyDescent="0.3">
      <c r="B1294" s="332"/>
      <c r="C1294" s="333"/>
      <c r="D1294" s="332"/>
      <c r="E1294" s="333"/>
      <c r="F1294" s="334"/>
      <c r="G1294" s="332"/>
      <c r="H1294" s="330" t="s">
        <v>640</v>
      </c>
      <c r="I1294" s="330">
        <f>I1293+I1285+I1277+I1289</f>
        <v>100000.00000007052</v>
      </c>
    </row>
    <row r="1296" spans="2:9" ht="57.6" x14ac:dyDescent="0.3">
      <c r="B1296" s="339" t="s">
        <v>741</v>
      </c>
      <c r="C1296" s="339" t="s">
        <v>621</v>
      </c>
      <c r="D1296" s="341" t="s">
        <v>548</v>
      </c>
      <c r="E1296" s="339"/>
      <c r="F1296" s="340"/>
      <c r="G1296" s="340" t="s">
        <v>622</v>
      </c>
      <c r="H1296" s="340" t="s">
        <v>102</v>
      </c>
      <c r="I1296" s="340">
        <f>+ROUND(I1319,0)</f>
        <v>85000</v>
      </c>
    </row>
    <row r="1297" spans="2:9" x14ac:dyDescent="0.3">
      <c r="B1297" s="332" t="s">
        <v>623</v>
      </c>
      <c r="C1297" s="333"/>
      <c r="D1297" s="332"/>
      <c r="E1297" s="333"/>
      <c r="F1297" s="334"/>
      <c r="G1297" s="332"/>
      <c r="H1297" s="334"/>
      <c r="I1297" s="334"/>
    </row>
    <row r="1298" spans="2:9" x14ac:dyDescent="0.3">
      <c r="B1298" s="332" t="s">
        <v>271</v>
      </c>
      <c r="C1298" s="333"/>
      <c r="D1298" s="332"/>
      <c r="E1298" s="333" t="s">
        <v>624</v>
      </c>
      <c r="F1298" s="334" t="s">
        <v>625</v>
      </c>
      <c r="G1298" s="332" t="s">
        <v>626</v>
      </c>
      <c r="H1298" s="334" t="s">
        <v>627</v>
      </c>
      <c r="I1298" s="334"/>
    </row>
    <row r="1299" spans="2:9" x14ac:dyDescent="0.3">
      <c r="B1299" s="332" t="s">
        <v>701</v>
      </c>
      <c r="C1299" s="333"/>
      <c r="D1299" s="332"/>
      <c r="E1299" s="333" t="s">
        <v>644</v>
      </c>
      <c r="F1299" s="334">
        <v>1500</v>
      </c>
      <c r="G1299" s="335">
        <v>2</v>
      </c>
      <c r="H1299" s="334">
        <f>F1299*G1299</f>
        <v>3000</v>
      </c>
      <c r="I1299" s="334"/>
    </row>
    <row r="1300" spans="2:9" x14ac:dyDescent="0.3">
      <c r="B1300" s="332"/>
      <c r="C1300" s="333"/>
      <c r="D1300" s="332"/>
      <c r="E1300" s="333"/>
      <c r="F1300" s="334"/>
      <c r="G1300" s="335"/>
      <c r="H1300" s="334"/>
      <c r="I1300" s="334"/>
    </row>
    <row r="1301" spans="2:9" x14ac:dyDescent="0.3">
      <c r="B1301" s="332"/>
      <c r="C1301" s="333"/>
      <c r="D1301" s="332"/>
      <c r="E1301" s="333"/>
      <c r="F1301" s="334"/>
      <c r="G1301" s="335"/>
      <c r="H1301" s="334"/>
      <c r="I1301" s="334"/>
    </row>
    <row r="1302" spans="2:9" x14ac:dyDescent="0.3">
      <c r="B1302" s="332"/>
      <c r="C1302" s="333"/>
      <c r="D1302" s="332"/>
      <c r="E1302" s="333"/>
      <c r="F1302" s="334"/>
      <c r="G1302" s="332"/>
      <c r="H1302" s="334" t="s">
        <v>628</v>
      </c>
      <c r="I1302" s="334">
        <f>SUM(H1299:H1301)</f>
        <v>3000</v>
      </c>
    </row>
    <row r="1303" spans="2:9" x14ac:dyDescent="0.3">
      <c r="B1303" s="332" t="s">
        <v>629</v>
      </c>
      <c r="C1303" s="333"/>
      <c r="D1303" s="332"/>
      <c r="E1303" s="333"/>
      <c r="F1303" s="334"/>
      <c r="G1303" s="332"/>
      <c r="H1303" s="334"/>
      <c r="I1303" s="334"/>
    </row>
    <row r="1304" spans="2:9" x14ac:dyDescent="0.3">
      <c r="B1304" s="332" t="s">
        <v>271</v>
      </c>
      <c r="C1304" s="333"/>
      <c r="D1304" s="332"/>
      <c r="E1304" s="333" t="s">
        <v>624</v>
      </c>
      <c r="F1304" s="334" t="s">
        <v>630</v>
      </c>
      <c r="G1304" s="332" t="s">
        <v>631</v>
      </c>
      <c r="H1304" s="334" t="s">
        <v>627</v>
      </c>
      <c r="I1304" s="334"/>
    </row>
    <row r="1305" spans="2:9" x14ac:dyDescent="0.3">
      <c r="B1305" s="332"/>
      <c r="C1305" s="333"/>
      <c r="D1305" s="332"/>
      <c r="E1305" s="333"/>
      <c r="F1305" s="334"/>
      <c r="G1305" s="332"/>
      <c r="H1305" s="344"/>
      <c r="I1305" s="344"/>
    </row>
    <row r="1306" spans="2:9" x14ac:dyDescent="0.3">
      <c r="B1306" s="332"/>
      <c r="C1306" s="333"/>
      <c r="D1306" s="332"/>
      <c r="E1306" s="333"/>
      <c r="F1306" s="334"/>
      <c r="G1306" s="332"/>
      <c r="H1306" s="344"/>
      <c r="I1306" s="334"/>
    </row>
    <row r="1307" spans="2:9" x14ac:dyDescent="0.3">
      <c r="B1307" s="332"/>
      <c r="C1307" s="333"/>
      <c r="D1307" s="332"/>
      <c r="E1307" s="333"/>
      <c r="F1307" s="334"/>
      <c r="G1307" s="332"/>
      <c r="H1307" s="344"/>
      <c r="I1307" s="334"/>
    </row>
    <row r="1308" spans="2:9" x14ac:dyDescent="0.3">
      <c r="B1308" s="332"/>
      <c r="C1308" s="333"/>
      <c r="D1308" s="332"/>
      <c r="E1308" s="333"/>
      <c r="F1308" s="334"/>
      <c r="G1308" s="332"/>
      <c r="H1308" s="344"/>
      <c r="I1308" s="334"/>
    </row>
    <row r="1309" spans="2:9" x14ac:dyDescent="0.3">
      <c r="B1309" s="332"/>
      <c r="C1309" s="333"/>
      <c r="D1309" s="332"/>
      <c r="E1309" s="333"/>
      <c r="F1309" s="334"/>
      <c r="G1309" s="332"/>
      <c r="H1309" s="334"/>
      <c r="I1309" s="334"/>
    </row>
    <row r="1310" spans="2:9" x14ac:dyDescent="0.3">
      <c r="B1310" s="332"/>
      <c r="C1310" s="333"/>
      <c r="D1310" s="332"/>
      <c r="E1310" s="333"/>
      <c r="F1310" s="334"/>
      <c r="G1310" s="332"/>
      <c r="H1310" s="334" t="s">
        <v>628</v>
      </c>
      <c r="I1310" s="334">
        <f>SUM(H1305:H1309)</f>
        <v>0</v>
      </c>
    </row>
    <row r="1311" spans="2:9" x14ac:dyDescent="0.3">
      <c r="B1311" s="332" t="s">
        <v>632</v>
      </c>
      <c r="C1311" s="333"/>
      <c r="D1311" s="332"/>
      <c r="E1311" s="333" t="s">
        <v>624</v>
      </c>
      <c r="F1311" s="334" t="s">
        <v>633</v>
      </c>
      <c r="G1311" s="332" t="s">
        <v>634</v>
      </c>
      <c r="H1311" s="334" t="s">
        <v>627</v>
      </c>
      <c r="I1311" s="334"/>
    </row>
    <row r="1312" spans="2:9" x14ac:dyDescent="0.3">
      <c r="B1312" s="332"/>
      <c r="C1312" s="333"/>
      <c r="D1312" s="332"/>
      <c r="E1312" s="332"/>
      <c r="F1312" s="332"/>
      <c r="G1312" s="332"/>
      <c r="H1312" s="332"/>
      <c r="I1312" s="332"/>
    </row>
    <row r="1313" spans="2:9" x14ac:dyDescent="0.3">
      <c r="B1313" s="332"/>
      <c r="C1313" s="333"/>
      <c r="D1313" s="332"/>
      <c r="E1313" s="333"/>
      <c r="F1313" s="336"/>
      <c r="G1313" s="334"/>
      <c r="H1313" s="334"/>
      <c r="I1313" s="334"/>
    </row>
    <row r="1314" spans="2:9" x14ac:dyDescent="0.3">
      <c r="B1314" s="332"/>
      <c r="C1314" s="333"/>
      <c r="D1314" s="332"/>
      <c r="E1314" s="333"/>
      <c r="F1314" s="334"/>
      <c r="G1314" s="332"/>
      <c r="H1314" s="334" t="s">
        <v>628</v>
      </c>
      <c r="I1314" s="334">
        <f>SUM(H1313)</f>
        <v>0</v>
      </c>
    </row>
    <row r="1315" spans="2:9" x14ac:dyDescent="0.3">
      <c r="B1315" s="332" t="s">
        <v>635</v>
      </c>
      <c r="C1315" s="333"/>
      <c r="D1315" s="332"/>
      <c r="E1315" s="333"/>
      <c r="F1315" s="334"/>
      <c r="G1315" s="332"/>
      <c r="H1315" s="334" t="s">
        <v>627</v>
      </c>
      <c r="I1315" s="334"/>
    </row>
    <row r="1316" spans="2:9" x14ac:dyDescent="0.3">
      <c r="B1316" s="332" t="s">
        <v>636</v>
      </c>
      <c r="C1316" s="333"/>
      <c r="D1316" s="332"/>
      <c r="E1316" s="333" t="s">
        <v>637</v>
      </c>
      <c r="F1316" s="334" t="s">
        <v>638</v>
      </c>
      <c r="G1316" s="332" t="s">
        <v>626</v>
      </c>
      <c r="H1316" s="332"/>
      <c r="I1316" s="334"/>
    </row>
    <row r="1317" spans="2:9" ht="28.8" x14ac:dyDescent="0.3">
      <c r="B1317" s="342" t="s">
        <v>702</v>
      </c>
      <c r="C1317" s="333"/>
      <c r="D1317" s="332"/>
      <c r="E1317" s="346">
        <v>168000</v>
      </c>
      <c r="F1317" s="344">
        <v>1.8</v>
      </c>
      <c r="G1317" s="345">
        <v>3.6878048731475568</v>
      </c>
      <c r="H1317" s="344">
        <f>E1317*F1317/G1317</f>
        <v>82000.000108980908</v>
      </c>
      <c r="I1317" s="344"/>
    </row>
    <row r="1318" spans="2:9" x14ac:dyDescent="0.3">
      <c r="B1318" s="332"/>
      <c r="C1318" s="333"/>
      <c r="D1318" s="332"/>
      <c r="E1318" s="333"/>
      <c r="F1318" s="334"/>
      <c r="G1318" s="332"/>
      <c r="H1318" s="334" t="s">
        <v>628</v>
      </c>
      <c r="I1318" s="334">
        <f>H1317</f>
        <v>82000.000108980908</v>
      </c>
    </row>
    <row r="1319" spans="2:9" x14ac:dyDescent="0.3">
      <c r="B1319" s="332"/>
      <c r="C1319" s="333"/>
      <c r="D1319" s="332"/>
      <c r="E1319" s="333"/>
      <c r="F1319" s="334"/>
      <c r="G1319" s="332"/>
      <c r="H1319" s="330" t="s">
        <v>640</v>
      </c>
      <c r="I1319" s="330">
        <f>I1318+I1310+I1302+I1314</f>
        <v>85000.000108980908</v>
      </c>
    </row>
    <row r="1321" spans="2:9" ht="129.6" x14ac:dyDescent="0.3">
      <c r="B1321" s="339" t="s">
        <v>770</v>
      </c>
      <c r="C1321" s="339" t="s">
        <v>621</v>
      </c>
      <c r="D1321" s="341" t="s">
        <v>540</v>
      </c>
      <c r="E1321" s="339"/>
      <c r="F1321" s="340"/>
      <c r="G1321" s="340" t="s">
        <v>622</v>
      </c>
      <c r="H1321" s="340" t="s">
        <v>102</v>
      </c>
      <c r="I1321" s="340">
        <f>+ROUND(I1344,0)</f>
        <v>100000</v>
      </c>
    </row>
    <row r="1322" spans="2:9" x14ac:dyDescent="0.3">
      <c r="B1322" s="332" t="s">
        <v>623</v>
      </c>
      <c r="C1322" s="333"/>
      <c r="D1322" s="332"/>
      <c r="E1322" s="333"/>
      <c r="F1322" s="334"/>
      <c r="G1322" s="332"/>
      <c r="H1322" s="334"/>
      <c r="I1322" s="334"/>
    </row>
    <row r="1323" spans="2:9" x14ac:dyDescent="0.3">
      <c r="B1323" s="332" t="s">
        <v>271</v>
      </c>
      <c r="C1323" s="333"/>
      <c r="D1323" s="332"/>
      <c r="E1323" s="333" t="s">
        <v>624</v>
      </c>
      <c r="F1323" s="334" t="s">
        <v>625</v>
      </c>
      <c r="G1323" s="332" t="s">
        <v>626</v>
      </c>
      <c r="H1323" s="334" t="s">
        <v>627</v>
      </c>
      <c r="I1323" s="334"/>
    </row>
    <row r="1324" spans="2:9" x14ac:dyDescent="0.3">
      <c r="B1324" s="332" t="s">
        <v>701</v>
      </c>
      <c r="C1324" s="333"/>
      <c r="D1324" s="332"/>
      <c r="E1324" s="333" t="s">
        <v>644</v>
      </c>
      <c r="F1324" s="334">
        <v>1500</v>
      </c>
      <c r="G1324" s="335">
        <v>2</v>
      </c>
      <c r="H1324" s="334">
        <f>F1324*G1324</f>
        <v>3000</v>
      </c>
      <c r="I1324" s="334"/>
    </row>
    <row r="1325" spans="2:9" x14ac:dyDescent="0.3">
      <c r="B1325" s="332"/>
      <c r="C1325" s="333"/>
      <c r="D1325" s="332"/>
      <c r="E1325" s="333"/>
      <c r="F1325" s="334"/>
      <c r="G1325" s="335"/>
      <c r="H1325" s="334"/>
      <c r="I1325" s="334"/>
    </row>
    <row r="1326" spans="2:9" x14ac:dyDescent="0.3">
      <c r="B1326" s="332"/>
      <c r="C1326" s="333"/>
      <c r="D1326" s="332"/>
      <c r="E1326" s="333"/>
      <c r="F1326" s="334"/>
      <c r="G1326" s="335"/>
      <c r="H1326" s="334"/>
      <c r="I1326" s="334"/>
    </row>
    <row r="1327" spans="2:9" x14ac:dyDescent="0.3">
      <c r="B1327" s="332"/>
      <c r="C1327" s="333"/>
      <c r="D1327" s="332"/>
      <c r="E1327" s="333"/>
      <c r="F1327" s="334"/>
      <c r="G1327" s="332"/>
      <c r="H1327" s="334" t="s">
        <v>628</v>
      </c>
      <c r="I1327" s="334">
        <f>SUM(H1324:H1326)</f>
        <v>3000</v>
      </c>
    </row>
    <row r="1328" spans="2:9" x14ac:dyDescent="0.3">
      <c r="B1328" s="332" t="s">
        <v>629</v>
      </c>
      <c r="C1328" s="333"/>
      <c r="D1328" s="332"/>
      <c r="E1328" s="333"/>
      <c r="F1328" s="334"/>
      <c r="G1328" s="332"/>
      <c r="H1328" s="334"/>
      <c r="I1328" s="334"/>
    </row>
    <row r="1329" spans="2:9" x14ac:dyDescent="0.3">
      <c r="B1329" s="332" t="s">
        <v>271</v>
      </c>
      <c r="C1329" s="333"/>
      <c r="D1329" s="332"/>
      <c r="E1329" s="333" t="s">
        <v>624</v>
      </c>
      <c r="F1329" s="334" t="s">
        <v>630</v>
      </c>
      <c r="G1329" s="332" t="s">
        <v>631</v>
      </c>
      <c r="H1329" s="334" t="s">
        <v>627</v>
      </c>
      <c r="I1329" s="334"/>
    </row>
    <row r="1330" spans="2:9" x14ac:dyDescent="0.3">
      <c r="B1330" s="332" t="s">
        <v>723</v>
      </c>
      <c r="C1330" s="333"/>
      <c r="D1330" s="332"/>
      <c r="E1330" s="333" t="s">
        <v>93</v>
      </c>
      <c r="F1330" s="334">
        <v>10500</v>
      </c>
      <c r="G1330" s="332">
        <v>2</v>
      </c>
      <c r="H1330" s="344">
        <f>F1330*G1330</f>
        <v>21000</v>
      </c>
      <c r="I1330" s="344"/>
    </row>
    <row r="1331" spans="2:9" x14ac:dyDescent="0.3">
      <c r="B1331" s="332" t="s">
        <v>721</v>
      </c>
      <c r="C1331" s="333"/>
      <c r="D1331" s="332"/>
      <c r="E1331" s="333" t="s">
        <v>93</v>
      </c>
      <c r="F1331" s="334">
        <v>2500</v>
      </c>
      <c r="G1331" s="332">
        <v>5</v>
      </c>
      <c r="H1331" s="344">
        <f>F1331*G1331</f>
        <v>12500</v>
      </c>
      <c r="I1331" s="334"/>
    </row>
    <row r="1332" spans="2:9" x14ac:dyDescent="0.3">
      <c r="B1332" s="332" t="s">
        <v>713</v>
      </c>
      <c r="C1332" s="333"/>
      <c r="D1332" s="332"/>
      <c r="E1332" s="333" t="s">
        <v>33</v>
      </c>
      <c r="F1332" s="334">
        <v>9900</v>
      </c>
      <c r="G1332" s="332">
        <v>1</v>
      </c>
      <c r="H1332" s="344">
        <f>F1332*G1332</f>
        <v>9900</v>
      </c>
      <c r="I1332" s="334"/>
    </row>
    <row r="1333" spans="2:9" x14ac:dyDescent="0.3">
      <c r="B1333" s="332"/>
      <c r="C1333" s="333"/>
      <c r="D1333" s="332"/>
      <c r="E1333" s="333"/>
      <c r="F1333" s="334"/>
      <c r="G1333" s="332"/>
      <c r="H1333" s="344"/>
      <c r="I1333" s="334"/>
    </row>
    <row r="1334" spans="2:9" x14ac:dyDescent="0.3">
      <c r="B1334" s="332"/>
      <c r="C1334" s="333"/>
      <c r="D1334" s="332"/>
      <c r="E1334" s="333"/>
      <c r="F1334" s="334"/>
      <c r="G1334" s="332"/>
      <c r="H1334" s="334"/>
      <c r="I1334" s="334"/>
    </row>
    <row r="1335" spans="2:9" x14ac:dyDescent="0.3">
      <c r="B1335" s="332"/>
      <c r="C1335" s="333"/>
      <c r="D1335" s="332"/>
      <c r="E1335" s="333"/>
      <c r="F1335" s="334"/>
      <c r="G1335" s="332"/>
      <c r="H1335" s="334" t="s">
        <v>628</v>
      </c>
      <c r="I1335" s="334">
        <f>SUM(H1330:H1334)</f>
        <v>43400</v>
      </c>
    </row>
    <row r="1336" spans="2:9" x14ac:dyDescent="0.3">
      <c r="B1336" s="332" t="s">
        <v>632</v>
      </c>
      <c r="C1336" s="333"/>
      <c r="D1336" s="332"/>
      <c r="E1336" s="333" t="s">
        <v>624</v>
      </c>
      <c r="F1336" s="334" t="s">
        <v>633</v>
      </c>
      <c r="G1336" s="332" t="s">
        <v>634</v>
      </c>
      <c r="H1336" s="334" t="s">
        <v>627</v>
      </c>
      <c r="I1336" s="334"/>
    </row>
    <row r="1337" spans="2:9" x14ac:dyDescent="0.3">
      <c r="B1337" s="332"/>
      <c r="C1337" s="333"/>
      <c r="D1337" s="332"/>
      <c r="E1337" s="332"/>
      <c r="F1337" s="332"/>
      <c r="G1337" s="332"/>
      <c r="H1337" s="332"/>
      <c r="I1337" s="332"/>
    </row>
    <row r="1338" spans="2:9" x14ac:dyDescent="0.3">
      <c r="B1338" s="332"/>
      <c r="C1338" s="333"/>
      <c r="D1338" s="332"/>
      <c r="E1338" s="333"/>
      <c r="F1338" s="336"/>
      <c r="G1338" s="334"/>
      <c r="H1338" s="334"/>
      <c r="I1338" s="334"/>
    </row>
    <row r="1339" spans="2:9" x14ac:dyDescent="0.3">
      <c r="B1339" s="332"/>
      <c r="C1339" s="333"/>
      <c r="D1339" s="332"/>
      <c r="E1339" s="333"/>
      <c r="F1339" s="334"/>
      <c r="G1339" s="332"/>
      <c r="H1339" s="334" t="s">
        <v>628</v>
      </c>
      <c r="I1339" s="334">
        <f>SUM(H1338)</f>
        <v>0</v>
      </c>
    </row>
    <row r="1340" spans="2:9" x14ac:dyDescent="0.3">
      <c r="B1340" s="332" t="s">
        <v>635</v>
      </c>
      <c r="C1340" s="333"/>
      <c r="D1340" s="332"/>
      <c r="E1340" s="333"/>
      <c r="F1340" s="334"/>
      <c r="G1340" s="332"/>
      <c r="H1340" s="334" t="s">
        <v>627</v>
      </c>
      <c r="I1340" s="334"/>
    </row>
    <row r="1341" spans="2:9" x14ac:dyDescent="0.3">
      <c r="B1341" s="332" t="s">
        <v>636</v>
      </c>
      <c r="C1341" s="333"/>
      <c r="D1341" s="332"/>
      <c r="E1341" s="333" t="s">
        <v>637</v>
      </c>
      <c r="F1341" s="334" t="s">
        <v>638</v>
      </c>
      <c r="G1341" s="332" t="s">
        <v>626</v>
      </c>
      <c r="I1341" s="334"/>
    </row>
    <row r="1342" spans="2:9" ht="28.8" x14ac:dyDescent="0.3">
      <c r="B1342" s="342" t="s">
        <v>702</v>
      </c>
      <c r="C1342" s="333"/>
      <c r="D1342" s="332"/>
      <c r="E1342" s="346">
        <v>168000</v>
      </c>
      <c r="F1342" s="344">
        <v>1.8</v>
      </c>
      <c r="G1342" s="347">
        <v>5.6417910447686968</v>
      </c>
      <c r="H1342" s="344">
        <f>E1342*F1342/G1342</f>
        <v>53600.000000070519</v>
      </c>
      <c r="I1342" s="344"/>
    </row>
    <row r="1343" spans="2:9" x14ac:dyDescent="0.3">
      <c r="B1343" s="332"/>
      <c r="C1343" s="333"/>
      <c r="D1343" s="332"/>
      <c r="E1343" s="333"/>
      <c r="F1343" s="334"/>
      <c r="G1343" s="332"/>
      <c r="H1343" s="334" t="s">
        <v>628</v>
      </c>
      <c r="I1343" s="334">
        <f>H1342</f>
        <v>53600.000000070519</v>
      </c>
    </row>
    <row r="1344" spans="2:9" x14ac:dyDescent="0.3">
      <c r="B1344" s="332"/>
      <c r="C1344" s="333"/>
      <c r="D1344" s="332"/>
      <c r="E1344" s="333"/>
      <c r="F1344" s="334"/>
      <c r="G1344" s="332"/>
      <c r="H1344" s="330" t="s">
        <v>640</v>
      </c>
      <c r="I1344" s="330">
        <f>I1343+I1335+I1327+I1339</f>
        <v>100000.00000007052</v>
      </c>
    </row>
    <row r="1346" spans="2:9" ht="57.6" x14ac:dyDescent="0.3">
      <c r="B1346" s="339" t="s">
        <v>744</v>
      </c>
      <c r="C1346" s="339" t="s">
        <v>621</v>
      </c>
      <c r="D1346" s="341" t="s">
        <v>541</v>
      </c>
      <c r="E1346" s="339"/>
      <c r="F1346" s="340"/>
      <c r="G1346" s="340" t="s">
        <v>622</v>
      </c>
      <c r="H1346" s="340" t="s">
        <v>102</v>
      </c>
      <c r="I1346" s="340">
        <f>+ROUND(I1369,0)</f>
        <v>100000</v>
      </c>
    </row>
    <row r="1347" spans="2:9" x14ac:dyDescent="0.3">
      <c r="B1347" s="332" t="s">
        <v>623</v>
      </c>
      <c r="C1347" s="333"/>
      <c r="D1347" s="332"/>
      <c r="E1347" s="333"/>
      <c r="F1347" s="334"/>
      <c r="G1347" s="332"/>
      <c r="H1347" s="334"/>
      <c r="I1347" s="334"/>
    </row>
    <row r="1348" spans="2:9" x14ac:dyDescent="0.3">
      <c r="B1348" s="332" t="s">
        <v>271</v>
      </c>
      <c r="C1348" s="333"/>
      <c r="D1348" s="332"/>
      <c r="E1348" s="333" t="s">
        <v>624</v>
      </c>
      <c r="F1348" s="334" t="s">
        <v>625</v>
      </c>
      <c r="G1348" s="332" t="s">
        <v>626</v>
      </c>
      <c r="H1348" s="334" t="s">
        <v>627</v>
      </c>
      <c r="I1348" s="334"/>
    </row>
    <row r="1349" spans="2:9" x14ac:dyDescent="0.3">
      <c r="B1349" s="332" t="s">
        <v>701</v>
      </c>
      <c r="C1349" s="333"/>
      <c r="D1349" s="332"/>
      <c r="E1349" s="333" t="s">
        <v>644</v>
      </c>
      <c r="F1349" s="334">
        <v>1500</v>
      </c>
      <c r="G1349" s="335">
        <v>2</v>
      </c>
      <c r="H1349" s="334">
        <f>F1349*G1349</f>
        <v>3000</v>
      </c>
      <c r="I1349" s="334"/>
    </row>
    <row r="1350" spans="2:9" x14ac:dyDescent="0.3">
      <c r="B1350" s="332"/>
      <c r="C1350" s="333"/>
      <c r="D1350" s="332"/>
      <c r="E1350" s="333"/>
      <c r="F1350" s="334"/>
      <c r="G1350" s="335"/>
      <c r="H1350" s="334"/>
      <c r="I1350" s="334"/>
    </row>
    <row r="1351" spans="2:9" x14ac:dyDescent="0.3">
      <c r="B1351" s="332"/>
      <c r="C1351" s="333"/>
      <c r="D1351" s="332"/>
      <c r="E1351" s="333"/>
      <c r="F1351" s="334"/>
      <c r="G1351" s="335"/>
      <c r="H1351" s="334"/>
      <c r="I1351" s="334"/>
    </row>
    <row r="1352" spans="2:9" x14ac:dyDescent="0.3">
      <c r="B1352" s="332"/>
      <c r="C1352" s="333"/>
      <c r="D1352" s="332"/>
      <c r="E1352" s="333"/>
      <c r="F1352" s="334"/>
      <c r="G1352" s="332"/>
      <c r="H1352" s="334" t="s">
        <v>628</v>
      </c>
      <c r="I1352" s="334">
        <f>SUM(H1349:H1351)</f>
        <v>3000</v>
      </c>
    </row>
    <row r="1353" spans="2:9" x14ac:dyDescent="0.3">
      <c r="B1353" s="332" t="s">
        <v>629</v>
      </c>
      <c r="C1353" s="333"/>
      <c r="D1353" s="332"/>
      <c r="E1353" s="333"/>
      <c r="F1353" s="334"/>
      <c r="G1353" s="332"/>
      <c r="H1353" s="334"/>
      <c r="I1353" s="334"/>
    </row>
    <row r="1354" spans="2:9" x14ac:dyDescent="0.3">
      <c r="B1354" s="332" t="s">
        <v>271</v>
      </c>
      <c r="C1354" s="333"/>
      <c r="D1354" s="332"/>
      <c r="E1354" s="333" t="s">
        <v>624</v>
      </c>
      <c r="F1354" s="334" t="s">
        <v>630</v>
      </c>
      <c r="G1354" s="332" t="s">
        <v>631</v>
      </c>
      <c r="H1354" s="334" t="s">
        <v>627</v>
      </c>
      <c r="I1354" s="334"/>
    </row>
    <row r="1355" spans="2:9" x14ac:dyDescent="0.3">
      <c r="B1355" s="332" t="s">
        <v>723</v>
      </c>
      <c r="C1355" s="333"/>
      <c r="D1355" s="332"/>
      <c r="E1355" s="333" t="s">
        <v>93</v>
      </c>
      <c r="F1355" s="334">
        <v>10500</v>
      </c>
      <c r="G1355" s="332">
        <v>2</v>
      </c>
      <c r="H1355" s="344">
        <f>F1355*G1355</f>
        <v>21000</v>
      </c>
      <c r="I1355" s="344"/>
    </row>
    <row r="1356" spans="2:9" x14ac:dyDescent="0.3">
      <c r="B1356" s="332" t="s">
        <v>721</v>
      </c>
      <c r="C1356" s="333"/>
      <c r="D1356" s="332"/>
      <c r="E1356" s="333" t="s">
        <v>93</v>
      </c>
      <c r="F1356" s="334">
        <v>2500</v>
      </c>
      <c r="G1356" s="332">
        <v>5</v>
      </c>
      <c r="H1356" s="344">
        <f>F1356*G1356</f>
        <v>12500</v>
      </c>
      <c r="I1356" s="334"/>
    </row>
    <row r="1357" spans="2:9" x14ac:dyDescent="0.3">
      <c r="B1357" s="332" t="s">
        <v>713</v>
      </c>
      <c r="C1357" s="333"/>
      <c r="D1357" s="332"/>
      <c r="E1357" s="333" t="s">
        <v>33</v>
      </c>
      <c r="F1357" s="334">
        <v>9900</v>
      </c>
      <c r="G1357" s="332">
        <v>1</v>
      </c>
      <c r="H1357" s="344">
        <f>F1357*G1357</f>
        <v>9900</v>
      </c>
      <c r="I1357" s="334"/>
    </row>
    <row r="1358" spans="2:9" x14ac:dyDescent="0.3">
      <c r="B1358" s="332"/>
      <c r="C1358" s="333"/>
      <c r="D1358" s="332"/>
      <c r="E1358" s="333"/>
      <c r="F1358" s="334"/>
      <c r="G1358" s="332"/>
      <c r="H1358" s="344"/>
      <c r="I1358" s="334"/>
    </row>
    <row r="1359" spans="2:9" x14ac:dyDescent="0.3">
      <c r="B1359" s="332"/>
      <c r="C1359" s="333"/>
      <c r="D1359" s="332"/>
      <c r="E1359" s="333"/>
      <c r="F1359" s="334"/>
      <c r="G1359" s="332"/>
      <c r="H1359" s="334"/>
      <c r="I1359" s="334"/>
    </row>
    <row r="1360" spans="2:9" x14ac:dyDescent="0.3">
      <c r="B1360" s="332"/>
      <c r="C1360" s="333"/>
      <c r="D1360" s="332"/>
      <c r="E1360" s="333"/>
      <c r="F1360" s="334"/>
      <c r="G1360" s="332"/>
      <c r="H1360" s="334" t="s">
        <v>628</v>
      </c>
      <c r="I1360" s="334">
        <f>SUM(H1355:H1359)</f>
        <v>43400</v>
      </c>
    </row>
    <row r="1361" spans="2:9" x14ac:dyDescent="0.3">
      <c r="B1361" s="332" t="s">
        <v>632</v>
      </c>
      <c r="C1361" s="333"/>
      <c r="D1361" s="332"/>
      <c r="E1361" s="333" t="s">
        <v>624</v>
      </c>
      <c r="F1361" s="334" t="s">
        <v>633</v>
      </c>
      <c r="G1361" s="332" t="s">
        <v>634</v>
      </c>
      <c r="H1361" s="334" t="s">
        <v>627</v>
      </c>
      <c r="I1361" s="334"/>
    </row>
    <row r="1362" spans="2:9" x14ac:dyDescent="0.3">
      <c r="B1362" s="332"/>
      <c r="C1362" s="333"/>
      <c r="D1362" s="332"/>
      <c r="E1362" s="332"/>
      <c r="F1362" s="332"/>
      <c r="G1362" s="332"/>
      <c r="H1362" s="332"/>
      <c r="I1362" s="332"/>
    </row>
    <row r="1363" spans="2:9" x14ac:dyDescent="0.3">
      <c r="B1363" s="332"/>
      <c r="C1363" s="333"/>
      <c r="D1363" s="332"/>
      <c r="E1363" s="333"/>
      <c r="F1363" s="336"/>
      <c r="G1363" s="334"/>
      <c r="H1363" s="334"/>
      <c r="I1363" s="334"/>
    </row>
    <row r="1364" spans="2:9" x14ac:dyDescent="0.3">
      <c r="B1364" s="332"/>
      <c r="C1364" s="333"/>
      <c r="D1364" s="332"/>
      <c r="E1364" s="333"/>
      <c r="F1364" s="334"/>
      <c r="G1364" s="332"/>
      <c r="H1364" s="334" t="s">
        <v>628</v>
      </c>
      <c r="I1364" s="334">
        <f>SUM(H1363)</f>
        <v>0</v>
      </c>
    </row>
    <row r="1365" spans="2:9" x14ac:dyDescent="0.3">
      <c r="B1365" s="332" t="s">
        <v>635</v>
      </c>
      <c r="C1365" s="333"/>
      <c r="D1365" s="332"/>
      <c r="E1365" s="333"/>
      <c r="F1365" s="334"/>
      <c r="G1365" s="332"/>
      <c r="H1365" s="334" t="s">
        <v>627</v>
      </c>
      <c r="I1365" s="334"/>
    </row>
    <row r="1366" spans="2:9" x14ac:dyDescent="0.3">
      <c r="B1366" s="332" t="s">
        <v>636</v>
      </c>
      <c r="C1366" s="333"/>
      <c r="D1366" s="332"/>
      <c r="E1366" s="333" t="s">
        <v>637</v>
      </c>
      <c r="F1366" s="334" t="s">
        <v>638</v>
      </c>
      <c r="G1366" s="332" t="s">
        <v>626</v>
      </c>
      <c r="I1366" s="334"/>
    </row>
    <row r="1367" spans="2:9" ht="28.8" x14ac:dyDescent="0.3">
      <c r="B1367" s="342" t="s">
        <v>702</v>
      </c>
      <c r="C1367" s="333"/>
      <c r="D1367" s="332"/>
      <c r="E1367" s="346">
        <v>168000</v>
      </c>
      <c r="F1367" s="344">
        <v>1.8</v>
      </c>
      <c r="G1367" s="347">
        <v>5.6417910447686968</v>
      </c>
      <c r="H1367" s="344">
        <f>E1367*F1367/G1367</f>
        <v>53600.000000070519</v>
      </c>
      <c r="I1367" s="344"/>
    </row>
    <row r="1368" spans="2:9" x14ac:dyDescent="0.3">
      <c r="B1368" s="332"/>
      <c r="C1368" s="333"/>
      <c r="D1368" s="332"/>
      <c r="E1368" s="333"/>
      <c r="F1368" s="334"/>
      <c r="G1368" s="332"/>
      <c r="H1368" s="334" t="s">
        <v>628</v>
      </c>
      <c r="I1368" s="334">
        <f>H1367</f>
        <v>53600.000000070519</v>
      </c>
    </row>
    <row r="1369" spans="2:9" x14ac:dyDescent="0.3">
      <c r="B1369" s="332"/>
      <c r="C1369" s="333"/>
      <c r="D1369" s="332"/>
      <c r="E1369" s="333"/>
      <c r="F1369" s="334"/>
      <c r="G1369" s="332"/>
      <c r="H1369" s="330" t="s">
        <v>640</v>
      </c>
      <c r="I1369" s="330">
        <f>I1368+I1360+I1352+I1364</f>
        <v>100000.00000007052</v>
      </c>
    </row>
    <row r="1371" spans="2:9" ht="57.6" x14ac:dyDescent="0.3">
      <c r="B1371" s="339" t="s">
        <v>745</v>
      </c>
      <c r="C1371" s="339" t="s">
        <v>621</v>
      </c>
      <c r="D1371" s="341" t="s">
        <v>543</v>
      </c>
      <c r="E1371" s="339"/>
      <c r="F1371" s="340"/>
      <c r="G1371" s="340" t="s">
        <v>622</v>
      </c>
      <c r="H1371" s="340" t="s">
        <v>102</v>
      </c>
      <c r="I1371" s="340">
        <f>+ROUND(I1394,0)</f>
        <v>25000</v>
      </c>
    </row>
    <row r="1372" spans="2:9" x14ac:dyDescent="0.3">
      <c r="B1372" s="332" t="s">
        <v>623</v>
      </c>
      <c r="C1372" s="333"/>
      <c r="D1372" s="332"/>
      <c r="E1372" s="333"/>
      <c r="F1372" s="334"/>
      <c r="G1372" s="332"/>
      <c r="H1372" s="334"/>
      <c r="I1372" s="334"/>
    </row>
    <row r="1373" spans="2:9" x14ac:dyDescent="0.3">
      <c r="B1373" s="332" t="s">
        <v>271</v>
      </c>
      <c r="C1373" s="333"/>
      <c r="D1373" s="332"/>
      <c r="E1373" s="333" t="s">
        <v>624</v>
      </c>
      <c r="F1373" s="334" t="s">
        <v>625</v>
      </c>
      <c r="G1373" s="332" t="s">
        <v>626</v>
      </c>
      <c r="H1373" s="334" t="s">
        <v>627</v>
      </c>
      <c r="I1373" s="334"/>
    </row>
    <row r="1374" spans="2:9" x14ac:dyDescent="0.3">
      <c r="B1374" s="332" t="s">
        <v>701</v>
      </c>
      <c r="C1374" s="333"/>
      <c r="D1374" s="332"/>
      <c r="E1374" s="333" t="s">
        <v>644</v>
      </c>
      <c r="F1374" s="334">
        <v>1500</v>
      </c>
      <c r="G1374" s="335">
        <v>2</v>
      </c>
      <c r="H1374" s="334">
        <f>F1374*G1374</f>
        <v>3000</v>
      </c>
      <c r="I1374" s="334"/>
    </row>
    <row r="1375" spans="2:9" x14ac:dyDescent="0.3">
      <c r="B1375" s="332"/>
      <c r="C1375" s="333"/>
      <c r="D1375" s="332"/>
      <c r="E1375" s="333"/>
      <c r="F1375" s="334"/>
      <c r="G1375" s="335"/>
      <c r="H1375" s="334"/>
      <c r="I1375" s="334"/>
    </row>
    <row r="1376" spans="2:9" x14ac:dyDescent="0.3">
      <c r="B1376" s="332"/>
      <c r="C1376" s="333"/>
      <c r="D1376" s="332"/>
      <c r="E1376" s="333"/>
      <c r="F1376" s="334"/>
      <c r="G1376" s="335"/>
      <c r="H1376" s="334"/>
      <c r="I1376" s="334"/>
    </row>
    <row r="1377" spans="2:9" x14ac:dyDescent="0.3">
      <c r="B1377" s="332"/>
      <c r="C1377" s="333"/>
      <c r="D1377" s="332"/>
      <c r="E1377" s="333"/>
      <c r="F1377" s="334"/>
      <c r="G1377" s="332"/>
      <c r="H1377" s="334" t="s">
        <v>628</v>
      </c>
      <c r="I1377" s="334">
        <f>SUM(H1374:H1376)</f>
        <v>3000</v>
      </c>
    </row>
    <row r="1378" spans="2:9" x14ac:dyDescent="0.3">
      <c r="B1378" s="332" t="s">
        <v>629</v>
      </c>
      <c r="C1378" s="333"/>
      <c r="D1378" s="332"/>
      <c r="E1378" s="333"/>
      <c r="F1378" s="334"/>
      <c r="G1378" s="332"/>
      <c r="H1378" s="334"/>
      <c r="I1378" s="334"/>
    </row>
    <row r="1379" spans="2:9" x14ac:dyDescent="0.3">
      <c r="B1379" s="332" t="s">
        <v>271</v>
      </c>
      <c r="C1379" s="333"/>
      <c r="D1379" s="332"/>
      <c r="E1379" s="333" t="s">
        <v>624</v>
      </c>
      <c r="F1379" s="334" t="s">
        <v>630</v>
      </c>
      <c r="G1379" s="332" t="s">
        <v>631</v>
      </c>
      <c r="H1379" s="334" t="s">
        <v>627</v>
      </c>
      <c r="I1379" s="334"/>
    </row>
    <row r="1380" spans="2:9" x14ac:dyDescent="0.3">
      <c r="B1380" s="332"/>
      <c r="C1380" s="333"/>
      <c r="D1380" s="332"/>
      <c r="E1380" s="333"/>
      <c r="F1380" s="334"/>
      <c r="G1380" s="332"/>
      <c r="H1380" s="344"/>
      <c r="I1380" s="344"/>
    </row>
    <row r="1381" spans="2:9" x14ac:dyDescent="0.3">
      <c r="B1381" s="332"/>
      <c r="C1381" s="333"/>
      <c r="D1381" s="332"/>
      <c r="E1381" s="333"/>
      <c r="F1381" s="334"/>
      <c r="G1381" s="332"/>
      <c r="H1381" s="344"/>
      <c r="I1381" s="334"/>
    </row>
    <row r="1382" spans="2:9" x14ac:dyDescent="0.3">
      <c r="B1382" s="332"/>
      <c r="C1382" s="333"/>
      <c r="D1382" s="332"/>
      <c r="E1382" s="333"/>
      <c r="F1382" s="334"/>
      <c r="G1382" s="332"/>
      <c r="H1382" s="344"/>
      <c r="I1382" s="334"/>
    </row>
    <row r="1383" spans="2:9" x14ac:dyDescent="0.3">
      <c r="B1383" s="332"/>
      <c r="C1383" s="333"/>
      <c r="D1383" s="332"/>
      <c r="E1383" s="333"/>
      <c r="F1383" s="334"/>
      <c r="G1383" s="332"/>
      <c r="H1383" s="344"/>
      <c r="I1383" s="334"/>
    </row>
    <row r="1384" spans="2:9" x14ac:dyDescent="0.3">
      <c r="B1384" s="332"/>
      <c r="C1384" s="333"/>
      <c r="D1384" s="332"/>
      <c r="E1384" s="333"/>
      <c r="F1384" s="334"/>
      <c r="G1384" s="332"/>
      <c r="H1384" s="334"/>
      <c r="I1384" s="334"/>
    </row>
    <row r="1385" spans="2:9" x14ac:dyDescent="0.3">
      <c r="B1385" s="332"/>
      <c r="C1385" s="333"/>
      <c r="D1385" s="332"/>
      <c r="E1385" s="333"/>
      <c r="F1385" s="334"/>
      <c r="G1385" s="332"/>
      <c r="H1385" s="334" t="s">
        <v>628</v>
      </c>
      <c r="I1385" s="334">
        <f>SUM(H1380:H1384)</f>
        <v>0</v>
      </c>
    </row>
    <row r="1386" spans="2:9" x14ac:dyDescent="0.3">
      <c r="B1386" s="332" t="s">
        <v>632</v>
      </c>
      <c r="C1386" s="333"/>
      <c r="D1386" s="332"/>
      <c r="E1386" s="333" t="s">
        <v>624</v>
      </c>
      <c r="F1386" s="334" t="s">
        <v>633</v>
      </c>
      <c r="G1386" s="332" t="s">
        <v>634</v>
      </c>
      <c r="H1386" s="334" t="s">
        <v>627</v>
      </c>
      <c r="I1386" s="334"/>
    </row>
    <row r="1387" spans="2:9" x14ac:dyDescent="0.3">
      <c r="B1387" s="332"/>
      <c r="C1387" s="333"/>
      <c r="D1387" s="332"/>
      <c r="E1387" s="332"/>
      <c r="F1387" s="332"/>
      <c r="G1387" s="332"/>
      <c r="H1387" s="332"/>
      <c r="I1387" s="332"/>
    </row>
    <row r="1388" spans="2:9" x14ac:dyDescent="0.3">
      <c r="B1388" s="332"/>
      <c r="C1388" s="333"/>
      <c r="D1388" s="332"/>
      <c r="E1388" s="333"/>
      <c r="F1388" s="336"/>
      <c r="G1388" s="334"/>
      <c r="H1388" s="334"/>
      <c r="I1388" s="334"/>
    </row>
    <row r="1389" spans="2:9" x14ac:dyDescent="0.3">
      <c r="B1389" s="332"/>
      <c r="C1389" s="333"/>
      <c r="D1389" s="332"/>
      <c r="E1389" s="333"/>
      <c r="F1389" s="334"/>
      <c r="G1389" s="332"/>
      <c r="H1389" s="334" t="s">
        <v>628</v>
      </c>
      <c r="I1389" s="334">
        <f>SUM(H1388)</f>
        <v>0</v>
      </c>
    </row>
    <row r="1390" spans="2:9" x14ac:dyDescent="0.3">
      <c r="B1390" s="332" t="s">
        <v>635</v>
      </c>
      <c r="C1390" s="333"/>
      <c r="D1390" s="332"/>
      <c r="E1390" s="333"/>
      <c r="F1390" s="334"/>
      <c r="G1390" s="332"/>
      <c r="H1390" s="334" t="s">
        <v>627</v>
      </c>
      <c r="I1390" s="334"/>
    </row>
    <row r="1391" spans="2:9" x14ac:dyDescent="0.3">
      <c r="B1391" s="332" t="s">
        <v>636</v>
      </c>
      <c r="C1391" s="333"/>
      <c r="D1391" s="332"/>
      <c r="E1391" s="333" t="s">
        <v>637</v>
      </c>
      <c r="F1391" s="334" t="s">
        <v>638</v>
      </c>
      <c r="G1391" s="332" t="s">
        <v>626</v>
      </c>
      <c r="I1391" s="334"/>
    </row>
    <row r="1392" spans="2:9" ht="28.8" x14ac:dyDescent="0.3">
      <c r="B1392" s="342" t="s">
        <v>702</v>
      </c>
      <c r="C1392" s="333"/>
      <c r="D1392" s="332"/>
      <c r="E1392" s="346">
        <v>168000</v>
      </c>
      <c r="F1392" s="344">
        <v>1.8</v>
      </c>
      <c r="G1392" s="345">
        <v>13.745454510438796</v>
      </c>
      <c r="H1392" s="344">
        <f>E1392*F1392/G1392</f>
        <v>22000.000056043726</v>
      </c>
      <c r="I1392" s="344"/>
    </row>
    <row r="1393" spans="2:9" x14ac:dyDescent="0.3">
      <c r="B1393" s="332"/>
      <c r="C1393" s="333"/>
      <c r="D1393" s="332"/>
      <c r="E1393" s="333"/>
      <c r="F1393" s="334"/>
      <c r="G1393" s="332"/>
      <c r="H1393" s="334" t="s">
        <v>628</v>
      </c>
      <c r="I1393" s="334">
        <f>H1392</f>
        <v>22000.000056043726</v>
      </c>
    </row>
    <row r="1394" spans="2:9" x14ac:dyDescent="0.3">
      <c r="B1394" s="332"/>
      <c r="C1394" s="333"/>
      <c r="D1394" s="332"/>
      <c r="E1394" s="333"/>
      <c r="F1394" s="334"/>
      <c r="G1394" s="332"/>
      <c r="H1394" s="330" t="s">
        <v>640</v>
      </c>
      <c r="I1394" s="330">
        <f>I1393+I1385+I1377+I1389</f>
        <v>25000.000056043726</v>
      </c>
    </row>
    <row r="1396" spans="2:9" x14ac:dyDescent="0.3">
      <c r="B1396" s="339" t="s">
        <v>746</v>
      </c>
      <c r="C1396" s="339" t="s">
        <v>621</v>
      </c>
      <c r="D1396" s="352" t="s">
        <v>503</v>
      </c>
      <c r="E1396" s="329"/>
      <c r="F1396" s="353"/>
      <c r="G1396" s="353" t="s">
        <v>622</v>
      </c>
      <c r="H1396" s="353" t="s">
        <v>641</v>
      </c>
      <c r="I1396" s="340">
        <f>+ROUND(I1418,0)</f>
        <v>600000</v>
      </c>
    </row>
    <row r="1397" spans="2:9" x14ac:dyDescent="0.3">
      <c r="B1397" s="332" t="s">
        <v>623</v>
      </c>
      <c r="C1397" s="333"/>
      <c r="D1397" s="332"/>
      <c r="E1397" s="333"/>
      <c r="F1397" s="334"/>
      <c r="G1397" s="332"/>
      <c r="H1397" s="334"/>
      <c r="I1397" s="334"/>
    </row>
    <row r="1398" spans="2:9" x14ac:dyDescent="0.3">
      <c r="B1398" s="332" t="s">
        <v>271</v>
      </c>
      <c r="C1398" s="333"/>
      <c r="D1398" s="332"/>
      <c r="E1398" s="333" t="s">
        <v>624</v>
      </c>
      <c r="F1398" s="334" t="s">
        <v>625</v>
      </c>
      <c r="G1398" s="332" t="s">
        <v>626</v>
      </c>
      <c r="H1398" s="334" t="s">
        <v>627</v>
      </c>
      <c r="I1398" s="334"/>
    </row>
    <row r="1399" spans="2:9" x14ac:dyDescent="0.3">
      <c r="B1399" s="332" t="s">
        <v>642</v>
      </c>
      <c r="C1399" s="333"/>
      <c r="D1399" s="332"/>
      <c r="E1399" s="333" t="s">
        <v>644</v>
      </c>
      <c r="F1399" s="334">
        <v>1500</v>
      </c>
      <c r="G1399" s="335">
        <v>8</v>
      </c>
      <c r="H1399" s="334">
        <f>F1399*G1399</f>
        <v>12000</v>
      </c>
      <c r="I1399" s="334"/>
    </row>
    <row r="1400" spans="2:9" x14ac:dyDescent="0.3">
      <c r="B1400" s="332"/>
      <c r="C1400" s="333"/>
      <c r="D1400" s="332"/>
      <c r="E1400" s="333"/>
      <c r="F1400" s="334"/>
      <c r="G1400" s="335"/>
      <c r="H1400" s="334"/>
      <c r="I1400" s="334"/>
    </row>
    <row r="1401" spans="2:9" x14ac:dyDescent="0.3">
      <c r="B1401" s="332"/>
      <c r="C1401" s="333"/>
      <c r="D1401" s="332"/>
      <c r="E1401" s="333"/>
      <c r="F1401" s="334"/>
      <c r="G1401" s="335"/>
      <c r="H1401" s="334"/>
      <c r="I1401" s="334"/>
    </row>
    <row r="1402" spans="2:9" x14ac:dyDescent="0.3">
      <c r="B1402" s="332"/>
      <c r="C1402" s="333"/>
      <c r="D1402" s="332"/>
      <c r="E1402" s="333"/>
      <c r="F1402" s="334"/>
      <c r="G1402" s="332"/>
      <c r="H1402" s="334" t="s">
        <v>628</v>
      </c>
      <c r="I1402" s="334">
        <f>SUM(H1399:H1401)</f>
        <v>12000</v>
      </c>
    </row>
    <row r="1403" spans="2:9" x14ac:dyDescent="0.3">
      <c r="B1403" s="332" t="s">
        <v>629</v>
      </c>
      <c r="C1403" s="333"/>
      <c r="D1403" s="332"/>
      <c r="E1403" s="333"/>
      <c r="F1403" s="334"/>
      <c r="G1403" s="332"/>
      <c r="H1403" s="334"/>
      <c r="I1403" s="334"/>
    </row>
    <row r="1404" spans="2:9" x14ac:dyDescent="0.3">
      <c r="B1404" s="332" t="s">
        <v>271</v>
      </c>
      <c r="C1404" s="333"/>
      <c r="D1404" s="332"/>
      <c r="E1404" s="333" t="s">
        <v>624</v>
      </c>
      <c r="F1404" s="334" t="s">
        <v>630</v>
      </c>
      <c r="G1404" s="332" t="s">
        <v>631</v>
      </c>
      <c r="H1404" s="334" t="s">
        <v>627</v>
      </c>
      <c r="I1404" s="334"/>
    </row>
    <row r="1405" spans="2:9" x14ac:dyDescent="0.3">
      <c r="B1405" s="332"/>
      <c r="C1405" s="333"/>
      <c r="D1405" s="332"/>
      <c r="E1405" s="333"/>
      <c r="F1405" s="334"/>
      <c r="G1405" s="332"/>
      <c r="H1405" s="334"/>
      <c r="I1405" s="334"/>
    </row>
    <row r="1406" spans="2:9" x14ac:dyDescent="0.3">
      <c r="B1406" s="332"/>
      <c r="C1406" s="333"/>
      <c r="D1406" s="332"/>
      <c r="E1406" s="333"/>
      <c r="F1406" s="334"/>
      <c r="G1406" s="332"/>
      <c r="H1406" s="334"/>
      <c r="I1406" s="334"/>
    </row>
    <row r="1407" spans="2:9" x14ac:dyDescent="0.3">
      <c r="B1407" s="332"/>
      <c r="C1407" s="333"/>
      <c r="D1407" s="332"/>
      <c r="E1407" s="333"/>
      <c r="F1407" s="334"/>
      <c r="G1407" s="332"/>
      <c r="H1407" s="334"/>
      <c r="I1407" s="334"/>
    </row>
    <row r="1408" spans="2:9" x14ac:dyDescent="0.3">
      <c r="B1408" s="332"/>
      <c r="C1408" s="333"/>
      <c r="D1408" s="332"/>
      <c r="E1408" s="333"/>
      <c r="F1408" s="334"/>
      <c r="G1408" s="332"/>
      <c r="H1408" s="334"/>
      <c r="I1408" s="334"/>
    </row>
    <row r="1409" spans="2:9" x14ac:dyDescent="0.3">
      <c r="B1409" s="332"/>
      <c r="C1409" s="333"/>
      <c r="D1409" s="332"/>
      <c r="E1409" s="333"/>
      <c r="F1409" s="334"/>
      <c r="G1409" s="332"/>
      <c r="H1409" s="334" t="s">
        <v>628</v>
      </c>
      <c r="I1409" s="334">
        <f>SUM(H1405:H1408)</f>
        <v>0</v>
      </c>
    </row>
    <row r="1410" spans="2:9" x14ac:dyDescent="0.3">
      <c r="B1410" s="332" t="s">
        <v>632</v>
      </c>
      <c r="C1410" s="333"/>
      <c r="D1410" s="332"/>
      <c r="E1410" s="333" t="s">
        <v>624</v>
      </c>
      <c r="F1410" s="334" t="s">
        <v>633</v>
      </c>
      <c r="G1410" s="332" t="s">
        <v>634</v>
      </c>
      <c r="H1410" s="334" t="s">
        <v>627</v>
      </c>
      <c r="I1410" s="334"/>
    </row>
    <row r="1411" spans="2:9" x14ac:dyDescent="0.3">
      <c r="B1411" s="332"/>
      <c r="C1411" s="333"/>
      <c r="D1411" s="332"/>
      <c r="E1411" s="332"/>
      <c r="F1411" s="332"/>
      <c r="G1411" s="332"/>
      <c r="H1411" s="332"/>
      <c r="I1411" s="332"/>
    </row>
    <row r="1412" spans="2:9" x14ac:dyDescent="0.3">
      <c r="B1412" s="332"/>
      <c r="C1412" s="333"/>
      <c r="D1412" s="332"/>
      <c r="E1412" s="333"/>
      <c r="F1412" s="336"/>
      <c r="G1412" s="334"/>
      <c r="H1412" s="334"/>
      <c r="I1412" s="334"/>
    </row>
    <row r="1413" spans="2:9" x14ac:dyDescent="0.3">
      <c r="B1413" s="332"/>
      <c r="C1413" s="333"/>
      <c r="D1413" s="332"/>
      <c r="E1413" s="333"/>
      <c r="F1413" s="334"/>
      <c r="G1413" s="332"/>
      <c r="H1413" s="334" t="s">
        <v>628</v>
      </c>
      <c r="I1413" s="334">
        <f>SUM(H1412)</f>
        <v>0</v>
      </c>
    </row>
    <row r="1414" spans="2:9" x14ac:dyDescent="0.3">
      <c r="B1414" s="332" t="s">
        <v>635</v>
      </c>
      <c r="C1414" s="333"/>
      <c r="D1414" s="332"/>
      <c r="E1414" s="333"/>
      <c r="F1414" s="334"/>
      <c r="G1414" s="332"/>
      <c r="H1414" s="334"/>
      <c r="I1414" s="334"/>
    </row>
    <row r="1415" spans="2:9" x14ac:dyDescent="0.3">
      <c r="B1415" s="332" t="s">
        <v>636</v>
      </c>
      <c r="C1415" s="333"/>
      <c r="D1415" s="332"/>
      <c r="E1415" s="333" t="s">
        <v>637</v>
      </c>
      <c r="F1415" s="334" t="s">
        <v>638</v>
      </c>
      <c r="G1415" s="332" t="s">
        <v>639</v>
      </c>
      <c r="H1415" s="334" t="s">
        <v>627</v>
      </c>
      <c r="I1415" s="334"/>
    </row>
    <row r="1416" spans="2:9" x14ac:dyDescent="0.3">
      <c r="B1416" s="332" t="s">
        <v>645</v>
      </c>
      <c r="C1416" s="333"/>
      <c r="D1416" s="332"/>
      <c r="E1416" s="337">
        <v>168000</v>
      </c>
      <c r="F1416" s="334">
        <v>1.8</v>
      </c>
      <c r="G1416" s="335">
        <v>0.51428571417796698</v>
      </c>
      <c r="H1416" s="334">
        <f>E1416*F1416/G1416</f>
        <v>588000.00012319104</v>
      </c>
      <c r="I1416" s="334"/>
    </row>
    <row r="1417" spans="2:9" x14ac:dyDescent="0.3">
      <c r="B1417" s="332"/>
      <c r="C1417" s="333"/>
      <c r="D1417" s="332"/>
      <c r="E1417" s="333"/>
      <c r="F1417" s="334"/>
      <c r="G1417" s="332"/>
      <c r="H1417" s="334" t="s">
        <v>628</v>
      </c>
      <c r="I1417" s="334">
        <f>H1416</f>
        <v>588000.00012319104</v>
      </c>
    </row>
    <row r="1418" spans="2:9" x14ac:dyDescent="0.3">
      <c r="B1418" s="332"/>
      <c r="C1418" s="333"/>
      <c r="D1418" s="332"/>
      <c r="E1418" s="333"/>
      <c r="F1418" s="334"/>
      <c r="G1418" s="332"/>
      <c r="H1418" s="330" t="s">
        <v>640</v>
      </c>
      <c r="I1418" s="330">
        <f>I1417+I1409+I1402+I1413</f>
        <v>600000.00012319104</v>
      </c>
    </row>
    <row r="1419" spans="2:9" x14ac:dyDescent="0.3">
      <c r="B1419" s="301"/>
      <c r="C1419" s="349"/>
      <c r="D1419" s="301"/>
      <c r="E1419" s="349"/>
      <c r="F1419" s="350"/>
      <c r="G1419" s="301"/>
      <c r="H1419" s="351"/>
      <c r="I1419" s="351"/>
    </row>
    <row r="1420" spans="2:9" x14ac:dyDescent="0.3">
      <c r="B1420" s="413" t="s">
        <v>747</v>
      </c>
      <c r="C1420" s="413"/>
      <c r="D1420" s="413"/>
      <c r="E1420" s="349"/>
      <c r="F1420" s="350"/>
      <c r="G1420" s="301"/>
      <c r="H1420" s="351"/>
      <c r="I1420" s="351"/>
    </row>
    <row r="1421" spans="2:9" x14ac:dyDescent="0.3">
      <c r="B1421" s="301"/>
      <c r="C1421" s="349"/>
      <c r="D1421" s="301"/>
      <c r="E1421" s="349"/>
      <c r="F1421" s="350"/>
      <c r="G1421" s="301"/>
      <c r="H1421" s="351"/>
      <c r="I1421" s="351"/>
    </row>
    <row r="1423" spans="2:9" x14ac:dyDescent="0.3">
      <c r="B1423" s="339" t="s">
        <v>646</v>
      </c>
      <c r="C1423" s="339" t="s">
        <v>621</v>
      </c>
      <c r="D1423" s="341" t="s">
        <v>519</v>
      </c>
      <c r="E1423" s="339"/>
      <c r="F1423" s="340"/>
      <c r="G1423" s="340" t="s">
        <v>622</v>
      </c>
      <c r="H1423" s="340" t="s">
        <v>254</v>
      </c>
      <c r="I1423" s="340">
        <f>+ROUND(I1445,0)</f>
        <v>14301</v>
      </c>
    </row>
    <row r="1424" spans="2:9" x14ac:dyDescent="0.3">
      <c r="B1424" s="332" t="s">
        <v>623</v>
      </c>
      <c r="C1424" s="333"/>
      <c r="D1424" s="332"/>
      <c r="E1424" s="333"/>
      <c r="F1424" s="334"/>
      <c r="G1424" s="332"/>
      <c r="H1424" s="334"/>
      <c r="I1424" s="334"/>
    </row>
    <row r="1425" spans="2:9" x14ac:dyDescent="0.3">
      <c r="B1425" s="332" t="s">
        <v>271</v>
      </c>
      <c r="C1425" s="333"/>
      <c r="D1425" s="332"/>
      <c r="E1425" s="333" t="s">
        <v>624</v>
      </c>
      <c r="F1425" s="334" t="s">
        <v>625</v>
      </c>
      <c r="G1425" s="332" t="s">
        <v>626</v>
      </c>
      <c r="H1425" s="334" t="s">
        <v>627</v>
      </c>
      <c r="I1425" s="334"/>
    </row>
    <row r="1426" spans="2:9" x14ac:dyDescent="0.3">
      <c r="B1426" s="332" t="s">
        <v>642</v>
      </c>
      <c r="C1426" s="333"/>
      <c r="D1426" s="332"/>
      <c r="E1426" s="333" t="s">
        <v>644</v>
      </c>
      <c r="F1426" s="334">
        <v>1500</v>
      </c>
      <c r="G1426" s="335">
        <v>8</v>
      </c>
      <c r="H1426" s="334">
        <f>F1426*G1426</f>
        <v>12000</v>
      </c>
      <c r="I1426" s="334"/>
    </row>
    <row r="1427" spans="2:9" x14ac:dyDescent="0.3">
      <c r="B1427" s="332"/>
      <c r="C1427" s="333"/>
      <c r="D1427" s="332"/>
      <c r="E1427" s="333"/>
      <c r="F1427" s="334"/>
      <c r="G1427" s="335"/>
      <c r="H1427" s="334"/>
      <c r="I1427" s="334"/>
    </row>
    <row r="1428" spans="2:9" x14ac:dyDescent="0.3">
      <c r="B1428" s="332"/>
      <c r="C1428" s="333"/>
      <c r="D1428" s="332"/>
      <c r="E1428" s="333"/>
      <c r="F1428" s="334"/>
      <c r="G1428" s="335"/>
      <c r="H1428" s="334"/>
      <c r="I1428" s="334"/>
    </row>
    <row r="1429" spans="2:9" x14ac:dyDescent="0.3">
      <c r="B1429" s="332"/>
      <c r="C1429" s="333"/>
      <c r="D1429" s="332"/>
      <c r="E1429" s="333"/>
      <c r="F1429" s="334"/>
      <c r="G1429" s="332"/>
      <c r="H1429" s="334" t="s">
        <v>628</v>
      </c>
      <c r="I1429" s="334">
        <f>SUM(H1426:H1428)</f>
        <v>12000</v>
      </c>
    </row>
    <row r="1430" spans="2:9" x14ac:dyDescent="0.3">
      <c r="B1430" s="332" t="s">
        <v>629</v>
      </c>
      <c r="C1430" s="333"/>
      <c r="D1430" s="332"/>
      <c r="E1430" s="333"/>
      <c r="F1430" s="334"/>
      <c r="G1430" s="332"/>
      <c r="H1430" s="334"/>
      <c r="I1430" s="334"/>
    </row>
    <row r="1431" spans="2:9" x14ac:dyDescent="0.3">
      <c r="B1431" s="332" t="s">
        <v>271</v>
      </c>
      <c r="C1431" s="333"/>
      <c r="D1431" s="332"/>
      <c r="E1431" s="333" t="s">
        <v>624</v>
      </c>
      <c r="F1431" s="334" t="s">
        <v>630</v>
      </c>
      <c r="G1431" s="332" t="s">
        <v>631</v>
      </c>
      <c r="H1431" s="334" t="s">
        <v>627</v>
      </c>
      <c r="I1431" s="334"/>
    </row>
    <row r="1432" spans="2:9" x14ac:dyDescent="0.3">
      <c r="B1432" s="332"/>
      <c r="C1432" s="333"/>
      <c r="D1432" s="332"/>
      <c r="E1432" s="333"/>
      <c r="F1432" s="334"/>
      <c r="G1432" s="332"/>
      <c r="H1432" s="334"/>
      <c r="I1432" s="334"/>
    </row>
    <row r="1433" spans="2:9" x14ac:dyDescent="0.3">
      <c r="B1433" s="332"/>
      <c r="C1433" s="333"/>
      <c r="D1433" s="332"/>
      <c r="E1433" s="333"/>
      <c r="F1433" s="334"/>
      <c r="G1433" s="332"/>
      <c r="H1433" s="334"/>
      <c r="I1433" s="334"/>
    </row>
    <row r="1434" spans="2:9" x14ac:dyDescent="0.3">
      <c r="B1434" s="332"/>
      <c r="C1434" s="333"/>
      <c r="D1434" s="332"/>
      <c r="E1434" s="333"/>
      <c r="F1434" s="334"/>
      <c r="G1434" s="332"/>
      <c r="H1434" s="334"/>
      <c r="I1434" s="334"/>
    </row>
    <row r="1435" spans="2:9" x14ac:dyDescent="0.3">
      <c r="B1435" s="332"/>
      <c r="C1435" s="333"/>
      <c r="D1435" s="332"/>
      <c r="E1435" s="333"/>
      <c r="F1435" s="334"/>
      <c r="G1435" s="332"/>
      <c r="H1435" s="334"/>
      <c r="I1435" s="334"/>
    </row>
    <row r="1436" spans="2:9" x14ac:dyDescent="0.3">
      <c r="B1436" s="332"/>
      <c r="C1436" s="333"/>
      <c r="D1436" s="332"/>
      <c r="E1436" s="333"/>
      <c r="F1436" s="334"/>
      <c r="G1436" s="332"/>
      <c r="H1436" s="334" t="s">
        <v>628</v>
      </c>
      <c r="I1436" s="334">
        <f>SUM(H1432:H1435)</f>
        <v>0</v>
      </c>
    </row>
    <row r="1437" spans="2:9" x14ac:dyDescent="0.3">
      <c r="B1437" s="332" t="s">
        <v>632</v>
      </c>
      <c r="C1437" s="333"/>
      <c r="D1437" s="332"/>
      <c r="E1437" s="333" t="s">
        <v>624</v>
      </c>
      <c r="F1437" s="334" t="s">
        <v>633</v>
      </c>
      <c r="G1437" s="332" t="s">
        <v>634</v>
      </c>
      <c r="H1437" s="334" t="s">
        <v>627</v>
      </c>
      <c r="I1437" s="334"/>
    </row>
    <row r="1438" spans="2:9" x14ac:dyDescent="0.3">
      <c r="B1438" s="332"/>
      <c r="C1438" s="333"/>
      <c r="D1438" s="332"/>
      <c r="E1438" s="332"/>
      <c r="F1438" s="332"/>
      <c r="G1438" s="332"/>
      <c r="H1438" s="332"/>
      <c r="I1438" s="332"/>
    </row>
    <row r="1439" spans="2:9" x14ac:dyDescent="0.3">
      <c r="B1439" s="332"/>
      <c r="C1439" s="333"/>
      <c r="D1439" s="332"/>
      <c r="E1439" s="333"/>
      <c r="F1439" s="336"/>
      <c r="G1439" s="334"/>
      <c r="H1439" s="334"/>
      <c r="I1439" s="334"/>
    </row>
    <row r="1440" spans="2:9" x14ac:dyDescent="0.3">
      <c r="B1440" s="332"/>
      <c r="C1440" s="333"/>
      <c r="D1440" s="332"/>
      <c r="E1440" s="333"/>
      <c r="F1440" s="334"/>
      <c r="G1440" s="332"/>
      <c r="H1440" s="334" t="s">
        <v>628</v>
      </c>
      <c r="I1440" s="334">
        <f>SUM(H1439)</f>
        <v>0</v>
      </c>
    </row>
    <row r="1441" spans="2:9" x14ac:dyDescent="0.3">
      <c r="B1441" s="332" t="s">
        <v>635</v>
      </c>
      <c r="C1441" s="333"/>
      <c r="D1441" s="332"/>
      <c r="E1441" s="333"/>
      <c r="F1441" s="334"/>
      <c r="G1441" s="332"/>
      <c r="H1441" s="334"/>
      <c r="I1441" s="334"/>
    </row>
    <row r="1442" spans="2:9" x14ac:dyDescent="0.3">
      <c r="B1442" s="332" t="s">
        <v>636</v>
      </c>
      <c r="C1442" s="333"/>
      <c r="D1442" s="332"/>
      <c r="E1442" s="333" t="s">
        <v>637</v>
      </c>
      <c r="F1442" s="334" t="s">
        <v>638</v>
      </c>
      <c r="G1442" s="332" t="s">
        <v>639</v>
      </c>
      <c r="H1442" s="334" t="s">
        <v>627</v>
      </c>
      <c r="I1442" s="334"/>
    </row>
    <row r="1443" spans="2:9" x14ac:dyDescent="0.3">
      <c r="B1443" s="332" t="s">
        <v>645</v>
      </c>
      <c r="C1443" s="333"/>
      <c r="D1443" s="332"/>
      <c r="E1443" s="337">
        <v>168000</v>
      </c>
      <c r="F1443" s="334">
        <v>1.8</v>
      </c>
      <c r="G1443" s="338">
        <v>131.42112051016397</v>
      </c>
      <c r="H1443" s="334">
        <f>E1443*F1443/G1443</f>
        <v>2301.0000129820282</v>
      </c>
      <c r="I1443" s="334"/>
    </row>
    <row r="1444" spans="2:9" x14ac:dyDescent="0.3">
      <c r="B1444" s="332"/>
      <c r="C1444" s="333"/>
      <c r="D1444" s="332"/>
      <c r="E1444" s="333"/>
      <c r="F1444" s="334"/>
      <c r="G1444" s="332"/>
      <c r="H1444" s="334" t="s">
        <v>628</v>
      </c>
      <c r="I1444" s="334">
        <f>H1443</f>
        <v>2301.0000129820282</v>
      </c>
    </row>
    <row r="1445" spans="2:9" x14ac:dyDescent="0.3">
      <c r="B1445" s="332"/>
      <c r="C1445" s="333"/>
      <c r="D1445" s="332"/>
      <c r="E1445" s="333"/>
      <c r="F1445" s="334"/>
      <c r="G1445" s="332"/>
      <c r="H1445" s="330" t="s">
        <v>640</v>
      </c>
      <c r="I1445" s="330">
        <f>I1444+I1436+I1429+I1440</f>
        <v>14301.000012982029</v>
      </c>
    </row>
    <row r="1447" spans="2:9" x14ac:dyDescent="0.3">
      <c r="B1447" s="339" t="s">
        <v>647</v>
      </c>
      <c r="C1447" s="339" t="s">
        <v>621</v>
      </c>
      <c r="D1447" s="341" t="s">
        <v>504</v>
      </c>
      <c r="E1447" s="339"/>
      <c r="F1447" s="340"/>
      <c r="G1447" s="340" t="s">
        <v>622</v>
      </c>
      <c r="H1447" s="340" t="s">
        <v>489</v>
      </c>
      <c r="I1447" s="340">
        <f>+ROUND(I1469,0)</f>
        <v>7468</v>
      </c>
    </row>
    <row r="1448" spans="2:9" x14ac:dyDescent="0.3">
      <c r="B1448" s="332" t="s">
        <v>623</v>
      </c>
      <c r="C1448" s="333"/>
      <c r="D1448" s="332"/>
      <c r="E1448" s="333"/>
      <c r="F1448" s="334"/>
      <c r="G1448" s="332"/>
      <c r="H1448" s="334"/>
      <c r="I1448" s="334"/>
    </row>
    <row r="1449" spans="2:9" x14ac:dyDescent="0.3">
      <c r="B1449" s="332" t="s">
        <v>271</v>
      </c>
      <c r="C1449" s="333"/>
      <c r="D1449" s="332"/>
      <c r="E1449" s="333" t="s">
        <v>624</v>
      </c>
      <c r="F1449" s="334" t="s">
        <v>625</v>
      </c>
      <c r="G1449" s="332" t="s">
        <v>626</v>
      </c>
      <c r="H1449" s="334" t="s">
        <v>627</v>
      </c>
      <c r="I1449" s="334"/>
    </row>
    <row r="1450" spans="2:9" x14ac:dyDescent="0.3">
      <c r="B1450" s="332" t="s">
        <v>642</v>
      </c>
      <c r="C1450" s="333"/>
      <c r="D1450" s="332"/>
      <c r="E1450" s="333" t="s">
        <v>644</v>
      </c>
      <c r="F1450" s="334">
        <v>1500</v>
      </c>
      <c r="G1450" s="335">
        <v>3</v>
      </c>
      <c r="H1450" s="334">
        <f>F1450*G1450</f>
        <v>4500</v>
      </c>
      <c r="I1450" s="334"/>
    </row>
    <row r="1451" spans="2:9" x14ac:dyDescent="0.3">
      <c r="B1451" s="332"/>
      <c r="C1451" s="333"/>
      <c r="D1451" s="332"/>
      <c r="E1451" s="333"/>
      <c r="F1451" s="334"/>
      <c r="G1451" s="335"/>
      <c r="H1451" s="334"/>
      <c r="I1451" s="334"/>
    </row>
    <row r="1452" spans="2:9" x14ac:dyDescent="0.3">
      <c r="B1452" s="332"/>
      <c r="C1452" s="333"/>
      <c r="D1452" s="332"/>
      <c r="E1452" s="333"/>
      <c r="F1452" s="334"/>
      <c r="G1452" s="335"/>
      <c r="H1452" s="334"/>
      <c r="I1452" s="334"/>
    </row>
    <row r="1453" spans="2:9" x14ac:dyDescent="0.3">
      <c r="B1453" s="332"/>
      <c r="C1453" s="333"/>
      <c r="D1453" s="332"/>
      <c r="E1453" s="333"/>
      <c r="F1453" s="334"/>
      <c r="G1453" s="332"/>
      <c r="H1453" s="334" t="s">
        <v>628</v>
      </c>
      <c r="I1453" s="334">
        <f>SUM(H1450:H1452)</f>
        <v>4500</v>
      </c>
    </row>
    <row r="1454" spans="2:9" x14ac:dyDescent="0.3">
      <c r="B1454" s="332" t="s">
        <v>629</v>
      </c>
      <c r="C1454" s="333"/>
      <c r="D1454" s="332"/>
      <c r="E1454" s="333"/>
      <c r="F1454" s="334"/>
      <c r="G1454" s="332"/>
      <c r="H1454" s="334"/>
      <c r="I1454" s="334"/>
    </row>
    <row r="1455" spans="2:9" x14ac:dyDescent="0.3">
      <c r="B1455" s="332" t="s">
        <v>271</v>
      </c>
      <c r="C1455" s="333"/>
      <c r="D1455" s="332"/>
      <c r="E1455" s="333" t="s">
        <v>624</v>
      </c>
      <c r="F1455" s="334" t="s">
        <v>630</v>
      </c>
      <c r="G1455" s="332" t="s">
        <v>631</v>
      </c>
      <c r="H1455" s="334" t="s">
        <v>627</v>
      </c>
      <c r="I1455" s="334"/>
    </row>
    <row r="1456" spans="2:9" x14ac:dyDescent="0.3">
      <c r="B1456" s="332"/>
      <c r="C1456" s="333"/>
      <c r="D1456" s="332"/>
      <c r="E1456" s="333"/>
      <c r="F1456" s="334"/>
      <c r="G1456" s="332"/>
      <c r="H1456" s="334"/>
      <c r="I1456" s="334"/>
    </row>
    <row r="1457" spans="2:9" x14ac:dyDescent="0.3">
      <c r="B1457" s="332"/>
      <c r="C1457" s="333"/>
      <c r="D1457" s="332"/>
      <c r="E1457" s="333"/>
      <c r="F1457" s="334"/>
      <c r="G1457" s="332"/>
      <c r="H1457" s="334"/>
      <c r="I1457" s="334"/>
    </row>
    <row r="1458" spans="2:9" x14ac:dyDescent="0.3">
      <c r="B1458" s="332"/>
      <c r="C1458" s="333"/>
      <c r="D1458" s="332"/>
      <c r="E1458" s="333"/>
      <c r="F1458" s="334"/>
      <c r="G1458" s="332"/>
      <c r="H1458" s="334"/>
      <c r="I1458" s="334"/>
    </row>
    <row r="1459" spans="2:9" x14ac:dyDescent="0.3">
      <c r="B1459" s="332"/>
      <c r="C1459" s="333"/>
      <c r="D1459" s="332"/>
      <c r="E1459" s="333"/>
      <c r="F1459" s="334"/>
      <c r="G1459" s="332"/>
      <c r="H1459" s="334"/>
      <c r="I1459" s="334"/>
    </row>
    <row r="1460" spans="2:9" x14ac:dyDescent="0.3">
      <c r="B1460" s="332"/>
      <c r="C1460" s="333"/>
      <c r="D1460" s="332"/>
      <c r="E1460" s="333"/>
      <c r="F1460" s="334"/>
      <c r="G1460" s="332"/>
      <c r="H1460" s="334" t="s">
        <v>628</v>
      </c>
      <c r="I1460" s="334">
        <f>SUM(H1456:H1459)</f>
        <v>0</v>
      </c>
    </row>
    <row r="1461" spans="2:9" x14ac:dyDescent="0.3">
      <c r="B1461" s="332" t="s">
        <v>632</v>
      </c>
      <c r="C1461" s="333"/>
      <c r="D1461" s="332"/>
      <c r="E1461" s="333" t="s">
        <v>624</v>
      </c>
      <c r="F1461" s="334" t="s">
        <v>633</v>
      </c>
      <c r="G1461" s="332" t="s">
        <v>634</v>
      </c>
      <c r="H1461" s="334" t="s">
        <v>627</v>
      </c>
      <c r="I1461" s="334"/>
    </row>
    <row r="1462" spans="2:9" x14ac:dyDescent="0.3">
      <c r="B1462" s="332"/>
      <c r="C1462" s="333"/>
      <c r="D1462" s="332"/>
      <c r="E1462" s="332"/>
      <c r="F1462" s="332"/>
      <c r="G1462" s="332"/>
      <c r="H1462" s="332"/>
      <c r="I1462" s="332"/>
    </row>
    <row r="1463" spans="2:9" x14ac:dyDescent="0.3">
      <c r="B1463" s="332"/>
      <c r="C1463" s="333"/>
      <c r="D1463" s="332"/>
      <c r="E1463" s="333"/>
      <c r="F1463" s="336"/>
      <c r="G1463" s="334"/>
      <c r="H1463" s="334"/>
      <c r="I1463" s="334"/>
    </row>
    <row r="1464" spans="2:9" x14ac:dyDescent="0.3">
      <c r="B1464" s="332"/>
      <c r="C1464" s="333"/>
      <c r="D1464" s="332"/>
      <c r="E1464" s="333"/>
      <c r="F1464" s="334"/>
      <c r="G1464" s="332"/>
      <c r="H1464" s="334" t="s">
        <v>628</v>
      </c>
      <c r="I1464" s="334">
        <f>SUM(H1463)</f>
        <v>0</v>
      </c>
    </row>
    <row r="1465" spans="2:9" x14ac:dyDescent="0.3">
      <c r="B1465" s="332" t="s">
        <v>635</v>
      </c>
      <c r="C1465" s="333"/>
      <c r="D1465" s="332"/>
      <c r="E1465" s="333"/>
      <c r="F1465" s="334"/>
      <c r="G1465" s="332"/>
      <c r="H1465" s="334"/>
      <c r="I1465" s="334"/>
    </row>
    <row r="1466" spans="2:9" x14ac:dyDescent="0.3">
      <c r="B1466" s="332" t="s">
        <v>636</v>
      </c>
      <c r="C1466" s="333"/>
      <c r="D1466" s="332"/>
      <c r="E1466" s="333" t="s">
        <v>637</v>
      </c>
      <c r="F1466" s="334" t="s">
        <v>638</v>
      </c>
      <c r="G1466" s="332" t="s">
        <v>639</v>
      </c>
      <c r="H1466" s="334" t="s">
        <v>627</v>
      </c>
      <c r="I1466" s="334"/>
    </row>
    <row r="1467" spans="2:9" x14ac:dyDescent="0.3">
      <c r="B1467" s="332" t="s">
        <v>645</v>
      </c>
      <c r="C1467" s="333"/>
      <c r="D1467" s="332"/>
      <c r="E1467" s="337">
        <v>168000</v>
      </c>
      <c r="F1467" s="334">
        <v>1.8</v>
      </c>
      <c r="G1467" s="338">
        <v>101.88680622432933</v>
      </c>
      <c r="H1467" s="334">
        <f>E1467*F1467/G1467</f>
        <v>2967.9995988311834</v>
      </c>
      <c r="I1467" s="334"/>
    </row>
    <row r="1468" spans="2:9" x14ac:dyDescent="0.3">
      <c r="B1468" s="332"/>
      <c r="C1468" s="333"/>
      <c r="D1468" s="332"/>
      <c r="E1468" s="333"/>
      <c r="F1468" s="334"/>
      <c r="G1468" s="332"/>
      <c r="H1468" s="334" t="s">
        <v>628</v>
      </c>
      <c r="I1468" s="334">
        <f>H1467</f>
        <v>2967.9995988311834</v>
      </c>
    </row>
    <row r="1469" spans="2:9" x14ac:dyDescent="0.3">
      <c r="B1469" s="332"/>
      <c r="C1469" s="333"/>
      <c r="D1469" s="332"/>
      <c r="E1469" s="333"/>
      <c r="F1469" s="334"/>
      <c r="G1469" s="332"/>
      <c r="H1469" s="330" t="s">
        <v>640</v>
      </c>
      <c r="I1469" s="330">
        <f>I1468+I1460+I1453+I1464</f>
        <v>7467.9995988311839</v>
      </c>
    </row>
    <row r="1471" spans="2:9" x14ac:dyDescent="0.3">
      <c r="B1471" s="339" t="s">
        <v>748</v>
      </c>
      <c r="C1471" s="339" t="s">
        <v>621</v>
      </c>
      <c r="D1471" s="341" t="s">
        <v>505</v>
      </c>
      <c r="E1471" s="339"/>
      <c r="F1471" s="340"/>
      <c r="G1471" s="340" t="s">
        <v>622</v>
      </c>
      <c r="H1471" s="340" t="s">
        <v>254</v>
      </c>
      <c r="I1471" s="340">
        <f>+ROUND(I1493,0)</f>
        <v>14301</v>
      </c>
    </row>
    <row r="1472" spans="2:9" x14ac:dyDescent="0.3">
      <c r="B1472" s="332" t="s">
        <v>623</v>
      </c>
      <c r="C1472" s="333"/>
      <c r="D1472" s="332"/>
      <c r="E1472" s="333"/>
      <c r="F1472" s="334"/>
      <c r="G1472" s="332"/>
      <c r="H1472" s="334"/>
      <c r="I1472" s="334"/>
    </row>
    <row r="1473" spans="2:9" x14ac:dyDescent="0.3">
      <c r="B1473" s="332" t="s">
        <v>271</v>
      </c>
      <c r="C1473" s="333"/>
      <c r="D1473" s="332"/>
      <c r="E1473" s="333" t="s">
        <v>624</v>
      </c>
      <c r="F1473" s="334" t="s">
        <v>625</v>
      </c>
      <c r="G1473" s="332" t="s">
        <v>626</v>
      </c>
      <c r="H1473" s="334" t="s">
        <v>627</v>
      </c>
      <c r="I1473" s="334"/>
    </row>
    <row r="1474" spans="2:9" x14ac:dyDescent="0.3">
      <c r="B1474" s="332" t="s">
        <v>642</v>
      </c>
      <c r="C1474" s="333"/>
      <c r="D1474" s="332"/>
      <c r="E1474" s="333" t="s">
        <v>644</v>
      </c>
      <c r="F1474" s="334">
        <v>1500</v>
      </c>
      <c r="G1474" s="335">
        <v>8</v>
      </c>
      <c r="H1474" s="334">
        <f>F1474*G1474</f>
        <v>12000</v>
      </c>
      <c r="I1474" s="334"/>
    </row>
    <row r="1475" spans="2:9" x14ac:dyDescent="0.3">
      <c r="B1475" s="332"/>
      <c r="C1475" s="333"/>
      <c r="D1475" s="332"/>
      <c r="E1475" s="333"/>
      <c r="F1475" s="334"/>
      <c r="G1475" s="335"/>
      <c r="H1475" s="334"/>
      <c r="I1475" s="334"/>
    </row>
    <row r="1476" spans="2:9" x14ac:dyDescent="0.3">
      <c r="B1476" s="332"/>
      <c r="C1476" s="333"/>
      <c r="D1476" s="332"/>
      <c r="E1476" s="333"/>
      <c r="F1476" s="334"/>
      <c r="G1476" s="335"/>
      <c r="H1476" s="334"/>
      <c r="I1476" s="334"/>
    </row>
    <row r="1477" spans="2:9" x14ac:dyDescent="0.3">
      <c r="B1477" s="332"/>
      <c r="C1477" s="333"/>
      <c r="D1477" s="332"/>
      <c r="E1477" s="333"/>
      <c r="F1477" s="334"/>
      <c r="G1477" s="332"/>
      <c r="H1477" s="334" t="s">
        <v>628</v>
      </c>
      <c r="I1477" s="334">
        <f>SUM(H1474:H1476)</f>
        <v>12000</v>
      </c>
    </row>
    <row r="1478" spans="2:9" x14ac:dyDescent="0.3">
      <c r="B1478" s="332" t="s">
        <v>629</v>
      </c>
      <c r="C1478" s="333"/>
      <c r="D1478" s="332"/>
      <c r="E1478" s="333"/>
      <c r="F1478" s="334"/>
      <c r="G1478" s="332"/>
      <c r="H1478" s="334"/>
      <c r="I1478" s="334"/>
    </row>
    <row r="1479" spans="2:9" x14ac:dyDescent="0.3">
      <c r="B1479" s="332" t="s">
        <v>271</v>
      </c>
      <c r="C1479" s="333"/>
      <c r="D1479" s="332"/>
      <c r="E1479" s="333" t="s">
        <v>624</v>
      </c>
      <c r="F1479" s="334" t="s">
        <v>630</v>
      </c>
      <c r="G1479" s="332" t="s">
        <v>631</v>
      </c>
      <c r="H1479" s="334" t="s">
        <v>627</v>
      </c>
      <c r="I1479" s="334"/>
    </row>
    <row r="1480" spans="2:9" x14ac:dyDescent="0.3">
      <c r="B1480" s="332"/>
      <c r="C1480" s="333"/>
      <c r="D1480" s="332"/>
      <c r="E1480" s="333"/>
      <c r="F1480" s="334"/>
      <c r="G1480" s="332"/>
      <c r="H1480" s="334"/>
      <c r="I1480" s="334"/>
    </row>
    <row r="1481" spans="2:9" x14ac:dyDescent="0.3">
      <c r="B1481" s="332"/>
      <c r="C1481" s="333"/>
      <c r="D1481" s="332"/>
      <c r="E1481" s="333"/>
      <c r="F1481" s="334"/>
      <c r="G1481" s="332"/>
      <c r="H1481" s="334"/>
      <c r="I1481" s="334"/>
    </row>
    <row r="1482" spans="2:9" x14ac:dyDescent="0.3">
      <c r="B1482" s="332"/>
      <c r="C1482" s="333"/>
      <c r="D1482" s="332"/>
      <c r="E1482" s="333"/>
      <c r="F1482" s="334"/>
      <c r="G1482" s="332"/>
      <c r="H1482" s="334"/>
      <c r="I1482" s="334"/>
    </row>
    <row r="1483" spans="2:9" x14ac:dyDescent="0.3">
      <c r="B1483" s="332"/>
      <c r="C1483" s="333"/>
      <c r="D1483" s="332"/>
      <c r="E1483" s="333"/>
      <c r="F1483" s="334"/>
      <c r="G1483" s="332"/>
      <c r="H1483" s="334"/>
      <c r="I1483" s="334"/>
    </row>
    <row r="1484" spans="2:9" x14ac:dyDescent="0.3">
      <c r="B1484" s="332"/>
      <c r="C1484" s="333"/>
      <c r="D1484" s="332"/>
      <c r="E1484" s="333"/>
      <c r="F1484" s="334"/>
      <c r="G1484" s="332"/>
      <c r="H1484" s="334" t="s">
        <v>628</v>
      </c>
      <c r="I1484" s="334">
        <f>SUM(H1480:H1483)</f>
        <v>0</v>
      </c>
    </row>
    <row r="1485" spans="2:9" x14ac:dyDescent="0.3">
      <c r="B1485" s="332" t="s">
        <v>632</v>
      </c>
      <c r="C1485" s="333"/>
      <c r="D1485" s="332"/>
      <c r="E1485" s="333" t="s">
        <v>624</v>
      </c>
      <c r="F1485" s="334" t="s">
        <v>633</v>
      </c>
      <c r="G1485" s="332" t="s">
        <v>634</v>
      </c>
      <c r="H1485" s="334" t="s">
        <v>627</v>
      </c>
      <c r="I1485" s="334"/>
    </row>
    <row r="1486" spans="2:9" x14ac:dyDescent="0.3">
      <c r="B1486" s="332"/>
      <c r="C1486" s="333"/>
      <c r="D1486" s="332"/>
      <c r="E1486" s="332"/>
      <c r="F1486" s="332"/>
      <c r="G1486" s="332"/>
      <c r="H1486" s="332"/>
      <c r="I1486" s="332"/>
    </row>
    <row r="1487" spans="2:9" x14ac:dyDescent="0.3">
      <c r="B1487" s="332"/>
      <c r="C1487" s="333"/>
      <c r="D1487" s="332"/>
      <c r="E1487" s="333"/>
      <c r="F1487" s="336"/>
      <c r="G1487" s="334"/>
      <c r="H1487" s="334"/>
      <c r="I1487" s="334"/>
    </row>
    <row r="1488" spans="2:9" x14ac:dyDescent="0.3">
      <c r="B1488" s="332"/>
      <c r="C1488" s="333"/>
      <c r="D1488" s="332"/>
      <c r="E1488" s="333"/>
      <c r="F1488" s="334"/>
      <c r="G1488" s="332"/>
      <c r="H1488" s="334" t="s">
        <v>628</v>
      </c>
      <c r="I1488" s="334">
        <f>SUM(H1487)</f>
        <v>0</v>
      </c>
    </row>
    <row r="1489" spans="2:9" x14ac:dyDescent="0.3">
      <c r="B1489" s="332" t="s">
        <v>635</v>
      </c>
      <c r="C1489" s="333"/>
      <c r="D1489" s="332"/>
      <c r="E1489" s="333"/>
      <c r="F1489" s="334"/>
      <c r="G1489" s="332"/>
      <c r="H1489" s="334"/>
      <c r="I1489" s="334"/>
    </row>
    <row r="1490" spans="2:9" x14ac:dyDescent="0.3">
      <c r="B1490" s="332" t="s">
        <v>636</v>
      </c>
      <c r="C1490" s="333"/>
      <c r="D1490" s="332"/>
      <c r="E1490" s="333" t="s">
        <v>637</v>
      </c>
      <c r="F1490" s="334" t="s">
        <v>638</v>
      </c>
      <c r="G1490" s="332" t="s">
        <v>639</v>
      </c>
      <c r="H1490" s="334" t="s">
        <v>627</v>
      </c>
      <c r="I1490" s="334"/>
    </row>
    <row r="1491" spans="2:9" x14ac:dyDescent="0.3">
      <c r="B1491" s="332" t="s">
        <v>645</v>
      </c>
      <c r="C1491" s="333"/>
      <c r="D1491" s="332"/>
      <c r="E1491" s="337">
        <v>168000</v>
      </c>
      <c r="F1491" s="334">
        <v>1.8</v>
      </c>
      <c r="G1491" s="338">
        <v>131.42112051016397</v>
      </c>
      <c r="H1491" s="334">
        <f>E1491*F1491/G1491</f>
        <v>2301.0000129820282</v>
      </c>
      <c r="I1491" s="334"/>
    </row>
    <row r="1492" spans="2:9" x14ac:dyDescent="0.3">
      <c r="B1492" s="332"/>
      <c r="C1492" s="333"/>
      <c r="D1492" s="332"/>
      <c r="E1492" s="333"/>
      <c r="F1492" s="334"/>
      <c r="G1492" s="332"/>
      <c r="H1492" s="334" t="s">
        <v>628</v>
      </c>
      <c r="I1492" s="334">
        <f>H1491</f>
        <v>2301.0000129820282</v>
      </c>
    </row>
    <row r="1493" spans="2:9" x14ac:dyDescent="0.3">
      <c r="B1493" s="332"/>
      <c r="C1493" s="333"/>
      <c r="D1493" s="332"/>
      <c r="E1493" s="333"/>
      <c r="F1493" s="334"/>
      <c r="G1493" s="332"/>
      <c r="H1493" s="330" t="s">
        <v>640</v>
      </c>
      <c r="I1493" s="330">
        <f>I1492+I1484+I1477+I1488</f>
        <v>14301.000012982029</v>
      </c>
    </row>
    <row r="1495" spans="2:9" ht="28.8" x14ac:dyDescent="0.3">
      <c r="B1495" s="339" t="s">
        <v>749</v>
      </c>
      <c r="C1495" s="339" t="s">
        <v>621</v>
      </c>
      <c r="D1495" s="341" t="s">
        <v>615</v>
      </c>
      <c r="E1495" s="339"/>
      <c r="F1495" s="340"/>
      <c r="G1495" s="340" t="s">
        <v>622</v>
      </c>
      <c r="H1495" s="340" t="s">
        <v>254</v>
      </c>
      <c r="I1495" s="340">
        <f>+ROUND(I1517,0)</f>
        <v>15269</v>
      </c>
    </row>
    <row r="1496" spans="2:9" x14ac:dyDescent="0.3">
      <c r="B1496" s="332" t="s">
        <v>623</v>
      </c>
      <c r="C1496" s="333"/>
      <c r="D1496" s="332"/>
      <c r="E1496" s="333"/>
      <c r="F1496" s="334"/>
      <c r="G1496" s="332"/>
      <c r="H1496" s="334"/>
      <c r="I1496" s="334"/>
    </row>
    <row r="1497" spans="2:9" x14ac:dyDescent="0.3">
      <c r="B1497" s="332" t="s">
        <v>271</v>
      </c>
      <c r="C1497" s="333"/>
      <c r="D1497" s="332"/>
      <c r="E1497" s="333" t="s">
        <v>624</v>
      </c>
      <c r="F1497" s="334" t="s">
        <v>625</v>
      </c>
      <c r="G1497" s="332" t="s">
        <v>626</v>
      </c>
      <c r="H1497" s="334" t="s">
        <v>627</v>
      </c>
      <c r="I1497" s="334"/>
    </row>
    <row r="1498" spans="2:9" x14ac:dyDescent="0.3">
      <c r="B1498" s="332" t="s">
        <v>642</v>
      </c>
      <c r="C1498" s="333"/>
      <c r="D1498" s="332"/>
      <c r="E1498" s="333" t="s">
        <v>644</v>
      </c>
      <c r="F1498" s="334">
        <v>1500</v>
      </c>
      <c r="G1498" s="335">
        <v>8</v>
      </c>
      <c r="H1498" s="334">
        <f>F1498*G1498</f>
        <v>12000</v>
      </c>
      <c r="I1498" s="334"/>
    </row>
    <row r="1499" spans="2:9" x14ac:dyDescent="0.3">
      <c r="B1499" s="332"/>
      <c r="C1499" s="333"/>
      <c r="D1499" s="332"/>
      <c r="E1499" s="333"/>
      <c r="F1499" s="334"/>
      <c r="G1499" s="335"/>
      <c r="H1499" s="334"/>
      <c r="I1499" s="334"/>
    </row>
    <row r="1500" spans="2:9" x14ac:dyDescent="0.3">
      <c r="B1500" s="332"/>
      <c r="C1500" s="333"/>
      <c r="D1500" s="332"/>
      <c r="E1500" s="333"/>
      <c r="F1500" s="334"/>
      <c r="G1500" s="335"/>
      <c r="H1500" s="334"/>
      <c r="I1500" s="334"/>
    </row>
    <row r="1501" spans="2:9" x14ac:dyDescent="0.3">
      <c r="B1501" s="332"/>
      <c r="C1501" s="333"/>
      <c r="D1501" s="332"/>
      <c r="E1501" s="333"/>
      <c r="F1501" s="334"/>
      <c r="G1501" s="332"/>
      <c r="H1501" s="334" t="s">
        <v>628</v>
      </c>
      <c r="I1501" s="334">
        <f>SUM(H1498:H1500)</f>
        <v>12000</v>
      </c>
    </row>
    <row r="1502" spans="2:9" x14ac:dyDescent="0.3">
      <c r="B1502" s="332" t="s">
        <v>629</v>
      </c>
      <c r="C1502" s="333"/>
      <c r="D1502" s="332"/>
      <c r="E1502" s="333"/>
      <c r="F1502" s="334"/>
      <c r="G1502" s="332"/>
      <c r="H1502" s="334"/>
      <c r="I1502" s="334"/>
    </row>
    <row r="1503" spans="2:9" x14ac:dyDescent="0.3">
      <c r="B1503" s="332" t="s">
        <v>271</v>
      </c>
      <c r="C1503" s="333"/>
      <c r="D1503" s="332"/>
      <c r="E1503" s="333" t="s">
        <v>624</v>
      </c>
      <c r="F1503" s="334" t="s">
        <v>630</v>
      </c>
      <c r="G1503" s="332" t="s">
        <v>631</v>
      </c>
      <c r="H1503" s="334" t="s">
        <v>627</v>
      </c>
      <c r="I1503" s="334"/>
    </row>
    <row r="1504" spans="2:9" x14ac:dyDescent="0.3">
      <c r="B1504" s="332"/>
      <c r="C1504" s="333"/>
      <c r="D1504" s="332"/>
      <c r="E1504" s="333"/>
      <c r="F1504" s="334"/>
      <c r="G1504" s="332"/>
      <c r="H1504" s="334"/>
      <c r="I1504" s="334"/>
    </row>
    <row r="1505" spans="2:9" x14ac:dyDescent="0.3">
      <c r="B1505" s="332"/>
      <c r="C1505" s="333"/>
      <c r="D1505" s="332"/>
      <c r="E1505" s="333"/>
      <c r="F1505" s="334"/>
      <c r="G1505" s="332"/>
      <c r="H1505" s="334"/>
      <c r="I1505" s="334"/>
    </row>
    <row r="1506" spans="2:9" x14ac:dyDescent="0.3">
      <c r="B1506" s="332"/>
      <c r="C1506" s="333"/>
      <c r="D1506" s="332"/>
      <c r="E1506" s="333"/>
      <c r="F1506" s="334"/>
      <c r="G1506" s="332"/>
      <c r="H1506" s="334"/>
      <c r="I1506" s="334"/>
    </row>
    <row r="1507" spans="2:9" x14ac:dyDescent="0.3">
      <c r="B1507" s="332"/>
      <c r="C1507" s="333"/>
      <c r="D1507" s="332"/>
      <c r="E1507" s="333"/>
      <c r="F1507" s="334"/>
      <c r="G1507" s="332"/>
      <c r="H1507" s="334"/>
      <c r="I1507" s="334"/>
    </row>
    <row r="1508" spans="2:9" x14ac:dyDescent="0.3">
      <c r="B1508" s="332"/>
      <c r="C1508" s="333"/>
      <c r="D1508" s="332"/>
      <c r="E1508" s="333"/>
      <c r="F1508" s="334"/>
      <c r="G1508" s="332"/>
      <c r="H1508" s="334" t="s">
        <v>628</v>
      </c>
      <c r="I1508" s="334">
        <f>SUM(H1504:H1507)</f>
        <v>0</v>
      </c>
    </row>
    <row r="1509" spans="2:9" x14ac:dyDescent="0.3">
      <c r="B1509" s="332" t="s">
        <v>632</v>
      </c>
      <c r="C1509" s="333"/>
      <c r="D1509" s="332"/>
      <c r="E1509" s="333" t="s">
        <v>624</v>
      </c>
      <c r="F1509" s="334" t="s">
        <v>633</v>
      </c>
      <c r="G1509" s="332" t="s">
        <v>634</v>
      </c>
      <c r="H1509" s="334" t="s">
        <v>627</v>
      </c>
      <c r="I1509" s="334"/>
    </row>
    <row r="1510" spans="2:9" x14ac:dyDescent="0.3">
      <c r="B1510" s="332"/>
      <c r="C1510" s="333"/>
      <c r="D1510" s="332"/>
      <c r="E1510" s="332"/>
      <c r="F1510" s="332"/>
      <c r="G1510" s="332"/>
      <c r="H1510" s="332"/>
      <c r="I1510" s="332"/>
    </row>
    <row r="1511" spans="2:9" x14ac:dyDescent="0.3">
      <c r="B1511" s="332"/>
      <c r="C1511" s="333"/>
      <c r="D1511" s="332"/>
      <c r="E1511" s="333"/>
      <c r="F1511" s="336"/>
      <c r="G1511" s="334"/>
      <c r="H1511" s="334"/>
      <c r="I1511" s="334"/>
    </row>
    <row r="1512" spans="2:9" x14ac:dyDescent="0.3">
      <c r="B1512" s="332"/>
      <c r="C1512" s="333"/>
      <c r="D1512" s="332"/>
      <c r="E1512" s="333"/>
      <c r="F1512" s="334"/>
      <c r="G1512" s="332"/>
      <c r="H1512" s="334" t="s">
        <v>628</v>
      </c>
      <c r="I1512" s="334">
        <f>SUM(H1511)</f>
        <v>0</v>
      </c>
    </row>
    <row r="1513" spans="2:9" x14ac:dyDescent="0.3">
      <c r="B1513" s="332" t="s">
        <v>635</v>
      </c>
      <c r="C1513" s="333"/>
      <c r="D1513" s="332"/>
      <c r="E1513" s="333"/>
      <c r="F1513" s="334"/>
      <c r="G1513" s="332"/>
      <c r="H1513" s="334"/>
      <c r="I1513" s="334"/>
    </row>
    <row r="1514" spans="2:9" x14ac:dyDescent="0.3">
      <c r="B1514" s="332" t="s">
        <v>636</v>
      </c>
      <c r="C1514" s="333"/>
      <c r="D1514" s="332"/>
      <c r="E1514" s="333" t="s">
        <v>637</v>
      </c>
      <c r="F1514" s="334" t="s">
        <v>638</v>
      </c>
      <c r="G1514" s="332" t="s">
        <v>639</v>
      </c>
      <c r="H1514" s="334" t="s">
        <v>627</v>
      </c>
      <c r="I1514" s="334"/>
    </row>
    <row r="1515" spans="2:9" x14ac:dyDescent="0.3">
      <c r="B1515" s="332" t="s">
        <v>645</v>
      </c>
      <c r="C1515" s="333"/>
      <c r="D1515" s="332"/>
      <c r="E1515" s="337">
        <v>168000</v>
      </c>
      <c r="F1515" s="334">
        <v>1.8</v>
      </c>
      <c r="G1515" s="338">
        <v>92.505353324165569</v>
      </c>
      <c r="H1515" s="334">
        <f>E1515*F1515/G1515</f>
        <v>3268.9999998194999</v>
      </c>
      <c r="I1515" s="334"/>
    </row>
    <row r="1516" spans="2:9" x14ac:dyDescent="0.3">
      <c r="B1516" s="332"/>
      <c r="C1516" s="333"/>
      <c r="D1516" s="332"/>
      <c r="E1516" s="333"/>
      <c r="F1516" s="334"/>
      <c r="G1516" s="332"/>
      <c r="H1516" s="334" t="s">
        <v>628</v>
      </c>
      <c r="I1516" s="334">
        <f>H1515</f>
        <v>3268.9999998194999</v>
      </c>
    </row>
    <row r="1517" spans="2:9" x14ac:dyDescent="0.3">
      <c r="B1517" s="332"/>
      <c r="C1517" s="333"/>
      <c r="D1517" s="332"/>
      <c r="E1517" s="333"/>
      <c r="F1517" s="334"/>
      <c r="G1517" s="332"/>
      <c r="H1517" s="330" t="s">
        <v>640</v>
      </c>
      <c r="I1517" s="330">
        <f>I1516+I1508+I1501+I1512</f>
        <v>15268.9999998195</v>
      </c>
    </row>
    <row r="1519" spans="2:9" ht="86.4" x14ac:dyDescent="0.3">
      <c r="B1519" s="339" t="s">
        <v>648</v>
      </c>
      <c r="C1519" s="339" t="s">
        <v>621</v>
      </c>
      <c r="D1519" s="341" t="s">
        <v>525</v>
      </c>
      <c r="E1519" s="339"/>
      <c r="F1519" s="340"/>
      <c r="G1519" s="340" t="s">
        <v>622</v>
      </c>
      <c r="H1519" s="340" t="s">
        <v>93</v>
      </c>
      <c r="I1519" s="340">
        <f>+ROUND(I1541,0)</f>
        <v>25000</v>
      </c>
    </row>
    <row r="1520" spans="2:9" x14ac:dyDescent="0.3">
      <c r="B1520" s="332" t="s">
        <v>623</v>
      </c>
      <c r="C1520" s="333"/>
      <c r="D1520" s="332"/>
      <c r="E1520" s="333"/>
      <c r="F1520" s="334"/>
      <c r="G1520" s="332"/>
      <c r="H1520" s="334"/>
      <c r="I1520" s="334"/>
    </row>
    <row r="1521" spans="2:9" x14ac:dyDescent="0.3">
      <c r="B1521" s="332" t="s">
        <v>271</v>
      </c>
      <c r="C1521" s="333"/>
      <c r="D1521" s="332"/>
      <c r="E1521" s="333" t="s">
        <v>624</v>
      </c>
      <c r="F1521" s="334" t="s">
        <v>625</v>
      </c>
      <c r="G1521" s="332" t="s">
        <v>626</v>
      </c>
      <c r="H1521" s="334" t="s">
        <v>627</v>
      </c>
      <c r="I1521" s="334"/>
    </row>
    <row r="1522" spans="2:9" x14ac:dyDescent="0.3">
      <c r="B1522" s="332" t="s">
        <v>642</v>
      </c>
      <c r="C1522" s="333"/>
      <c r="D1522" s="332"/>
      <c r="E1522" s="333" t="s">
        <v>644</v>
      </c>
      <c r="F1522" s="334">
        <v>1500</v>
      </c>
      <c r="G1522" s="335">
        <v>8</v>
      </c>
      <c r="H1522" s="334">
        <f>F1522*G1522</f>
        <v>12000</v>
      </c>
      <c r="I1522" s="334"/>
    </row>
    <row r="1523" spans="2:9" x14ac:dyDescent="0.3">
      <c r="B1523" s="332"/>
      <c r="C1523" s="333"/>
      <c r="D1523" s="332"/>
      <c r="E1523" s="333"/>
      <c r="F1523" s="334"/>
      <c r="G1523" s="335"/>
      <c r="H1523" s="334"/>
      <c r="I1523" s="334"/>
    </row>
    <row r="1524" spans="2:9" x14ac:dyDescent="0.3">
      <c r="B1524" s="332"/>
      <c r="C1524" s="333"/>
      <c r="D1524" s="332"/>
      <c r="E1524" s="333"/>
      <c r="F1524" s="334"/>
      <c r="G1524" s="335"/>
      <c r="H1524" s="334"/>
      <c r="I1524" s="334"/>
    </row>
    <row r="1525" spans="2:9" x14ac:dyDescent="0.3">
      <c r="B1525" s="332"/>
      <c r="C1525" s="333"/>
      <c r="D1525" s="332"/>
      <c r="E1525" s="333"/>
      <c r="F1525" s="334"/>
      <c r="G1525" s="332"/>
      <c r="H1525" s="334" t="s">
        <v>628</v>
      </c>
      <c r="I1525" s="334">
        <f>SUM(H1522:H1524)</f>
        <v>12000</v>
      </c>
    </row>
    <row r="1526" spans="2:9" x14ac:dyDescent="0.3">
      <c r="B1526" s="332" t="s">
        <v>629</v>
      </c>
      <c r="C1526" s="333"/>
      <c r="D1526" s="332"/>
      <c r="E1526" s="333"/>
      <c r="F1526" s="334"/>
      <c r="G1526" s="332"/>
      <c r="H1526" s="334"/>
      <c r="I1526" s="334"/>
    </row>
    <row r="1527" spans="2:9" x14ac:dyDescent="0.3">
      <c r="B1527" s="332" t="s">
        <v>271</v>
      </c>
      <c r="C1527" s="333"/>
      <c r="D1527" s="332"/>
      <c r="E1527" s="333" t="s">
        <v>624</v>
      </c>
      <c r="F1527" s="334" t="s">
        <v>630</v>
      </c>
      <c r="G1527" s="332" t="s">
        <v>631</v>
      </c>
      <c r="H1527" s="334" t="s">
        <v>627</v>
      </c>
      <c r="I1527" s="334"/>
    </row>
    <row r="1528" spans="2:9" x14ac:dyDescent="0.3">
      <c r="B1528" s="332" t="s">
        <v>654</v>
      </c>
      <c r="C1528" s="333"/>
      <c r="D1528" s="332"/>
      <c r="E1528" s="333" t="s">
        <v>159</v>
      </c>
      <c r="F1528" s="334">
        <v>250</v>
      </c>
      <c r="G1528" s="332">
        <v>1.1000000000000001</v>
      </c>
      <c r="H1528" s="334">
        <f>F1528*G1528</f>
        <v>275</v>
      </c>
      <c r="I1528" s="334"/>
    </row>
    <row r="1529" spans="2:9" x14ac:dyDescent="0.3">
      <c r="B1529" s="332" t="s">
        <v>650</v>
      </c>
      <c r="C1529" s="333"/>
      <c r="D1529" s="332"/>
      <c r="E1529" s="333" t="s">
        <v>651</v>
      </c>
      <c r="F1529" s="334">
        <v>46800</v>
      </c>
      <c r="G1529" s="332">
        <v>8.4000000000000012E-3</v>
      </c>
      <c r="H1529" s="334">
        <f t="shared" ref="H1529:H1531" si="0">F1529*G1529</f>
        <v>393.12000000000006</v>
      </c>
      <c r="I1529" s="334"/>
    </row>
    <row r="1530" spans="2:9" x14ac:dyDescent="0.3">
      <c r="B1530" s="332" t="s">
        <v>652</v>
      </c>
      <c r="C1530" s="333"/>
      <c r="D1530" s="332"/>
      <c r="E1530" s="333" t="s">
        <v>653</v>
      </c>
      <c r="F1530" s="334">
        <v>2500</v>
      </c>
      <c r="G1530" s="332">
        <v>0.5</v>
      </c>
      <c r="H1530" s="334">
        <f t="shared" si="0"/>
        <v>1250</v>
      </c>
      <c r="I1530" s="334"/>
    </row>
    <row r="1531" spans="2:9" x14ac:dyDescent="0.3">
      <c r="B1531" s="354" t="s">
        <v>750</v>
      </c>
      <c r="C1531" s="333"/>
      <c r="D1531" s="332"/>
      <c r="E1531" s="355" t="s">
        <v>93</v>
      </c>
      <c r="F1531" s="334">
        <v>109000</v>
      </c>
      <c r="G1531" s="332">
        <v>7.0000000000000007E-2</v>
      </c>
      <c r="H1531" s="334">
        <f t="shared" si="0"/>
        <v>7630.0000000000009</v>
      </c>
      <c r="I1531" s="334"/>
    </row>
    <row r="1532" spans="2:9" x14ac:dyDescent="0.3">
      <c r="B1532" s="332"/>
      <c r="C1532" s="333"/>
      <c r="D1532" s="332"/>
      <c r="E1532" s="333"/>
      <c r="F1532" s="334"/>
      <c r="G1532" s="332"/>
      <c r="H1532" s="334" t="s">
        <v>628</v>
      </c>
      <c r="I1532" s="334">
        <f>SUM(H1528:H1531)</f>
        <v>9548.1200000000008</v>
      </c>
    </row>
    <row r="1533" spans="2:9" x14ac:dyDescent="0.3">
      <c r="B1533" s="332" t="s">
        <v>632</v>
      </c>
      <c r="C1533" s="333"/>
      <c r="D1533" s="332"/>
      <c r="E1533" s="333" t="s">
        <v>624</v>
      </c>
      <c r="F1533" s="334" t="s">
        <v>633</v>
      </c>
      <c r="G1533" s="332" t="s">
        <v>634</v>
      </c>
      <c r="H1533" s="334" t="s">
        <v>627</v>
      </c>
      <c r="I1533" s="334"/>
    </row>
    <row r="1534" spans="2:9" x14ac:dyDescent="0.3">
      <c r="B1534" s="332"/>
      <c r="C1534" s="333"/>
      <c r="D1534" s="332"/>
      <c r="E1534" s="332"/>
      <c r="F1534" s="332"/>
      <c r="G1534" s="332"/>
      <c r="H1534" s="332"/>
      <c r="I1534" s="332"/>
    </row>
    <row r="1535" spans="2:9" x14ac:dyDescent="0.3">
      <c r="B1535" s="332"/>
      <c r="C1535" s="333"/>
      <c r="D1535" s="332"/>
      <c r="E1535" s="333"/>
      <c r="F1535" s="336"/>
      <c r="G1535" s="334"/>
      <c r="H1535" s="334"/>
      <c r="I1535" s="334"/>
    </row>
    <row r="1536" spans="2:9" x14ac:dyDescent="0.3">
      <c r="B1536" s="332"/>
      <c r="C1536" s="333"/>
      <c r="D1536" s="332"/>
      <c r="E1536" s="333"/>
      <c r="F1536" s="334"/>
      <c r="G1536" s="332"/>
      <c r="H1536" s="334" t="s">
        <v>628</v>
      </c>
      <c r="I1536" s="334">
        <f>SUM(H1535)</f>
        <v>0</v>
      </c>
    </row>
    <row r="1537" spans="2:9" x14ac:dyDescent="0.3">
      <c r="B1537" s="332" t="s">
        <v>635</v>
      </c>
      <c r="C1537" s="333"/>
      <c r="D1537" s="332"/>
      <c r="E1537" s="333"/>
      <c r="F1537" s="334"/>
      <c r="G1537" s="332"/>
      <c r="H1537" s="334"/>
      <c r="I1537" s="334"/>
    </row>
    <row r="1538" spans="2:9" x14ac:dyDescent="0.3">
      <c r="B1538" s="332" t="s">
        <v>636</v>
      </c>
      <c r="C1538" s="333"/>
      <c r="D1538" s="332"/>
      <c r="E1538" s="333" t="s">
        <v>637</v>
      </c>
      <c r="F1538" s="334" t="s">
        <v>638</v>
      </c>
      <c r="G1538" s="332" t="s">
        <v>639</v>
      </c>
      <c r="H1538" s="334" t="s">
        <v>627</v>
      </c>
      <c r="I1538" s="334"/>
    </row>
    <row r="1539" spans="2:9" x14ac:dyDescent="0.3">
      <c r="B1539" s="332" t="s">
        <v>645</v>
      </c>
      <c r="C1539" s="333"/>
      <c r="D1539" s="332"/>
      <c r="E1539" s="337">
        <v>168000</v>
      </c>
      <c r="F1539" s="334">
        <v>1.8</v>
      </c>
      <c r="G1539" s="338">
        <v>87.604435840702877</v>
      </c>
      <c r="H1539" s="334">
        <f>E1539*F1539/G1539</f>
        <v>3451.8800001163704</v>
      </c>
      <c r="I1539" s="334"/>
    </row>
    <row r="1540" spans="2:9" x14ac:dyDescent="0.3">
      <c r="B1540" s="332"/>
      <c r="C1540" s="333"/>
      <c r="D1540" s="332"/>
      <c r="E1540" s="333"/>
      <c r="F1540" s="334"/>
      <c r="G1540" s="332"/>
      <c r="H1540" s="334" t="s">
        <v>628</v>
      </c>
      <c r="I1540" s="334">
        <f>H1539</f>
        <v>3451.8800001163704</v>
      </c>
    </row>
    <row r="1541" spans="2:9" x14ac:dyDescent="0.3">
      <c r="B1541" s="332"/>
      <c r="C1541" s="333"/>
      <c r="D1541" s="332"/>
      <c r="E1541" s="333"/>
      <c r="F1541" s="334"/>
      <c r="G1541" s="332"/>
      <c r="H1541" s="330" t="s">
        <v>640</v>
      </c>
      <c r="I1541" s="330">
        <f>I1540+I1532+I1525+I1536</f>
        <v>25000.000000116372</v>
      </c>
    </row>
    <row r="1543" spans="2:9" ht="100.8" x14ac:dyDescent="0.3">
      <c r="B1543" s="339" t="s">
        <v>664</v>
      </c>
      <c r="C1543" s="339" t="s">
        <v>621</v>
      </c>
      <c r="D1543" s="341" t="s">
        <v>596</v>
      </c>
      <c r="E1543" s="339"/>
      <c r="F1543" s="340"/>
      <c r="G1543" s="340" t="s">
        <v>622</v>
      </c>
      <c r="H1543" s="340" t="s">
        <v>60</v>
      </c>
      <c r="I1543" s="340">
        <f>+ROUND(I1565,0)</f>
        <v>180503</v>
      </c>
    </row>
    <row r="1544" spans="2:9" x14ac:dyDescent="0.3">
      <c r="B1544" s="332" t="s">
        <v>623</v>
      </c>
      <c r="C1544" s="333"/>
      <c r="D1544" s="332"/>
      <c r="E1544" s="333"/>
      <c r="F1544" s="334"/>
      <c r="G1544" s="332"/>
      <c r="H1544" s="334"/>
      <c r="I1544" s="334"/>
    </row>
    <row r="1545" spans="2:9" x14ac:dyDescent="0.3">
      <c r="B1545" s="332" t="s">
        <v>271</v>
      </c>
      <c r="C1545" s="333"/>
      <c r="D1545" s="332"/>
      <c r="E1545" s="333" t="s">
        <v>624</v>
      </c>
      <c r="F1545" s="334" t="s">
        <v>625</v>
      </c>
      <c r="G1545" s="332" t="s">
        <v>626</v>
      </c>
      <c r="H1545" s="334" t="s">
        <v>627</v>
      </c>
      <c r="I1545" s="334"/>
    </row>
    <row r="1546" spans="2:9" x14ac:dyDescent="0.3">
      <c r="B1546" s="332" t="s">
        <v>642</v>
      </c>
      <c r="C1546" s="333"/>
      <c r="D1546" s="332"/>
      <c r="E1546" s="333" t="s">
        <v>644</v>
      </c>
      <c r="F1546" s="334">
        <v>1500</v>
      </c>
      <c r="G1546" s="335">
        <v>4</v>
      </c>
      <c r="H1546" s="334">
        <f>F1546*G1546</f>
        <v>6000</v>
      </c>
      <c r="I1546" s="334"/>
    </row>
    <row r="1547" spans="2:9" x14ac:dyDescent="0.3">
      <c r="B1547" s="332"/>
      <c r="C1547" s="333"/>
      <c r="D1547" s="332"/>
      <c r="E1547" s="333"/>
      <c r="F1547" s="334"/>
      <c r="G1547" s="335"/>
      <c r="H1547" s="334"/>
      <c r="I1547" s="334"/>
    </row>
    <row r="1548" spans="2:9" x14ac:dyDescent="0.3">
      <c r="B1548" s="332"/>
      <c r="C1548" s="333"/>
      <c r="D1548" s="332"/>
      <c r="E1548" s="333"/>
      <c r="F1548" s="334"/>
      <c r="G1548" s="335"/>
      <c r="H1548" s="334"/>
      <c r="I1548" s="334"/>
    </row>
    <row r="1549" spans="2:9" x14ac:dyDescent="0.3">
      <c r="B1549" s="332"/>
      <c r="C1549" s="333"/>
      <c r="D1549" s="332"/>
      <c r="E1549" s="333"/>
      <c r="F1549" s="334"/>
      <c r="G1549" s="332"/>
      <c r="H1549" s="334" t="s">
        <v>628</v>
      </c>
      <c r="I1549" s="334">
        <f>SUM(H1546:H1548)</f>
        <v>6000</v>
      </c>
    </row>
    <row r="1550" spans="2:9" x14ac:dyDescent="0.3">
      <c r="B1550" s="332" t="s">
        <v>629</v>
      </c>
      <c r="C1550" s="333"/>
      <c r="D1550" s="332"/>
      <c r="E1550" s="333"/>
      <c r="F1550" s="334"/>
      <c r="G1550" s="332"/>
      <c r="H1550" s="334"/>
      <c r="I1550" s="334"/>
    </row>
    <row r="1551" spans="2:9" x14ac:dyDescent="0.3">
      <c r="B1551" s="332" t="s">
        <v>271</v>
      </c>
      <c r="C1551" s="333"/>
      <c r="D1551" s="332"/>
      <c r="E1551" s="333" t="s">
        <v>624</v>
      </c>
      <c r="F1551" s="334" t="s">
        <v>630</v>
      </c>
      <c r="G1551" s="332" t="s">
        <v>631</v>
      </c>
      <c r="H1551" s="334" t="s">
        <v>627</v>
      </c>
      <c r="I1551" s="334"/>
    </row>
    <row r="1552" spans="2:9" x14ac:dyDescent="0.3">
      <c r="B1552" s="332" t="s">
        <v>665</v>
      </c>
      <c r="C1552" s="333"/>
      <c r="D1552" s="332"/>
      <c r="E1552" s="333" t="s">
        <v>656</v>
      </c>
      <c r="F1552" s="334">
        <v>25000</v>
      </c>
      <c r="G1552" s="335">
        <v>0.67038250160133539</v>
      </c>
      <c r="H1552" s="334">
        <f>F1552*G1552</f>
        <v>16759.562540033385</v>
      </c>
      <c r="I1552" s="334"/>
    </row>
    <row r="1553" spans="2:9" x14ac:dyDescent="0.3">
      <c r="B1553" s="332" t="s">
        <v>666</v>
      </c>
      <c r="C1553" s="333"/>
      <c r="D1553" s="332"/>
      <c r="E1553" s="333" t="s">
        <v>60</v>
      </c>
      <c r="F1553" s="334">
        <v>51000</v>
      </c>
      <c r="G1553" s="332">
        <v>1.1000000000000001</v>
      </c>
      <c r="H1553" s="334">
        <f>F1553*G1553</f>
        <v>56100.000000000007</v>
      </c>
      <c r="I1553" s="334"/>
    </row>
    <row r="1554" spans="2:9" x14ac:dyDescent="0.3">
      <c r="B1554" s="332"/>
      <c r="C1554" s="333"/>
      <c r="D1554" s="332"/>
      <c r="E1554" s="333"/>
      <c r="F1554" s="334"/>
      <c r="G1554" s="332"/>
      <c r="H1554" s="334"/>
      <c r="I1554" s="334"/>
    </row>
    <row r="1555" spans="2:9" x14ac:dyDescent="0.3">
      <c r="B1555" s="332"/>
      <c r="C1555" s="333"/>
      <c r="D1555" s="332"/>
      <c r="E1555" s="333"/>
      <c r="F1555" s="334"/>
      <c r="G1555" s="332"/>
      <c r="H1555" s="334"/>
      <c r="I1555" s="334"/>
    </row>
    <row r="1556" spans="2:9" x14ac:dyDescent="0.3">
      <c r="B1556" s="332"/>
      <c r="C1556" s="333"/>
      <c r="D1556" s="332"/>
      <c r="E1556" s="333"/>
      <c r="F1556" s="334"/>
      <c r="G1556" s="332"/>
      <c r="H1556" s="334" t="s">
        <v>628</v>
      </c>
      <c r="I1556" s="334">
        <f>SUM(H1552:H1555)</f>
        <v>72859.562540033396</v>
      </c>
    </row>
    <row r="1557" spans="2:9" x14ac:dyDescent="0.3">
      <c r="B1557" s="332" t="s">
        <v>632</v>
      </c>
      <c r="C1557" s="333"/>
      <c r="D1557" s="332"/>
      <c r="E1557" s="333" t="s">
        <v>624</v>
      </c>
      <c r="F1557" s="334" t="s">
        <v>633</v>
      </c>
      <c r="G1557" s="332" t="s">
        <v>634</v>
      </c>
      <c r="H1557" s="334" t="s">
        <v>627</v>
      </c>
      <c r="I1557" s="334"/>
    </row>
    <row r="1558" spans="2:9" x14ac:dyDescent="0.3">
      <c r="B1558" s="332"/>
      <c r="C1558" s="333"/>
      <c r="D1558" s="332"/>
      <c r="E1558" s="332"/>
      <c r="F1558" s="332"/>
      <c r="G1558" s="332"/>
      <c r="H1558" s="332"/>
      <c r="I1558" s="332"/>
    </row>
    <row r="1559" spans="2:9" x14ac:dyDescent="0.3">
      <c r="B1559" s="332"/>
      <c r="C1559" s="333"/>
      <c r="D1559" s="332"/>
      <c r="E1559" s="333"/>
      <c r="F1559" s="336"/>
      <c r="G1559" s="334"/>
      <c r="H1559" s="334"/>
      <c r="I1559" s="334"/>
    </row>
    <row r="1560" spans="2:9" x14ac:dyDescent="0.3">
      <c r="B1560" s="332"/>
      <c r="C1560" s="333"/>
      <c r="D1560" s="332"/>
      <c r="E1560" s="333"/>
      <c r="F1560" s="334"/>
      <c r="G1560" s="332"/>
      <c r="H1560" s="334" t="s">
        <v>628</v>
      </c>
      <c r="I1560" s="334">
        <f>SUM(H1559)</f>
        <v>0</v>
      </c>
    </row>
    <row r="1561" spans="2:9" x14ac:dyDescent="0.3">
      <c r="B1561" s="332" t="s">
        <v>635</v>
      </c>
      <c r="C1561" s="333"/>
      <c r="D1561" s="332"/>
      <c r="E1561" s="333"/>
      <c r="F1561" s="334"/>
      <c r="G1561" s="332"/>
      <c r="H1561" s="334"/>
      <c r="I1561" s="334"/>
    </row>
    <row r="1562" spans="2:9" x14ac:dyDescent="0.3">
      <c r="B1562" s="332" t="s">
        <v>636</v>
      </c>
      <c r="C1562" s="333"/>
      <c r="D1562" s="332"/>
      <c r="E1562" s="333" t="s">
        <v>637</v>
      </c>
      <c r="F1562" s="334" t="s">
        <v>638</v>
      </c>
      <c r="G1562" s="332" t="s">
        <v>639</v>
      </c>
      <c r="H1562" s="334" t="s">
        <v>627</v>
      </c>
      <c r="I1562" s="334"/>
    </row>
    <row r="1563" spans="2:9" x14ac:dyDescent="0.3">
      <c r="B1563" s="332" t="s">
        <v>645</v>
      </c>
      <c r="C1563" s="333"/>
      <c r="D1563" s="332"/>
      <c r="E1563" s="337">
        <v>168000</v>
      </c>
      <c r="F1563" s="334">
        <v>1.8</v>
      </c>
      <c r="G1563" s="338">
        <v>2.9751059934979374</v>
      </c>
      <c r="H1563" s="334">
        <f>E1563*F1563/G1563</f>
        <v>101643.43746437674</v>
      </c>
      <c r="I1563" s="334"/>
    </row>
    <row r="1564" spans="2:9" x14ac:dyDescent="0.3">
      <c r="B1564" s="332"/>
      <c r="C1564" s="333"/>
      <c r="D1564" s="332"/>
      <c r="E1564" s="333"/>
      <c r="F1564" s="334"/>
      <c r="G1564" s="332"/>
      <c r="H1564" s="334" t="s">
        <v>628</v>
      </c>
      <c r="I1564" s="334">
        <f>H1563</f>
        <v>101643.43746437674</v>
      </c>
    </row>
    <row r="1565" spans="2:9" x14ac:dyDescent="0.3">
      <c r="B1565" s="332"/>
      <c r="C1565" s="333"/>
      <c r="D1565" s="332"/>
      <c r="E1565" s="333"/>
      <c r="F1565" s="334"/>
      <c r="G1565" s="332"/>
      <c r="H1565" s="330" t="s">
        <v>640</v>
      </c>
      <c r="I1565" s="330">
        <f>I1564+I1556+I1549+I1560</f>
        <v>180503.00000441013</v>
      </c>
    </row>
    <row r="1567" spans="2:9" ht="43.2" x14ac:dyDescent="0.3">
      <c r="B1567" s="339" t="s">
        <v>751</v>
      </c>
      <c r="C1567" s="339" t="s">
        <v>621</v>
      </c>
      <c r="D1567" s="341" t="s">
        <v>520</v>
      </c>
      <c r="E1567" s="339"/>
      <c r="F1567" s="340"/>
      <c r="G1567" s="340" t="s">
        <v>622</v>
      </c>
      <c r="H1567" s="340" t="s">
        <v>33</v>
      </c>
      <c r="I1567" s="340">
        <f>+ROUND(I1589,0)</f>
        <v>691616</v>
      </c>
    </row>
    <row r="1568" spans="2:9" x14ac:dyDescent="0.3">
      <c r="B1568" s="332" t="s">
        <v>623</v>
      </c>
      <c r="C1568" s="333"/>
      <c r="D1568" s="332"/>
      <c r="E1568" s="333"/>
      <c r="F1568" s="334"/>
      <c r="G1568" s="332"/>
      <c r="H1568" s="334"/>
      <c r="I1568" s="334"/>
    </row>
    <row r="1569" spans="2:9" x14ac:dyDescent="0.3">
      <c r="B1569" s="332" t="s">
        <v>271</v>
      </c>
      <c r="C1569" s="333"/>
      <c r="D1569" s="332"/>
      <c r="E1569" s="333" t="s">
        <v>624</v>
      </c>
      <c r="F1569" s="334" t="s">
        <v>625</v>
      </c>
      <c r="G1569" s="332" t="s">
        <v>626</v>
      </c>
      <c r="H1569" s="334" t="s">
        <v>627</v>
      </c>
      <c r="I1569" s="334"/>
    </row>
    <row r="1570" spans="2:9" x14ac:dyDescent="0.3">
      <c r="B1570" s="332" t="s">
        <v>642</v>
      </c>
      <c r="C1570" s="333"/>
      <c r="D1570" s="332"/>
      <c r="E1570" s="333" t="s">
        <v>644</v>
      </c>
      <c r="F1570" s="334">
        <v>1500</v>
      </c>
      <c r="G1570" s="335">
        <v>4</v>
      </c>
      <c r="H1570" s="334">
        <f>F1570*G1570</f>
        <v>6000</v>
      </c>
      <c r="I1570" s="334"/>
    </row>
    <row r="1571" spans="2:9" x14ac:dyDescent="0.3">
      <c r="B1571" s="332"/>
      <c r="C1571" s="333"/>
      <c r="D1571" s="332"/>
      <c r="E1571" s="333"/>
      <c r="F1571" s="334"/>
      <c r="G1571" s="335"/>
      <c r="H1571" s="334"/>
      <c r="I1571" s="334"/>
    </row>
    <row r="1572" spans="2:9" x14ac:dyDescent="0.3">
      <c r="B1572" s="332"/>
      <c r="C1572" s="333"/>
      <c r="D1572" s="332"/>
      <c r="E1572" s="333"/>
      <c r="F1572" s="334"/>
      <c r="G1572" s="335"/>
      <c r="H1572" s="334"/>
      <c r="I1572" s="334"/>
    </row>
    <row r="1573" spans="2:9" x14ac:dyDescent="0.3">
      <c r="B1573" s="332"/>
      <c r="C1573" s="333"/>
      <c r="D1573" s="332"/>
      <c r="E1573" s="333"/>
      <c r="F1573" s="334"/>
      <c r="G1573" s="332"/>
      <c r="H1573" s="334" t="s">
        <v>628</v>
      </c>
      <c r="I1573" s="334">
        <f>SUM(H1570:H1572)</f>
        <v>6000</v>
      </c>
    </row>
    <row r="1574" spans="2:9" x14ac:dyDescent="0.3">
      <c r="B1574" s="332" t="s">
        <v>629</v>
      </c>
      <c r="C1574" s="333"/>
      <c r="D1574" s="332"/>
      <c r="E1574" s="333"/>
      <c r="F1574" s="334"/>
      <c r="G1574" s="332"/>
      <c r="H1574" s="334"/>
      <c r="I1574" s="334"/>
    </row>
    <row r="1575" spans="2:9" x14ac:dyDescent="0.3">
      <c r="B1575" s="332" t="s">
        <v>271</v>
      </c>
      <c r="C1575" s="333"/>
      <c r="D1575" s="332"/>
      <c r="E1575" s="333" t="s">
        <v>624</v>
      </c>
      <c r="F1575" s="334" t="s">
        <v>630</v>
      </c>
      <c r="G1575" s="332" t="s">
        <v>631</v>
      </c>
      <c r="H1575" s="334" t="s">
        <v>627</v>
      </c>
      <c r="I1575" s="334"/>
    </row>
    <row r="1576" spans="2:9" ht="43.2" x14ac:dyDescent="0.3">
      <c r="B1576" s="356" t="s">
        <v>752</v>
      </c>
      <c r="C1576" s="333"/>
      <c r="D1576" s="332"/>
      <c r="E1576" s="357" t="s">
        <v>33</v>
      </c>
      <c r="F1576" s="344">
        <v>655000</v>
      </c>
      <c r="G1576" s="345">
        <v>1</v>
      </c>
      <c r="H1576" s="344">
        <f>F1576*G1576</f>
        <v>655000</v>
      </c>
      <c r="I1576" s="344"/>
    </row>
    <row r="1577" spans="2:9" x14ac:dyDescent="0.3">
      <c r="B1577" s="332"/>
      <c r="C1577" s="333"/>
      <c r="D1577" s="332"/>
      <c r="E1577" s="333"/>
      <c r="F1577" s="334"/>
      <c r="G1577" s="332"/>
      <c r="H1577" s="334">
        <f>F1577*G1577</f>
        <v>0</v>
      </c>
      <c r="I1577" s="334"/>
    </row>
    <row r="1578" spans="2:9" x14ac:dyDescent="0.3">
      <c r="B1578" s="332"/>
      <c r="C1578" s="333"/>
      <c r="D1578" s="332"/>
      <c r="E1578" s="333"/>
      <c r="F1578" s="334"/>
      <c r="G1578" s="332"/>
      <c r="H1578" s="334"/>
      <c r="I1578" s="334"/>
    </row>
    <row r="1579" spans="2:9" x14ac:dyDescent="0.3">
      <c r="B1579" s="332"/>
      <c r="C1579" s="333"/>
      <c r="D1579" s="332"/>
      <c r="E1579" s="333"/>
      <c r="F1579" s="334"/>
      <c r="G1579" s="332"/>
      <c r="H1579" s="334"/>
      <c r="I1579" s="334"/>
    </row>
    <row r="1580" spans="2:9" x14ac:dyDescent="0.3">
      <c r="B1580" s="332"/>
      <c r="C1580" s="333"/>
      <c r="D1580" s="332"/>
      <c r="E1580" s="333"/>
      <c r="F1580" s="334"/>
      <c r="G1580" s="332"/>
      <c r="H1580" s="334" t="s">
        <v>628</v>
      </c>
      <c r="I1580" s="334">
        <f>SUM(H1576:H1579)</f>
        <v>655000</v>
      </c>
    </row>
    <row r="1581" spans="2:9" x14ac:dyDescent="0.3">
      <c r="B1581" s="332" t="s">
        <v>632</v>
      </c>
      <c r="C1581" s="333"/>
      <c r="D1581" s="332"/>
      <c r="E1581" s="333" t="s">
        <v>624</v>
      </c>
      <c r="F1581" s="334" t="s">
        <v>633</v>
      </c>
      <c r="G1581" s="332" t="s">
        <v>634</v>
      </c>
      <c r="H1581" s="334" t="s">
        <v>627</v>
      </c>
      <c r="I1581" s="334"/>
    </row>
    <row r="1582" spans="2:9" x14ac:dyDescent="0.3">
      <c r="B1582" s="332"/>
      <c r="C1582" s="333"/>
      <c r="D1582" s="332"/>
      <c r="E1582" s="332"/>
      <c r="F1582" s="332"/>
      <c r="G1582" s="332"/>
      <c r="H1582" s="332"/>
      <c r="I1582" s="332"/>
    </row>
    <row r="1583" spans="2:9" x14ac:dyDescent="0.3">
      <c r="B1583" s="332"/>
      <c r="C1583" s="333"/>
      <c r="D1583" s="332"/>
      <c r="E1583" s="333"/>
      <c r="F1583" s="336"/>
      <c r="G1583" s="334"/>
      <c r="H1583" s="334"/>
      <c r="I1583" s="334"/>
    </row>
    <row r="1584" spans="2:9" x14ac:dyDescent="0.3">
      <c r="B1584" s="332"/>
      <c r="C1584" s="333"/>
      <c r="D1584" s="332"/>
      <c r="E1584" s="333"/>
      <c r="F1584" s="334"/>
      <c r="G1584" s="332"/>
      <c r="H1584" s="334" t="s">
        <v>628</v>
      </c>
      <c r="I1584" s="334">
        <f>SUM(H1583)</f>
        <v>0</v>
      </c>
    </row>
    <row r="1585" spans="2:9" x14ac:dyDescent="0.3">
      <c r="B1585" s="332" t="s">
        <v>635</v>
      </c>
      <c r="C1585" s="333"/>
      <c r="D1585" s="332"/>
      <c r="E1585" s="333"/>
      <c r="F1585" s="334"/>
      <c r="G1585" s="332"/>
      <c r="H1585" s="334"/>
      <c r="I1585" s="334"/>
    </row>
    <row r="1586" spans="2:9" x14ac:dyDescent="0.3">
      <c r="B1586" s="332" t="s">
        <v>636</v>
      </c>
      <c r="C1586" s="333"/>
      <c r="D1586" s="332"/>
      <c r="E1586" s="333" t="s">
        <v>637</v>
      </c>
      <c r="F1586" s="334" t="s">
        <v>638</v>
      </c>
      <c r="G1586" s="332" t="s">
        <v>639</v>
      </c>
      <c r="H1586" s="334" t="s">
        <v>627</v>
      </c>
      <c r="I1586" s="334"/>
    </row>
    <row r="1587" spans="2:9" x14ac:dyDescent="0.3">
      <c r="B1587" s="332" t="s">
        <v>645</v>
      </c>
      <c r="C1587" s="333"/>
      <c r="D1587" s="332"/>
      <c r="E1587" s="337">
        <v>168000</v>
      </c>
      <c r="F1587" s="334">
        <v>1.8</v>
      </c>
      <c r="G1587" s="338">
        <v>9.8771884094756874</v>
      </c>
      <c r="H1587" s="334">
        <f>E1587*F1587/G1587</f>
        <v>30615.999965120878</v>
      </c>
      <c r="I1587" s="334"/>
    </row>
    <row r="1588" spans="2:9" x14ac:dyDescent="0.3">
      <c r="B1588" s="332"/>
      <c r="C1588" s="333"/>
      <c r="D1588" s="332"/>
      <c r="E1588" s="333"/>
      <c r="F1588" s="334"/>
      <c r="G1588" s="332"/>
      <c r="H1588" s="334" t="s">
        <v>628</v>
      </c>
      <c r="I1588" s="334">
        <f>H1587</f>
        <v>30615.999965120878</v>
      </c>
    </row>
    <row r="1589" spans="2:9" x14ac:dyDescent="0.3">
      <c r="B1589" s="332"/>
      <c r="C1589" s="333"/>
      <c r="D1589" s="332"/>
      <c r="E1589" s="333"/>
      <c r="F1589" s="334"/>
      <c r="G1589" s="332"/>
      <c r="H1589" s="330" t="s">
        <v>640</v>
      </c>
      <c r="I1589" s="330">
        <f>I1588+I1580+I1573+I1584</f>
        <v>691615.99996512092</v>
      </c>
    </row>
    <row r="1591" spans="2:9" ht="28.8" x14ac:dyDescent="0.3">
      <c r="B1591" s="339" t="s">
        <v>667</v>
      </c>
      <c r="C1591" s="339" t="s">
        <v>621</v>
      </c>
      <c r="D1591" s="341" t="s">
        <v>495</v>
      </c>
      <c r="E1591" s="339"/>
      <c r="F1591" s="340"/>
      <c r="G1591" s="340" t="s">
        <v>622</v>
      </c>
      <c r="H1591" s="340" t="s">
        <v>60</v>
      </c>
      <c r="I1591" s="340">
        <f>+ROUND(I1613,0)</f>
        <v>28111</v>
      </c>
    </row>
    <row r="1592" spans="2:9" x14ac:dyDescent="0.3">
      <c r="B1592" s="332" t="s">
        <v>623</v>
      </c>
      <c r="C1592" s="333"/>
      <c r="D1592" s="332"/>
      <c r="E1592" s="333"/>
      <c r="F1592" s="334"/>
      <c r="G1592" s="332"/>
      <c r="H1592" s="334"/>
      <c r="I1592" s="334"/>
    </row>
    <row r="1593" spans="2:9" x14ac:dyDescent="0.3">
      <c r="B1593" s="332" t="s">
        <v>271</v>
      </c>
      <c r="C1593" s="333"/>
      <c r="D1593" s="332"/>
      <c r="E1593" s="333" t="s">
        <v>624</v>
      </c>
      <c r="F1593" s="334" t="s">
        <v>625</v>
      </c>
      <c r="G1593" s="332" t="s">
        <v>626</v>
      </c>
      <c r="H1593" s="334" t="s">
        <v>627</v>
      </c>
      <c r="I1593" s="334"/>
    </row>
    <row r="1594" spans="2:9" x14ac:dyDescent="0.3">
      <c r="B1594" s="332" t="s">
        <v>642</v>
      </c>
      <c r="C1594" s="333"/>
      <c r="D1594" s="332"/>
      <c r="E1594" s="333" t="s">
        <v>644</v>
      </c>
      <c r="F1594" s="334">
        <v>1500</v>
      </c>
      <c r="G1594" s="335">
        <v>4</v>
      </c>
      <c r="H1594" s="334">
        <f>F1594*G1594</f>
        <v>6000</v>
      </c>
      <c r="I1594" s="334"/>
    </row>
    <row r="1595" spans="2:9" x14ac:dyDescent="0.3">
      <c r="B1595" s="332"/>
      <c r="C1595" s="333"/>
      <c r="D1595" s="332"/>
      <c r="E1595" s="333"/>
      <c r="F1595" s="334"/>
      <c r="G1595" s="335"/>
      <c r="H1595" s="334"/>
      <c r="I1595" s="334"/>
    </row>
    <row r="1596" spans="2:9" x14ac:dyDescent="0.3">
      <c r="B1596" s="332"/>
      <c r="C1596" s="333"/>
      <c r="D1596" s="332"/>
      <c r="E1596" s="333"/>
      <c r="F1596" s="334"/>
      <c r="G1596" s="335"/>
      <c r="H1596" s="334"/>
      <c r="I1596" s="334"/>
    </row>
    <row r="1597" spans="2:9" x14ac:dyDescent="0.3">
      <c r="B1597" s="332"/>
      <c r="C1597" s="333"/>
      <c r="D1597" s="332"/>
      <c r="E1597" s="333"/>
      <c r="F1597" s="334"/>
      <c r="G1597" s="332"/>
      <c r="H1597" s="334" t="s">
        <v>628</v>
      </c>
      <c r="I1597" s="334">
        <f>SUM(H1594:H1596)</f>
        <v>6000</v>
      </c>
    </row>
    <row r="1598" spans="2:9" x14ac:dyDescent="0.3">
      <c r="B1598" s="332" t="s">
        <v>629</v>
      </c>
      <c r="C1598" s="333"/>
      <c r="D1598" s="332"/>
      <c r="E1598" s="333"/>
      <c r="F1598" s="334"/>
      <c r="G1598" s="332"/>
      <c r="H1598" s="334"/>
      <c r="I1598" s="334"/>
    </row>
    <row r="1599" spans="2:9" x14ac:dyDescent="0.3">
      <c r="B1599" s="332" t="s">
        <v>271</v>
      </c>
      <c r="C1599" s="333"/>
      <c r="D1599" s="332"/>
      <c r="E1599" s="333" t="s">
        <v>624</v>
      </c>
      <c r="F1599" s="334" t="s">
        <v>630</v>
      </c>
      <c r="G1599" s="332" t="s">
        <v>631</v>
      </c>
      <c r="H1599" s="334" t="s">
        <v>627</v>
      </c>
      <c r="I1599" s="334"/>
    </row>
    <row r="1600" spans="2:9" ht="28.8" x14ac:dyDescent="0.3">
      <c r="B1600" s="342" t="s">
        <v>668</v>
      </c>
      <c r="C1600" s="333"/>
      <c r="D1600" s="332"/>
      <c r="E1600" s="343" t="s">
        <v>60</v>
      </c>
      <c r="F1600" s="344">
        <v>16517</v>
      </c>
      <c r="G1600" s="345">
        <v>1</v>
      </c>
      <c r="H1600" s="344">
        <f>F1600*G1600</f>
        <v>16517</v>
      </c>
      <c r="I1600" s="344"/>
    </row>
    <row r="1601" spans="2:9" x14ac:dyDescent="0.3">
      <c r="B1601" s="332"/>
      <c r="C1601" s="333"/>
      <c r="D1601" s="332"/>
      <c r="E1601" s="333"/>
      <c r="F1601" s="334"/>
      <c r="G1601" s="332"/>
      <c r="H1601" s="334">
        <f>F1601*G1601</f>
        <v>0</v>
      </c>
      <c r="I1601" s="334"/>
    </row>
    <row r="1602" spans="2:9" x14ac:dyDescent="0.3">
      <c r="B1602" s="332"/>
      <c r="C1602" s="333"/>
      <c r="D1602" s="332"/>
      <c r="E1602" s="333"/>
      <c r="F1602" s="334"/>
      <c r="G1602" s="332"/>
      <c r="H1602" s="334"/>
      <c r="I1602" s="334"/>
    </row>
    <row r="1603" spans="2:9" x14ac:dyDescent="0.3">
      <c r="B1603" s="332"/>
      <c r="C1603" s="333"/>
      <c r="D1603" s="332"/>
      <c r="E1603" s="333"/>
      <c r="F1603" s="334"/>
      <c r="G1603" s="332"/>
      <c r="H1603" s="334"/>
      <c r="I1603" s="334"/>
    </row>
    <row r="1604" spans="2:9" x14ac:dyDescent="0.3">
      <c r="B1604" s="332"/>
      <c r="C1604" s="333"/>
      <c r="D1604" s="332"/>
      <c r="E1604" s="333"/>
      <c r="F1604" s="334"/>
      <c r="G1604" s="332"/>
      <c r="H1604" s="334" t="s">
        <v>628</v>
      </c>
      <c r="I1604" s="334">
        <f>SUM(H1600:H1603)</f>
        <v>16517</v>
      </c>
    </row>
    <row r="1605" spans="2:9" x14ac:dyDescent="0.3">
      <c r="B1605" s="332" t="s">
        <v>632</v>
      </c>
      <c r="C1605" s="333"/>
      <c r="D1605" s="332"/>
      <c r="E1605" s="333" t="s">
        <v>624</v>
      </c>
      <c r="F1605" s="334" t="s">
        <v>633</v>
      </c>
      <c r="G1605" s="332" t="s">
        <v>634</v>
      </c>
      <c r="H1605" s="334" t="s">
        <v>627</v>
      </c>
      <c r="I1605" s="334"/>
    </row>
    <row r="1606" spans="2:9" x14ac:dyDescent="0.3">
      <c r="B1606" s="332"/>
      <c r="C1606" s="333"/>
      <c r="D1606" s="332"/>
      <c r="E1606" s="332"/>
      <c r="F1606" s="332"/>
      <c r="G1606" s="332"/>
      <c r="H1606" s="332"/>
      <c r="I1606" s="332"/>
    </row>
    <row r="1607" spans="2:9" x14ac:dyDescent="0.3">
      <c r="B1607" s="332"/>
      <c r="C1607" s="333"/>
      <c r="D1607" s="332"/>
      <c r="E1607" s="333"/>
      <c r="F1607" s="336"/>
      <c r="G1607" s="334"/>
      <c r="H1607" s="334"/>
      <c r="I1607" s="334"/>
    </row>
    <row r="1608" spans="2:9" x14ac:dyDescent="0.3">
      <c r="B1608" s="332"/>
      <c r="C1608" s="333"/>
      <c r="D1608" s="332"/>
      <c r="E1608" s="333"/>
      <c r="F1608" s="334"/>
      <c r="G1608" s="332"/>
      <c r="H1608" s="334" t="s">
        <v>628</v>
      </c>
      <c r="I1608" s="334">
        <f>SUM(H1607)</f>
        <v>0</v>
      </c>
    </row>
    <row r="1609" spans="2:9" x14ac:dyDescent="0.3">
      <c r="B1609" s="332" t="s">
        <v>635</v>
      </c>
      <c r="C1609" s="333"/>
      <c r="D1609" s="332"/>
      <c r="E1609" s="333"/>
      <c r="F1609" s="334"/>
      <c r="G1609" s="332"/>
      <c r="H1609" s="334"/>
      <c r="I1609" s="334"/>
    </row>
    <row r="1610" spans="2:9" x14ac:dyDescent="0.3">
      <c r="B1610" s="332" t="s">
        <v>636</v>
      </c>
      <c r="C1610" s="333"/>
      <c r="D1610" s="332"/>
      <c r="E1610" s="333" t="s">
        <v>637</v>
      </c>
      <c r="F1610" s="334" t="s">
        <v>638</v>
      </c>
      <c r="G1610" s="332" t="s">
        <v>639</v>
      </c>
      <c r="H1610" s="334" t="s">
        <v>627</v>
      </c>
      <c r="I1610" s="334"/>
    </row>
    <row r="1611" spans="2:9" x14ac:dyDescent="0.3">
      <c r="B1611" s="332" t="s">
        <v>645</v>
      </c>
      <c r="C1611" s="333"/>
      <c r="D1611" s="332"/>
      <c r="E1611" s="337">
        <v>168000</v>
      </c>
      <c r="F1611" s="334">
        <v>1.8</v>
      </c>
      <c r="G1611" s="338">
        <v>54.057918992875031</v>
      </c>
      <c r="H1611" s="334">
        <f>E1611*F1611/G1611</f>
        <v>5594.0000213448293</v>
      </c>
      <c r="I1611" s="334"/>
    </row>
    <row r="1612" spans="2:9" x14ac:dyDescent="0.3">
      <c r="B1612" s="332"/>
      <c r="C1612" s="333"/>
      <c r="D1612" s="332"/>
      <c r="E1612" s="333"/>
      <c r="F1612" s="334"/>
      <c r="G1612" s="332"/>
      <c r="H1612" s="334" t="s">
        <v>628</v>
      </c>
      <c r="I1612" s="334">
        <f>H1611</f>
        <v>5594.0000213448293</v>
      </c>
    </row>
    <row r="1613" spans="2:9" x14ac:dyDescent="0.3">
      <c r="B1613" s="332"/>
      <c r="C1613" s="333"/>
      <c r="D1613" s="332"/>
      <c r="E1613" s="333"/>
      <c r="F1613" s="334"/>
      <c r="G1613" s="332"/>
      <c r="H1613" s="330" t="s">
        <v>640</v>
      </c>
      <c r="I1613" s="330">
        <f>I1612+I1604+I1597+I1608</f>
        <v>28111.000021344829</v>
      </c>
    </row>
    <row r="1615" spans="2:9" ht="129.6" x14ac:dyDescent="0.3">
      <c r="B1615" s="339" t="s">
        <v>669</v>
      </c>
      <c r="C1615" s="339" t="s">
        <v>621</v>
      </c>
      <c r="D1615" s="341" t="s">
        <v>571</v>
      </c>
      <c r="E1615" s="339"/>
      <c r="F1615" s="340"/>
      <c r="G1615" s="340" t="s">
        <v>622</v>
      </c>
      <c r="H1615" s="340" t="s">
        <v>60</v>
      </c>
      <c r="I1615" s="340">
        <f>+ROUND(I1637,0)</f>
        <v>53800</v>
      </c>
    </row>
    <row r="1616" spans="2:9" x14ac:dyDescent="0.3">
      <c r="B1616" s="332" t="s">
        <v>623</v>
      </c>
      <c r="C1616" s="333"/>
      <c r="D1616" s="332"/>
      <c r="E1616" s="333"/>
      <c r="F1616" s="334"/>
      <c r="G1616" s="332"/>
      <c r="H1616" s="334"/>
      <c r="I1616" s="334"/>
    </row>
    <row r="1617" spans="2:9" x14ac:dyDescent="0.3">
      <c r="B1617" s="332" t="s">
        <v>271</v>
      </c>
      <c r="C1617" s="333"/>
      <c r="D1617" s="332"/>
      <c r="E1617" s="333" t="s">
        <v>624</v>
      </c>
      <c r="F1617" s="334" t="s">
        <v>625</v>
      </c>
      <c r="G1617" s="332" t="s">
        <v>626</v>
      </c>
      <c r="H1617" s="334" t="s">
        <v>627</v>
      </c>
      <c r="I1617" s="334"/>
    </row>
    <row r="1618" spans="2:9" x14ac:dyDescent="0.3">
      <c r="B1618" s="332" t="s">
        <v>642</v>
      </c>
      <c r="C1618" s="333"/>
      <c r="D1618" s="332"/>
      <c r="E1618" s="333" t="s">
        <v>644</v>
      </c>
      <c r="F1618" s="334">
        <v>1500</v>
      </c>
      <c r="G1618" s="335">
        <v>4</v>
      </c>
      <c r="H1618" s="334">
        <f>F1618*G1618</f>
        <v>6000</v>
      </c>
      <c r="I1618" s="334"/>
    </row>
    <row r="1619" spans="2:9" x14ac:dyDescent="0.3">
      <c r="B1619" s="332"/>
      <c r="C1619" s="333"/>
      <c r="D1619" s="332"/>
      <c r="E1619" s="333"/>
      <c r="F1619" s="334"/>
      <c r="G1619" s="335"/>
      <c r="H1619" s="334"/>
      <c r="I1619" s="334"/>
    </row>
    <row r="1620" spans="2:9" x14ac:dyDescent="0.3">
      <c r="B1620" s="332"/>
      <c r="C1620" s="333"/>
      <c r="D1620" s="332"/>
      <c r="E1620" s="333"/>
      <c r="F1620" s="334"/>
      <c r="G1620" s="335"/>
      <c r="H1620" s="334"/>
      <c r="I1620" s="334"/>
    </row>
    <row r="1621" spans="2:9" x14ac:dyDescent="0.3">
      <c r="B1621" s="332"/>
      <c r="C1621" s="333"/>
      <c r="D1621" s="332"/>
      <c r="E1621" s="333"/>
      <c r="F1621" s="334"/>
      <c r="G1621" s="332"/>
      <c r="H1621" s="334" t="s">
        <v>628</v>
      </c>
      <c r="I1621" s="334">
        <f>SUM(H1618:H1620)</f>
        <v>6000</v>
      </c>
    </row>
    <row r="1622" spans="2:9" x14ac:dyDescent="0.3">
      <c r="B1622" s="332" t="s">
        <v>629</v>
      </c>
      <c r="C1622" s="333"/>
      <c r="D1622" s="332"/>
      <c r="E1622" s="333"/>
      <c r="F1622" s="334"/>
      <c r="G1622" s="332"/>
      <c r="H1622" s="334"/>
      <c r="I1622" s="334"/>
    </row>
    <row r="1623" spans="2:9" x14ac:dyDescent="0.3">
      <c r="B1623" s="332" t="s">
        <v>271</v>
      </c>
      <c r="C1623" s="333"/>
      <c r="D1623" s="332"/>
      <c r="E1623" s="333" t="s">
        <v>624</v>
      </c>
      <c r="F1623" s="334" t="s">
        <v>630</v>
      </c>
      <c r="G1623" s="332" t="s">
        <v>631</v>
      </c>
      <c r="H1623" s="334" t="s">
        <v>627</v>
      </c>
      <c r="I1623" s="334"/>
    </row>
    <row r="1624" spans="2:9" x14ac:dyDescent="0.3">
      <c r="B1624" s="356" t="s">
        <v>755</v>
      </c>
      <c r="C1624" s="333"/>
      <c r="D1624" s="332"/>
      <c r="E1624" s="343" t="s">
        <v>60</v>
      </c>
      <c r="F1624" s="344">
        <v>28000</v>
      </c>
      <c r="G1624" s="345">
        <v>1</v>
      </c>
      <c r="H1624" s="344">
        <f>F1624*G1624</f>
        <v>28000</v>
      </c>
      <c r="I1624" s="344"/>
    </row>
    <row r="1625" spans="2:9" x14ac:dyDescent="0.3">
      <c r="B1625" s="354" t="s">
        <v>753</v>
      </c>
      <c r="C1625" s="333"/>
      <c r="D1625" s="332"/>
      <c r="E1625" s="355" t="s">
        <v>60</v>
      </c>
      <c r="F1625" s="334">
        <v>10000</v>
      </c>
      <c r="G1625" s="345">
        <v>1</v>
      </c>
      <c r="H1625" s="334">
        <f>F1625*G1625</f>
        <v>10000</v>
      </c>
      <c r="I1625" s="334"/>
    </row>
    <row r="1626" spans="2:9" x14ac:dyDescent="0.3">
      <c r="B1626" s="332"/>
      <c r="C1626" s="333"/>
      <c r="D1626" s="332"/>
      <c r="E1626" s="333"/>
      <c r="F1626" s="334"/>
      <c r="G1626" s="332"/>
      <c r="H1626" s="334"/>
      <c r="I1626" s="334"/>
    </row>
    <row r="1627" spans="2:9" x14ac:dyDescent="0.3">
      <c r="B1627" s="332"/>
      <c r="C1627" s="333"/>
      <c r="D1627" s="332"/>
      <c r="E1627" s="333"/>
      <c r="F1627" s="334"/>
      <c r="G1627" s="332"/>
      <c r="H1627" s="334"/>
      <c r="I1627" s="334"/>
    </row>
    <row r="1628" spans="2:9" x14ac:dyDescent="0.3">
      <c r="B1628" s="332"/>
      <c r="C1628" s="333"/>
      <c r="D1628" s="332"/>
      <c r="E1628" s="333"/>
      <c r="F1628" s="334"/>
      <c r="G1628" s="332"/>
      <c r="H1628" s="334" t="s">
        <v>628</v>
      </c>
      <c r="I1628" s="334">
        <f>SUM(H1624:H1627)</f>
        <v>38000</v>
      </c>
    </row>
    <row r="1629" spans="2:9" x14ac:dyDescent="0.3">
      <c r="B1629" s="332" t="s">
        <v>632</v>
      </c>
      <c r="C1629" s="333"/>
      <c r="D1629" s="332"/>
      <c r="E1629" s="333" t="s">
        <v>624</v>
      </c>
      <c r="F1629" s="334" t="s">
        <v>633</v>
      </c>
      <c r="G1629" s="332" t="s">
        <v>634</v>
      </c>
      <c r="H1629" s="334" t="s">
        <v>627</v>
      </c>
      <c r="I1629" s="334"/>
    </row>
    <row r="1630" spans="2:9" x14ac:dyDescent="0.3">
      <c r="B1630" s="332"/>
      <c r="C1630" s="333"/>
      <c r="D1630" s="332"/>
      <c r="E1630" s="332"/>
      <c r="F1630" s="332"/>
      <c r="G1630" s="332"/>
      <c r="H1630" s="332"/>
      <c r="I1630" s="332"/>
    </row>
    <row r="1631" spans="2:9" x14ac:dyDescent="0.3">
      <c r="B1631" s="332"/>
      <c r="C1631" s="333"/>
      <c r="D1631" s="332"/>
      <c r="E1631" s="333"/>
      <c r="F1631" s="336"/>
      <c r="G1631" s="334"/>
      <c r="H1631" s="334"/>
      <c r="I1631" s="334"/>
    </row>
    <row r="1632" spans="2:9" x14ac:dyDescent="0.3">
      <c r="B1632" s="332"/>
      <c r="C1632" s="333"/>
      <c r="D1632" s="332"/>
      <c r="E1632" s="333"/>
      <c r="F1632" s="334"/>
      <c r="G1632" s="332"/>
      <c r="H1632" s="334" t="s">
        <v>628</v>
      </c>
      <c r="I1632" s="334">
        <f>SUM(H1631)</f>
        <v>0</v>
      </c>
    </row>
    <row r="1633" spans="2:9" x14ac:dyDescent="0.3">
      <c r="B1633" s="332" t="s">
        <v>635</v>
      </c>
      <c r="C1633" s="333"/>
      <c r="D1633" s="332"/>
      <c r="E1633" s="333"/>
      <c r="F1633" s="334"/>
      <c r="G1633" s="332"/>
      <c r="H1633" s="334"/>
      <c r="I1633" s="334"/>
    </row>
    <row r="1634" spans="2:9" x14ac:dyDescent="0.3">
      <c r="B1634" s="332" t="s">
        <v>636</v>
      </c>
      <c r="C1634" s="333"/>
      <c r="D1634" s="332"/>
      <c r="E1634" s="333" t="s">
        <v>637</v>
      </c>
      <c r="F1634" s="334" t="s">
        <v>638</v>
      </c>
      <c r="G1634" s="332" t="s">
        <v>639</v>
      </c>
      <c r="H1634" s="334" t="s">
        <v>627</v>
      </c>
      <c r="I1634" s="334"/>
    </row>
    <row r="1635" spans="2:9" x14ac:dyDescent="0.3">
      <c r="B1635" s="332" t="s">
        <v>645</v>
      </c>
      <c r="C1635" s="333"/>
      <c r="D1635" s="332"/>
      <c r="E1635" s="337">
        <v>168000</v>
      </c>
      <c r="F1635" s="334">
        <v>1.8</v>
      </c>
      <c r="G1635" s="338">
        <v>30.857142857565606</v>
      </c>
      <c r="H1635" s="334">
        <f>E1635*F1635/G1635</f>
        <v>9799.9999998657386</v>
      </c>
      <c r="I1635" s="334"/>
    </row>
    <row r="1636" spans="2:9" x14ac:dyDescent="0.3">
      <c r="B1636" s="332"/>
      <c r="C1636" s="333"/>
      <c r="D1636" s="332"/>
      <c r="E1636" s="333"/>
      <c r="F1636" s="334"/>
      <c r="G1636" s="332"/>
      <c r="H1636" s="334" t="s">
        <v>628</v>
      </c>
      <c r="I1636" s="334">
        <f>H1635</f>
        <v>9799.9999998657386</v>
      </c>
    </row>
    <row r="1637" spans="2:9" x14ac:dyDescent="0.3">
      <c r="B1637" s="332"/>
      <c r="C1637" s="333"/>
      <c r="D1637" s="332"/>
      <c r="E1637" s="333"/>
      <c r="F1637" s="334"/>
      <c r="G1637" s="332"/>
      <c r="H1637" s="330" t="s">
        <v>640</v>
      </c>
      <c r="I1637" s="330">
        <f>I1636+I1628+I1621+I1632</f>
        <v>53799.999999865737</v>
      </c>
    </row>
    <row r="1639" spans="2:9" ht="72" x14ac:dyDescent="0.3">
      <c r="B1639" s="339" t="s">
        <v>672</v>
      </c>
      <c r="C1639" s="339" t="s">
        <v>621</v>
      </c>
      <c r="D1639" s="341" t="s">
        <v>609</v>
      </c>
      <c r="E1639" s="339"/>
      <c r="F1639" s="340"/>
      <c r="G1639" s="340" t="s">
        <v>622</v>
      </c>
      <c r="H1639" s="340" t="s">
        <v>60</v>
      </c>
      <c r="I1639" s="340">
        <f>+ROUND(I1662,0)</f>
        <v>68040</v>
      </c>
    </row>
    <row r="1640" spans="2:9" x14ac:dyDescent="0.3">
      <c r="B1640" s="332" t="s">
        <v>623</v>
      </c>
      <c r="C1640" s="333"/>
      <c r="D1640" s="332"/>
      <c r="E1640" s="333"/>
      <c r="F1640" s="334"/>
      <c r="G1640" s="332"/>
      <c r="H1640" s="334"/>
      <c r="I1640" s="334"/>
    </row>
    <row r="1641" spans="2:9" x14ac:dyDescent="0.3">
      <c r="B1641" s="332" t="s">
        <v>271</v>
      </c>
      <c r="C1641" s="333"/>
      <c r="D1641" s="332"/>
      <c r="E1641" s="333" t="s">
        <v>624</v>
      </c>
      <c r="F1641" s="334" t="s">
        <v>625</v>
      </c>
      <c r="G1641" s="332" t="s">
        <v>626</v>
      </c>
      <c r="H1641" s="334" t="s">
        <v>627</v>
      </c>
      <c r="I1641" s="334"/>
    </row>
    <row r="1642" spans="2:9" x14ac:dyDescent="0.3">
      <c r="B1642" s="332" t="s">
        <v>642</v>
      </c>
      <c r="C1642" s="333"/>
      <c r="D1642" s="332"/>
      <c r="E1642" s="333" t="s">
        <v>644</v>
      </c>
      <c r="F1642" s="334">
        <v>1500</v>
      </c>
      <c r="G1642" s="335">
        <v>4</v>
      </c>
      <c r="H1642" s="334">
        <f>F1642*G1642</f>
        <v>6000</v>
      </c>
      <c r="I1642" s="334"/>
    </row>
    <row r="1643" spans="2:9" x14ac:dyDescent="0.3">
      <c r="B1643" s="332"/>
      <c r="C1643" s="333"/>
      <c r="D1643" s="332"/>
      <c r="E1643" s="333"/>
      <c r="F1643" s="334"/>
      <c r="G1643" s="335"/>
      <c r="H1643" s="334"/>
      <c r="I1643" s="334"/>
    </row>
    <row r="1644" spans="2:9" x14ac:dyDescent="0.3">
      <c r="B1644" s="332"/>
      <c r="C1644" s="333"/>
      <c r="D1644" s="332"/>
      <c r="E1644" s="333"/>
      <c r="F1644" s="334"/>
      <c r="G1644" s="335"/>
      <c r="H1644" s="334"/>
      <c r="I1644" s="334"/>
    </row>
    <row r="1645" spans="2:9" x14ac:dyDescent="0.3">
      <c r="B1645" s="332"/>
      <c r="C1645" s="333"/>
      <c r="D1645" s="332"/>
      <c r="E1645" s="333"/>
      <c r="F1645" s="334"/>
      <c r="G1645" s="332"/>
      <c r="H1645" s="334" t="s">
        <v>628</v>
      </c>
      <c r="I1645" s="334">
        <f>SUM(H1642:H1644)</f>
        <v>6000</v>
      </c>
    </row>
    <row r="1646" spans="2:9" x14ac:dyDescent="0.3">
      <c r="B1646" s="332" t="s">
        <v>629</v>
      </c>
      <c r="C1646" s="333"/>
      <c r="D1646" s="332"/>
      <c r="E1646" s="333"/>
      <c r="F1646" s="334"/>
      <c r="G1646" s="332"/>
      <c r="H1646" s="334"/>
      <c r="I1646" s="334"/>
    </row>
    <row r="1647" spans="2:9" x14ac:dyDescent="0.3">
      <c r="B1647" s="332" t="s">
        <v>271</v>
      </c>
      <c r="C1647" s="333"/>
      <c r="D1647" s="332"/>
      <c r="E1647" s="333" t="s">
        <v>624</v>
      </c>
      <c r="F1647" s="334" t="s">
        <v>630</v>
      </c>
      <c r="G1647" s="332" t="s">
        <v>631</v>
      </c>
      <c r="H1647" s="334" t="s">
        <v>627</v>
      </c>
      <c r="I1647" s="334"/>
    </row>
    <row r="1648" spans="2:9" ht="28.8" x14ac:dyDescent="0.3">
      <c r="B1648" s="356" t="s">
        <v>756</v>
      </c>
      <c r="C1648" s="333"/>
      <c r="D1648" s="332"/>
      <c r="E1648" s="343" t="s">
        <v>60</v>
      </c>
      <c r="F1648" s="344">
        <v>113501</v>
      </c>
      <c r="G1648" s="345">
        <v>0.45</v>
      </c>
      <c r="H1648" s="344">
        <f>F1648*G1648</f>
        <v>51075.450000000004</v>
      </c>
      <c r="I1648" s="344"/>
    </row>
    <row r="1649" spans="2:9" x14ac:dyDescent="0.3">
      <c r="B1649" s="354" t="s">
        <v>757</v>
      </c>
      <c r="C1649" s="333"/>
      <c r="D1649" s="332"/>
      <c r="E1649" s="355" t="s">
        <v>758</v>
      </c>
      <c r="F1649" s="334">
        <v>15000</v>
      </c>
      <c r="G1649" s="345">
        <v>0.05</v>
      </c>
      <c r="H1649" s="334">
        <f>F1649*G1649</f>
        <v>750</v>
      </c>
      <c r="I1649" s="334"/>
    </row>
    <row r="1650" spans="2:9" x14ac:dyDescent="0.3">
      <c r="B1650" s="354" t="s">
        <v>760</v>
      </c>
      <c r="C1650" s="333"/>
      <c r="D1650" s="332"/>
      <c r="E1650" s="355" t="s">
        <v>759</v>
      </c>
      <c r="F1650" s="334">
        <v>19990</v>
      </c>
      <c r="G1650" s="332">
        <v>0.1</v>
      </c>
      <c r="H1650" s="334">
        <f>F1650*G1650</f>
        <v>1999</v>
      </c>
      <c r="I1650" s="334"/>
    </row>
    <row r="1651" spans="2:9" x14ac:dyDescent="0.3">
      <c r="B1651" s="354" t="s">
        <v>761</v>
      </c>
      <c r="C1651" s="333"/>
      <c r="D1651" s="332"/>
      <c r="E1651" s="355" t="s">
        <v>1</v>
      </c>
      <c r="F1651" s="334">
        <v>2997</v>
      </c>
      <c r="G1651" s="332">
        <v>0.2</v>
      </c>
      <c r="H1651" s="334">
        <f>F1651*G1651</f>
        <v>599.4</v>
      </c>
      <c r="I1651" s="334"/>
    </row>
    <row r="1652" spans="2:9" x14ac:dyDescent="0.3">
      <c r="B1652" s="354" t="s">
        <v>762</v>
      </c>
      <c r="C1652" s="333"/>
      <c r="D1652" s="332"/>
      <c r="E1652" s="355" t="s">
        <v>1</v>
      </c>
      <c r="F1652" s="334">
        <v>8732</v>
      </c>
      <c r="G1652" s="332">
        <v>0.2</v>
      </c>
      <c r="H1652" s="334">
        <f>F1652*G1652</f>
        <v>1746.4</v>
      </c>
      <c r="I1652" s="334"/>
    </row>
    <row r="1653" spans="2:9" x14ac:dyDescent="0.3">
      <c r="B1653" s="332"/>
      <c r="C1653" s="333"/>
      <c r="D1653" s="332"/>
      <c r="E1653" s="333"/>
      <c r="F1653" s="334"/>
      <c r="G1653" s="332"/>
      <c r="H1653" s="334" t="s">
        <v>628</v>
      </c>
      <c r="I1653" s="334">
        <f>SUM(H1648:H1652)</f>
        <v>56170.250000000007</v>
      </c>
    </row>
    <row r="1654" spans="2:9" x14ac:dyDescent="0.3">
      <c r="B1654" s="332" t="s">
        <v>632</v>
      </c>
      <c r="C1654" s="333"/>
      <c r="D1654" s="332"/>
      <c r="E1654" s="333" t="s">
        <v>624</v>
      </c>
      <c r="F1654" s="334" t="s">
        <v>633</v>
      </c>
      <c r="G1654" s="332" t="s">
        <v>634</v>
      </c>
      <c r="H1654" s="334" t="s">
        <v>627</v>
      </c>
      <c r="I1654" s="334"/>
    </row>
    <row r="1655" spans="2:9" x14ac:dyDescent="0.3">
      <c r="B1655" s="332"/>
      <c r="C1655" s="333"/>
      <c r="D1655" s="332"/>
      <c r="E1655" s="332"/>
      <c r="F1655" s="332"/>
      <c r="G1655" s="332"/>
      <c r="H1655" s="332"/>
      <c r="I1655" s="332"/>
    </row>
    <row r="1656" spans="2:9" x14ac:dyDescent="0.3">
      <c r="B1656" s="332"/>
      <c r="C1656" s="333"/>
      <c r="D1656" s="332"/>
      <c r="E1656" s="333"/>
      <c r="F1656" s="336"/>
      <c r="G1656" s="334"/>
      <c r="H1656" s="334"/>
      <c r="I1656" s="334"/>
    </row>
    <row r="1657" spans="2:9" x14ac:dyDescent="0.3">
      <c r="B1657" s="332"/>
      <c r="C1657" s="333"/>
      <c r="D1657" s="332"/>
      <c r="E1657" s="333"/>
      <c r="F1657" s="334"/>
      <c r="G1657" s="332"/>
      <c r="H1657" s="334" t="s">
        <v>628</v>
      </c>
      <c r="I1657" s="334">
        <f>SUM(H1656)</f>
        <v>0</v>
      </c>
    </row>
    <row r="1658" spans="2:9" x14ac:dyDescent="0.3">
      <c r="B1658" s="332" t="s">
        <v>635</v>
      </c>
      <c r="C1658" s="333"/>
      <c r="D1658" s="332"/>
      <c r="E1658" s="333"/>
      <c r="F1658" s="334"/>
      <c r="G1658" s="332"/>
      <c r="H1658" s="334"/>
      <c r="I1658" s="334"/>
    </row>
    <row r="1659" spans="2:9" x14ac:dyDescent="0.3">
      <c r="B1659" s="332" t="s">
        <v>636</v>
      </c>
      <c r="C1659" s="333"/>
      <c r="D1659" s="332"/>
      <c r="E1659" s="333" t="s">
        <v>637</v>
      </c>
      <c r="F1659" s="334" t="s">
        <v>638</v>
      </c>
      <c r="G1659" s="332" t="s">
        <v>639</v>
      </c>
      <c r="H1659" s="334" t="s">
        <v>627</v>
      </c>
      <c r="I1659" s="334"/>
    </row>
    <row r="1660" spans="2:9" x14ac:dyDescent="0.3">
      <c r="B1660" s="332" t="s">
        <v>645</v>
      </c>
      <c r="C1660" s="333"/>
      <c r="D1660" s="332"/>
      <c r="E1660" s="337">
        <v>168000</v>
      </c>
      <c r="F1660" s="334">
        <v>1.8</v>
      </c>
      <c r="G1660" s="338">
        <v>51.518378115645682</v>
      </c>
      <c r="H1660" s="334">
        <f>E1660*F1660/G1660</f>
        <v>5869.750001080949</v>
      </c>
      <c r="I1660" s="334"/>
    </row>
    <row r="1661" spans="2:9" x14ac:dyDescent="0.3">
      <c r="B1661" s="332"/>
      <c r="C1661" s="333"/>
      <c r="D1661" s="332"/>
      <c r="E1661" s="333"/>
      <c r="F1661" s="334"/>
      <c r="G1661" s="332"/>
      <c r="H1661" s="334" t="s">
        <v>628</v>
      </c>
      <c r="I1661" s="334">
        <f>H1660</f>
        <v>5869.750001080949</v>
      </c>
    </row>
    <row r="1662" spans="2:9" x14ac:dyDescent="0.3">
      <c r="B1662" s="332"/>
      <c r="C1662" s="333"/>
      <c r="D1662" s="332"/>
      <c r="E1662" s="333"/>
      <c r="F1662" s="334"/>
      <c r="G1662" s="332"/>
      <c r="H1662" s="330" t="s">
        <v>640</v>
      </c>
      <c r="I1662" s="330">
        <f>I1661+I1653+I1645+I1657</f>
        <v>68040.00000108096</v>
      </c>
    </row>
    <row r="1664" spans="2:9" ht="86.4" x14ac:dyDescent="0.3">
      <c r="B1664" s="339" t="s">
        <v>674</v>
      </c>
      <c r="C1664" s="339" t="s">
        <v>621</v>
      </c>
      <c r="D1664" s="341" t="s">
        <v>552</v>
      </c>
      <c r="E1664" s="339"/>
      <c r="F1664" s="340"/>
      <c r="G1664" s="340" t="s">
        <v>622</v>
      </c>
      <c r="H1664" s="340" t="s">
        <v>60</v>
      </c>
      <c r="I1664" s="340">
        <f>+ROUND(I1686,0)</f>
        <v>30000</v>
      </c>
    </row>
    <row r="1665" spans="2:9" x14ac:dyDescent="0.3">
      <c r="B1665" s="332" t="s">
        <v>623</v>
      </c>
      <c r="C1665" s="333"/>
      <c r="D1665" s="332"/>
      <c r="E1665" s="333"/>
      <c r="F1665" s="334"/>
      <c r="G1665" s="332"/>
      <c r="H1665" s="334"/>
      <c r="I1665" s="334"/>
    </row>
    <row r="1666" spans="2:9" x14ac:dyDescent="0.3">
      <c r="B1666" s="332" t="s">
        <v>271</v>
      </c>
      <c r="C1666" s="333"/>
      <c r="D1666" s="332"/>
      <c r="E1666" s="333" t="s">
        <v>624</v>
      </c>
      <c r="F1666" s="334" t="s">
        <v>625</v>
      </c>
      <c r="G1666" s="332" t="s">
        <v>626</v>
      </c>
      <c r="H1666" s="334" t="s">
        <v>627</v>
      </c>
      <c r="I1666" s="334"/>
    </row>
    <row r="1667" spans="2:9" x14ac:dyDescent="0.3">
      <c r="B1667" s="332" t="s">
        <v>642</v>
      </c>
      <c r="C1667" s="333"/>
      <c r="D1667" s="332"/>
      <c r="E1667" s="333" t="s">
        <v>644</v>
      </c>
      <c r="F1667" s="334">
        <v>1500</v>
      </c>
      <c r="G1667" s="335">
        <v>2</v>
      </c>
      <c r="H1667" s="334">
        <f>F1667*G1667</f>
        <v>3000</v>
      </c>
      <c r="I1667" s="334"/>
    </row>
    <row r="1668" spans="2:9" x14ac:dyDescent="0.3">
      <c r="B1668" s="332"/>
      <c r="C1668" s="333"/>
      <c r="D1668" s="332"/>
      <c r="E1668" s="333"/>
      <c r="F1668" s="334"/>
      <c r="G1668" s="335"/>
      <c r="H1668" s="334"/>
      <c r="I1668" s="334"/>
    </row>
    <row r="1669" spans="2:9" x14ac:dyDescent="0.3">
      <c r="B1669" s="332"/>
      <c r="C1669" s="333"/>
      <c r="D1669" s="332"/>
      <c r="E1669" s="333"/>
      <c r="F1669" s="334"/>
      <c r="G1669" s="335"/>
      <c r="H1669" s="334"/>
      <c r="I1669" s="334"/>
    </row>
    <row r="1670" spans="2:9" x14ac:dyDescent="0.3">
      <c r="B1670" s="332"/>
      <c r="C1670" s="333"/>
      <c r="D1670" s="332"/>
      <c r="E1670" s="333"/>
      <c r="F1670" s="334"/>
      <c r="G1670" s="332"/>
      <c r="H1670" s="334" t="s">
        <v>628</v>
      </c>
      <c r="I1670" s="334">
        <f>SUM(H1667:H1669)</f>
        <v>3000</v>
      </c>
    </row>
    <row r="1671" spans="2:9" x14ac:dyDescent="0.3">
      <c r="B1671" s="332" t="s">
        <v>629</v>
      </c>
      <c r="C1671" s="333"/>
      <c r="D1671" s="332"/>
      <c r="E1671" s="333"/>
      <c r="F1671" s="334"/>
      <c r="G1671" s="332"/>
      <c r="H1671" s="334"/>
      <c r="I1671" s="334"/>
    </row>
    <row r="1672" spans="2:9" x14ac:dyDescent="0.3">
      <c r="B1672" s="332" t="s">
        <v>271</v>
      </c>
      <c r="C1672" s="333"/>
      <c r="D1672" s="332"/>
      <c r="E1672" s="333" t="s">
        <v>624</v>
      </c>
      <c r="F1672" s="334" t="s">
        <v>630</v>
      </c>
      <c r="G1672" s="332" t="s">
        <v>631</v>
      </c>
      <c r="H1672" s="334" t="s">
        <v>627</v>
      </c>
      <c r="I1672" s="334"/>
    </row>
    <row r="1673" spans="2:9" x14ac:dyDescent="0.3">
      <c r="B1673" s="342"/>
      <c r="C1673" s="333"/>
      <c r="D1673" s="332"/>
      <c r="E1673" s="343"/>
      <c r="F1673" s="344"/>
      <c r="G1673" s="345"/>
      <c r="H1673" s="344"/>
      <c r="I1673" s="344"/>
    </row>
    <row r="1674" spans="2:9" x14ac:dyDescent="0.3">
      <c r="B1674" s="332"/>
      <c r="C1674" s="333"/>
      <c r="D1674" s="332"/>
      <c r="E1674" s="333"/>
      <c r="F1674" s="334"/>
      <c r="G1674" s="332"/>
      <c r="H1674" s="334"/>
      <c r="I1674" s="334"/>
    </row>
    <row r="1675" spans="2:9" x14ac:dyDescent="0.3">
      <c r="B1675" s="332"/>
      <c r="C1675" s="333"/>
      <c r="D1675" s="332"/>
      <c r="E1675" s="333"/>
      <c r="F1675" s="334"/>
      <c r="G1675" s="332"/>
      <c r="H1675" s="334"/>
      <c r="I1675" s="334"/>
    </row>
    <row r="1676" spans="2:9" x14ac:dyDescent="0.3">
      <c r="B1676" s="332"/>
      <c r="C1676" s="333"/>
      <c r="D1676" s="332"/>
      <c r="E1676" s="333"/>
      <c r="F1676" s="334"/>
      <c r="G1676" s="332"/>
      <c r="H1676" s="334"/>
      <c r="I1676" s="334"/>
    </row>
    <row r="1677" spans="2:9" x14ac:dyDescent="0.3">
      <c r="B1677" s="332"/>
      <c r="C1677" s="333"/>
      <c r="D1677" s="332"/>
      <c r="E1677" s="333"/>
      <c r="F1677" s="334"/>
      <c r="G1677" s="332"/>
      <c r="H1677" s="334" t="s">
        <v>628</v>
      </c>
      <c r="I1677" s="334">
        <f>SUM(H1673:H1676)</f>
        <v>0</v>
      </c>
    </row>
    <row r="1678" spans="2:9" x14ac:dyDescent="0.3">
      <c r="B1678" s="332" t="s">
        <v>632</v>
      </c>
      <c r="C1678" s="333"/>
      <c r="D1678" s="332"/>
      <c r="E1678" s="333" t="s">
        <v>624</v>
      </c>
      <c r="F1678" s="334" t="s">
        <v>633</v>
      </c>
      <c r="G1678" s="332" t="s">
        <v>634</v>
      </c>
      <c r="H1678" s="334" t="s">
        <v>627</v>
      </c>
      <c r="I1678" s="334"/>
    </row>
    <row r="1679" spans="2:9" x14ac:dyDescent="0.3">
      <c r="B1679" s="332"/>
      <c r="C1679" s="333"/>
      <c r="D1679" s="332"/>
      <c r="E1679" s="332"/>
      <c r="F1679" s="332"/>
      <c r="G1679" s="332"/>
      <c r="H1679" s="332"/>
      <c r="I1679" s="332"/>
    </row>
    <row r="1680" spans="2:9" x14ac:dyDescent="0.3">
      <c r="B1680" s="332"/>
      <c r="C1680" s="333"/>
      <c r="D1680" s="332"/>
      <c r="E1680" s="333"/>
      <c r="F1680" s="336"/>
      <c r="G1680" s="334"/>
      <c r="H1680" s="334"/>
      <c r="I1680" s="334"/>
    </row>
    <row r="1681" spans="2:9" x14ac:dyDescent="0.3">
      <c r="B1681" s="332"/>
      <c r="C1681" s="333"/>
      <c r="D1681" s="332"/>
      <c r="E1681" s="333"/>
      <c r="F1681" s="334"/>
      <c r="G1681" s="332"/>
      <c r="H1681" s="334" t="s">
        <v>628</v>
      </c>
      <c r="I1681" s="334">
        <f>SUM(H1680)</f>
        <v>0</v>
      </c>
    </row>
    <row r="1682" spans="2:9" x14ac:dyDescent="0.3">
      <c r="B1682" s="332" t="s">
        <v>635</v>
      </c>
      <c r="C1682" s="333"/>
      <c r="D1682" s="332"/>
      <c r="E1682" s="333"/>
      <c r="F1682" s="334"/>
      <c r="G1682" s="332"/>
      <c r="H1682" s="334"/>
      <c r="I1682" s="334"/>
    </row>
    <row r="1683" spans="2:9" x14ac:dyDescent="0.3">
      <c r="B1683" s="332" t="s">
        <v>636</v>
      </c>
      <c r="C1683" s="333"/>
      <c r="D1683" s="332"/>
      <c r="E1683" s="333" t="s">
        <v>637</v>
      </c>
      <c r="F1683" s="334" t="s">
        <v>638</v>
      </c>
      <c r="G1683" s="332" t="s">
        <v>639</v>
      </c>
      <c r="H1683" s="334" t="s">
        <v>627</v>
      </c>
      <c r="I1683" s="334"/>
    </row>
    <row r="1684" spans="2:9" x14ac:dyDescent="0.3">
      <c r="B1684" s="332" t="s">
        <v>645</v>
      </c>
      <c r="C1684" s="333"/>
      <c r="D1684" s="332"/>
      <c r="E1684" s="337">
        <v>168000</v>
      </c>
      <c r="F1684" s="334">
        <v>1.8</v>
      </c>
      <c r="G1684" s="338">
        <v>11.199999874112965</v>
      </c>
      <c r="H1684" s="334">
        <f>E1684*F1684/G1684</f>
        <v>27000.000303477678</v>
      </c>
      <c r="I1684" s="334"/>
    </row>
    <row r="1685" spans="2:9" x14ac:dyDescent="0.3">
      <c r="B1685" s="332"/>
      <c r="C1685" s="333"/>
      <c r="D1685" s="332"/>
      <c r="E1685" s="333"/>
      <c r="F1685" s="334"/>
      <c r="G1685" s="332"/>
      <c r="H1685" s="334" t="s">
        <v>628</v>
      </c>
      <c r="I1685" s="334">
        <f>H1684</f>
        <v>27000.000303477678</v>
      </c>
    </row>
    <row r="1686" spans="2:9" x14ac:dyDescent="0.3">
      <c r="B1686" s="332"/>
      <c r="C1686" s="333"/>
      <c r="D1686" s="332"/>
      <c r="E1686" s="333"/>
      <c r="F1686" s="334"/>
      <c r="G1686" s="332"/>
      <c r="H1686" s="330" t="s">
        <v>640</v>
      </c>
      <c r="I1686" s="330">
        <f>I1685+I1677+I1670+I1681</f>
        <v>30000.000303477678</v>
      </c>
    </row>
    <row r="1688" spans="2:9" ht="28.8" x14ac:dyDescent="0.3">
      <c r="B1688" s="339" t="s">
        <v>679</v>
      </c>
      <c r="C1688" s="339" t="s">
        <v>621</v>
      </c>
      <c r="D1688" s="341" t="s">
        <v>572</v>
      </c>
      <c r="E1688" s="339"/>
      <c r="F1688" s="340"/>
      <c r="G1688" s="340" t="s">
        <v>622</v>
      </c>
      <c r="H1688" s="340" t="s">
        <v>93</v>
      </c>
      <c r="I1688" s="340">
        <f>+ROUND(I1710,0)</f>
        <v>72360</v>
      </c>
    </row>
    <row r="1689" spans="2:9" x14ac:dyDescent="0.3">
      <c r="B1689" s="332" t="s">
        <v>623</v>
      </c>
      <c r="C1689" s="333"/>
      <c r="D1689" s="332"/>
      <c r="E1689" s="333"/>
      <c r="F1689" s="334"/>
      <c r="G1689" s="332"/>
      <c r="H1689" s="334"/>
      <c r="I1689" s="334"/>
    </row>
    <row r="1690" spans="2:9" x14ac:dyDescent="0.3">
      <c r="B1690" s="332" t="s">
        <v>271</v>
      </c>
      <c r="C1690" s="333"/>
      <c r="D1690" s="332"/>
      <c r="E1690" s="333" t="s">
        <v>624</v>
      </c>
      <c r="F1690" s="334" t="s">
        <v>625</v>
      </c>
      <c r="G1690" s="332" t="s">
        <v>626</v>
      </c>
      <c r="H1690" s="334" t="s">
        <v>627</v>
      </c>
      <c r="I1690" s="334"/>
    </row>
    <row r="1691" spans="2:9" x14ac:dyDescent="0.3">
      <c r="B1691" s="332" t="s">
        <v>642</v>
      </c>
      <c r="C1691" s="333"/>
      <c r="D1691" s="332"/>
      <c r="E1691" s="333" t="s">
        <v>644</v>
      </c>
      <c r="F1691" s="334">
        <v>1500</v>
      </c>
      <c r="G1691" s="335">
        <v>2</v>
      </c>
      <c r="H1691" s="334">
        <f>F1691*G1691</f>
        <v>3000</v>
      </c>
      <c r="I1691" s="334"/>
    </row>
    <row r="1692" spans="2:9" x14ac:dyDescent="0.3">
      <c r="B1692" s="332"/>
      <c r="C1692" s="333"/>
      <c r="D1692" s="332"/>
      <c r="E1692" s="333"/>
      <c r="F1692" s="334"/>
      <c r="G1692" s="335"/>
      <c r="H1692" s="334"/>
      <c r="I1692" s="334"/>
    </row>
    <row r="1693" spans="2:9" x14ac:dyDescent="0.3">
      <c r="B1693" s="332"/>
      <c r="C1693" s="333"/>
      <c r="D1693" s="332"/>
      <c r="E1693" s="333"/>
      <c r="F1693" s="334"/>
      <c r="G1693" s="335"/>
      <c r="H1693" s="334"/>
      <c r="I1693" s="334"/>
    </row>
    <row r="1694" spans="2:9" x14ac:dyDescent="0.3">
      <c r="B1694" s="332"/>
      <c r="C1694" s="333"/>
      <c r="D1694" s="332"/>
      <c r="E1694" s="333"/>
      <c r="F1694" s="334"/>
      <c r="G1694" s="332"/>
      <c r="H1694" s="334" t="s">
        <v>628</v>
      </c>
      <c r="I1694" s="334">
        <f>SUM(H1691:H1693)</f>
        <v>3000</v>
      </c>
    </row>
    <row r="1695" spans="2:9" x14ac:dyDescent="0.3">
      <c r="B1695" s="332" t="s">
        <v>629</v>
      </c>
      <c r="C1695" s="333"/>
      <c r="D1695" s="332"/>
      <c r="E1695" s="333"/>
      <c r="F1695" s="334"/>
      <c r="G1695" s="332"/>
      <c r="H1695" s="334"/>
      <c r="I1695" s="334"/>
    </row>
    <row r="1696" spans="2:9" x14ac:dyDescent="0.3">
      <c r="B1696" s="332" t="s">
        <v>271</v>
      </c>
      <c r="C1696" s="333"/>
      <c r="D1696" s="332"/>
      <c r="E1696" s="333" t="s">
        <v>624</v>
      </c>
      <c r="F1696" s="334" t="s">
        <v>630</v>
      </c>
      <c r="G1696" s="332" t="s">
        <v>631</v>
      </c>
      <c r="H1696" s="334" t="s">
        <v>627</v>
      </c>
      <c r="I1696" s="334"/>
    </row>
    <row r="1697" spans="2:9" ht="28.8" x14ac:dyDescent="0.3">
      <c r="B1697" s="342" t="s">
        <v>683</v>
      </c>
      <c r="C1697" s="333"/>
      <c r="D1697" s="332"/>
      <c r="E1697" s="343" t="s">
        <v>93</v>
      </c>
      <c r="F1697" s="344">
        <v>22372</v>
      </c>
      <c r="G1697" s="345">
        <v>1.1000000000000001</v>
      </c>
      <c r="H1697" s="344">
        <f>F1697*G1697</f>
        <v>24609.200000000001</v>
      </c>
      <c r="I1697" s="344"/>
    </row>
    <row r="1698" spans="2:9" x14ac:dyDescent="0.3">
      <c r="B1698" s="332"/>
      <c r="C1698" s="333"/>
      <c r="D1698" s="332"/>
      <c r="E1698" s="333"/>
      <c r="F1698" s="334"/>
      <c r="G1698" s="332"/>
      <c r="H1698" s="334"/>
      <c r="I1698" s="334"/>
    </row>
    <row r="1699" spans="2:9" x14ac:dyDescent="0.3">
      <c r="B1699" s="332"/>
      <c r="C1699" s="333"/>
      <c r="D1699" s="332"/>
      <c r="E1699" s="333"/>
      <c r="F1699" s="334"/>
      <c r="G1699" s="332"/>
      <c r="H1699" s="334"/>
      <c r="I1699" s="334"/>
    </row>
    <row r="1700" spans="2:9" x14ac:dyDescent="0.3">
      <c r="B1700" s="332"/>
      <c r="C1700" s="333"/>
      <c r="D1700" s="332"/>
      <c r="E1700" s="333"/>
      <c r="F1700" s="334"/>
      <c r="G1700" s="332"/>
      <c r="H1700" s="334"/>
      <c r="I1700" s="334"/>
    </row>
    <row r="1701" spans="2:9" x14ac:dyDescent="0.3">
      <c r="B1701" s="332"/>
      <c r="C1701" s="333"/>
      <c r="D1701" s="332"/>
      <c r="E1701" s="333"/>
      <c r="F1701" s="334"/>
      <c r="G1701" s="332"/>
      <c r="H1701" s="334" t="s">
        <v>628</v>
      </c>
      <c r="I1701" s="334">
        <f>SUM(H1697:H1700)</f>
        <v>24609.200000000001</v>
      </c>
    </row>
    <row r="1702" spans="2:9" x14ac:dyDescent="0.3">
      <c r="B1702" s="332" t="s">
        <v>632</v>
      </c>
      <c r="C1702" s="333"/>
      <c r="D1702" s="332"/>
      <c r="E1702" s="333" t="s">
        <v>624</v>
      </c>
      <c r="F1702" s="334" t="s">
        <v>633</v>
      </c>
      <c r="G1702" s="332" t="s">
        <v>634</v>
      </c>
      <c r="H1702" s="334" t="s">
        <v>627</v>
      </c>
      <c r="I1702" s="334"/>
    </row>
    <row r="1703" spans="2:9" x14ac:dyDescent="0.3">
      <c r="B1703" s="332"/>
      <c r="C1703" s="333"/>
      <c r="D1703" s="332"/>
      <c r="E1703" s="332"/>
      <c r="F1703" s="332"/>
      <c r="G1703" s="332"/>
      <c r="H1703" s="332"/>
      <c r="I1703" s="332"/>
    </row>
    <row r="1704" spans="2:9" x14ac:dyDescent="0.3">
      <c r="B1704" s="332"/>
      <c r="C1704" s="333"/>
      <c r="D1704" s="332"/>
      <c r="E1704" s="333"/>
      <c r="F1704" s="336"/>
      <c r="G1704" s="334"/>
      <c r="H1704" s="334"/>
      <c r="I1704" s="334"/>
    </row>
    <row r="1705" spans="2:9" x14ac:dyDescent="0.3">
      <c r="B1705" s="332"/>
      <c r="C1705" s="333"/>
      <c r="D1705" s="332"/>
      <c r="E1705" s="333"/>
      <c r="F1705" s="334"/>
      <c r="G1705" s="332"/>
      <c r="H1705" s="334" t="s">
        <v>628</v>
      </c>
      <c r="I1705" s="334">
        <f>SUM(H1704)</f>
        <v>0</v>
      </c>
    </row>
    <row r="1706" spans="2:9" x14ac:dyDescent="0.3">
      <c r="B1706" s="332" t="s">
        <v>635</v>
      </c>
      <c r="C1706" s="333"/>
      <c r="D1706" s="332"/>
      <c r="E1706" s="333"/>
      <c r="F1706" s="334"/>
      <c r="G1706" s="332"/>
      <c r="H1706" s="334"/>
      <c r="I1706" s="334"/>
    </row>
    <row r="1707" spans="2:9" x14ac:dyDescent="0.3">
      <c r="B1707" s="332" t="s">
        <v>636</v>
      </c>
      <c r="C1707" s="333"/>
      <c r="D1707" s="332"/>
      <c r="E1707" s="333" t="s">
        <v>637</v>
      </c>
      <c r="F1707" s="334" t="s">
        <v>638</v>
      </c>
      <c r="G1707" s="332" t="s">
        <v>639</v>
      </c>
      <c r="H1707" s="334" t="s">
        <v>627</v>
      </c>
      <c r="I1707" s="334"/>
    </row>
    <row r="1708" spans="2:9" x14ac:dyDescent="0.3">
      <c r="B1708" s="332" t="s">
        <v>645</v>
      </c>
      <c r="C1708" s="333"/>
      <c r="D1708" s="332"/>
      <c r="E1708" s="337">
        <v>168000</v>
      </c>
      <c r="F1708" s="334">
        <v>1.8</v>
      </c>
      <c r="G1708" s="338">
        <v>6.7574211260167054</v>
      </c>
      <c r="H1708" s="334">
        <f>E1708*F1708/G1708</f>
        <v>44750.799803749338</v>
      </c>
      <c r="I1708" s="334"/>
    </row>
    <row r="1709" spans="2:9" x14ac:dyDescent="0.3">
      <c r="B1709" s="332"/>
      <c r="C1709" s="333"/>
      <c r="D1709" s="332"/>
      <c r="E1709" s="333"/>
      <c r="F1709" s="334"/>
      <c r="G1709" s="332"/>
      <c r="H1709" s="334" t="s">
        <v>628</v>
      </c>
      <c r="I1709" s="334">
        <f>H1708</f>
        <v>44750.799803749338</v>
      </c>
    </row>
    <row r="1710" spans="2:9" x14ac:dyDescent="0.3">
      <c r="B1710" s="332"/>
      <c r="C1710" s="333"/>
      <c r="D1710" s="332"/>
      <c r="E1710" s="333"/>
      <c r="F1710" s="334"/>
      <c r="G1710" s="332"/>
      <c r="H1710" s="330" t="s">
        <v>640</v>
      </c>
      <c r="I1710" s="330">
        <f>I1709+I1701+I1694+I1705</f>
        <v>72359.999803749335</v>
      </c>
    </row>
    <row r="1712" spans="2:9" ht="28.8" x14ac:dyDescent="0.3">
      <c r="B1712" s="339" t="s">
        <v>763</v>
      </c>
      <c r="C1712" s="339" t="s">
        <v>621</v>
      </c>
      <c r="D1712" s="341" t="s">
        <v>573</v>
      </c>
      <c r="E1712" s="339"/>
      <c r="F1712" s="340"/>
      <c r="G1712" s="340" t="s">
        <v>622</v>
      </c>
      <c r="H1712" s="340" t="s">
        <v>93</v>
      </c>
      <c r="I1712" s="340">
        <f>+ROUND(I1734,0)</f>
        <v>40000</v>
      </c>
    </row>
    <row r="1713" spans="2:9" x14ac:dyDescent="0.3">
      <c r="B1713" s="332" t="s">
        <v>623</v>
      </c>
      <c r="C1713" s="333"/>
      <c r="D1713" s="332"/>
      <c r="E1713" s="333"/>
      <c r="F1713" s="334"/>
      <c r="G1713" s="332"/>
      <c r="H1713" s="334"/>
      <c r="I1713" s="334"/>
    </row>
    <row r="1714" spans="2:9" x14ac:dyDescent="0.3">
      <c r="B1714" s="332" t="s">
        <v>271</v>
      </c>
      <c r="C1714" s="333"/>
      <c r="D1714" s="332"/>
      <c r="E1714" s="333" t="s">
        <v>624</v>
      </c>
      <c r="F1714" s="334" t="s">
        <v>625</v>
      </c>
      <c r="G1714" s="332" t="s">
        <v>626</v>
      </c>
      <c r="H1714" s="334" t="s">
        <v>627</v>
      </c>
      <c r="I1714" s="334"/>
    </row>
    <row r="1715" spans="2:9" x14ac:dyDescent="0.3">
      <c r="B1715" s="332" t="s">
        <v>642</v>
      </c>
      <c r="C1715" s="333"/>
      <c r="D1715" s="332"/>
      <c r="E1715" s="333" t="s">
        <v>644</v>
      </c>
      <c r="F1715" s="334">
        <v>1500</v>
      </c>
      <c r="G1715" s="335">
        <v>2</v>
      </c>
      <c r="H1715" s="334">
        <f>F1715*G1715</f>
        <v>3000</v>
      </c>
      <c r="I1715" s="334"/>
    </row>
    <row r="1716" spans="2:9" x14ac:dyDescent="0.3">
      <c r="B1716" s="332"/>
      <c r="C1716" s="333"/>
      <c r="D1716" s="332"/>
      <c r="E1716" s="333"/>
      <c r="F1716" s="334"/>
      <c r="G1716" s="335"/>
      <c r="H1716" s="334"/>
      <c r="I1716" s="334"/>
    </row>
    <row r="1717" spans="2:9" x14ac:dyDescent="0.3">
      <c r="B1717" s="332"/>
      <c r="C1717" s="333"/>
      <c r="D1717" s="332"/>
      <c r="E1717" s="333"/>
      <c r="F1717" s="334"/>
      <c r="G1717" s="335"/>
      <c r="H1717" s="334"/>
      <c r="I1717" s="334"/>
    </row>
    <row r="1718" spans="2:9" x14ac:dyDescent="0.3">
      <c r="B1718" s="332"/>
      <c r="C1718" s="333"/>
      <c r="D1718" s="332"/>
      <c r="E1718" s="333"/>
      <c r="F1718" s="334"/>
      <c r="G1718" s="332"/>
      <c r="H1718" s="334" t="s">
        <v>628</v>
      </c>
      <c r="I1718" s="334">
        <f>SUM(H1715:H1717)</f>
        <v>3000</v>
      </c>
    </row>
    <row r="1719" spans="2:9" x14ac:dyDescent="0.3">
      <c r="B1719" s="332" t="s">
        <v>629</v>
      </c>
      <c r="C1719" s="333"/>
      <c r="D1719" s="332"/>
      <c r="E1719" s="333"/>
      <c r="F1719" s="334"/>
      <c r="G1719" s="332"/>
      <c r="H1719" s="334"/>
      <c r="I1719" s="334"/>
    </row>
    <row r="1720" spans="2:9" x14ac:dyDescent="0.3">
      <c r="B1720" s="332" t="s">
        <v>271</v>
      </c>
      <c r="C1720" s="333"/>
      <c r="D1720" s="332"/>
      <c r="E1720" s="333" t="s">
        <v>624</v>
      </c>
      <c r="F1720" s="334" t="s">
        <v>630</v>
      </c>
      <c r="G1720" s="332" t="s">
        <v>631</v>
      </c>
      <c r="H1720" s="334" t="s">
        <v>627</v>
      </c>
      <c r="I1720" s="334"/>
    </row>
    <row r="1721" spans="2:9" ht="28.8" x14ac:dyDescent="0.3">
      <c r="B1721" s="342" t="s">
        <v>685</v>
      </c>
      <c r="C1721" s="333"/>
      <c r="D1721" s="332"/>
      <c r="E1721" s="343" t="s">
        <v>93</v>
      </c>
      <c r="F1721" s="344">
        <v>22372</v>
      </c>
      <c r="G1721" s="345">
        <v>1.5</v>
      </c>
      <c r="H1721" s="344">
        <f>F1721*G1721</f>
        <v>33558</v>
      </c>
      <c r="I1721" s="344"/>
    </row>
    <row r="1722" spans="2:9" x14ac:dyDescent="0.3">
      <c r="B1722" s="332"/>
      <c r="C1722" s="333"/>
      <c r="D1722" s="332"/>
      <c r="E1722" s="333"/>
      <c r="F1722" s="334"/>
      <c r="G1722" s="332"/>
      <c r="H1722" s="334"/>
      <c r="I1722" s="334"/>
    </row>
    <row r="1723" spans="2:9" x14ac:dyDescent="0.3">
      <c r="B1723" s="332"/>
      <c r="C1723" s="333"/>
      <c r="D1723" s="332"/>
      <c r="E1723" s="333"/>
      <c r="F1723" s="334"/>
      <c r="G1723" s="332"/>
      <c r="H1723" s="334"/>
      <c r="I1723" s="334"/>
    </row>
    <row r="1724" spans="2:9" x14ac:dyDescent="0.3">
      <c r="B1724" s="332"/>
      <c r="C1724" s="333"/>
      <c r="D1724" s="332"/>
      <c r="E1724" s="333"/>
      <c r="F1724" s="334"/>
      <c r="G1724" s="332"/>
      <c r="H1724" s="334"/>
      <c r="I1724" s="334"/>
    </row>
    <row r="1725" spans="2:9" x14ac:dyDescent="0.3">
      <c r="B1725" s="332"/>
      <c r="C1725" s="333"/>
      <c r="D1725" s="332"/>
      <c r="E1725" s="333"/>
      <c r="F1725" s="334"/>
      <c r="G1725" s="332"/>
      <c r="H1725" s="334" t="s">
        <v>628</v>
      </c>
      <c r="I1725" s="334">
        <f>SUM(H1721:H1724)</f>
        <v>33558</v>
      </c>
    </row>
    <row r="1726" spans="2:9" x14ac:dyDescent="0.3">
      <c r="B1726" s="332" t="s">
        <v>632</v>
      </c>
      <c r="C1726" s="333"/>
      <c r="D1726" s="332"/>
      <c r="E1726" s="333" t="s">
        <v>624</v>
      </c>
      <c r="F1726" s="334" t="s">
        <v>633</v>
      </c>
      <c r="G1726" s="332" t="s">
        <v>634</v>
      </c>
      <c r="H1726" s="334" t="s">
        <v>627</v>
      </c>
      <c r="I1726" s="334"/>
    </row>
    <row r="1727" spans="2:9" x14ac:dyDescent="0.3">
      <c r="B1727" s="332"/>
      <c r="C1727" s="333"/>
      <c r="D1727" s="332"/>
      <c r="E1727" s="332"/>
      <c r="F1727" s="332"/>
      <c r="G1727" s="332"/>
      <c r="H1727" s="332"/>
      <c r="I1727" s="332"/>
    </row>
    <row r="1728" spans="2:9" x14ac:dyDescent="0.3">
      <c r="B1728" s="332"/>
      <c r="C1728" s="333"/>
      <c r="D1728" s="332"/>
      <c r="E1728" s="333"/>
      <c r="F1728" s="336"/>
      <c r="G1728" s="334"/>
      <c r="H1728" s="334"/>
      <c r="I1728" s="334"/>
    </row>
    <row r="1729" spans="2:9" x14ac:dyDescent="0.3">
      <c r="B1729" s="332"/>
      <c r="C1729" s="333"/>
      <c r="D1729" s="332"/>
      <c r="E1729" s="333"/>
      <c r="F1729" s="334"/>
      <c r="G1729" s="332"/>
      <c r="H1729" s="334" t="s">
        <v>628</v>
      </c>
      <c r="I1729" s="334">
        <f>SUM(H1728)</f>
        <v>0</v>
      </c>
    </row>
    <row r="1730" spans="2:9" x14ac:dyDescent="0.3">
      <c r="B1730" s="332" t="s">
        <v>635</v>
      </c>
      <c r="C1730" s="333"/>
      <c r="D1730" s="332"/>
      <c r="E1730" s="333"/>
      <c r="F1730" s="334"/>
      <c r="G1730" s="332"/>
      <c r="H1730" s="334"/>
      <c r="I1730" s="334"/>
    </row>
    <row r="1731" spans="2:9" x14ac:dyDescent="0.3">
      <c r="B1731" s="332" t="s">
        <v>636</v>
      </c>
      <c r="C1731" s="333"/>
      <c r="D1731" s="332"/>
      <c r="E1731" s="333" t="s">
        <v>637</v>
      </c>
      <c r="F1731" s="334" t="s">
        <v>638</v>
      </c>
      <c r="G1731" s="332" t="s">
        <v>639</v>
      </c>
      <c r="H1731" s="334" t="s">
        <v>627</v>
      </c>
      <c r="I1731" s="334"/>
    </row>
    <row r="1732" spans="2:9" x14ac:dyDescent="0.3">
      <c r="B1732" s="332" t="s">
        <v>645</v>
      </c>
      <c r="C1732" s="333"/>
      <c r="D1732" s="332"/>
      <c r="E1732" s="337">
        <v>168000</v>
      </c>
      <c r="F1732" s="334">
        <v>1.8</v>
      </c>
      <c r="G1732" s="338">
        <v>87.855892264832818</v>
      </c>
      <c r="H1732" s="334">
        <f>E1732*F1732/G1732</f>
        <v>3442.0002142650305</v>
      </c>
      <c r="I1732" s="334"/>
    </row>
    <row r="1733" spans="2:9" x14ac:dyDescent="0.3">
      <c r="B1733" s="332"/>
      <c r="C1733" s="333"/>
      <c r="D1733" s="332"/>
      <c r="E1733" s="333"/>
      <c r="F1733" s="334"/>
      <c r="G1733" s="332"/>
      <c r="H1733" s="334" t="s">
        <v>628</v>
      </c>
      <c r="I1733" s="334">
        <f>H1732</f>
        <v>3442.0002142650305</v>
      </c>
    </row>
    <row r="1734" spans="2:9" x14ac:dyDescent="0.3">
      <c r="B1734" s="332"/>
      <c r="C1734" s="333"/>
      <c r="D1734" s="332"/>
      <c r="E1734" s="333"/>
      <c r="F1734" s="334"/>
      <c r="G1734" s="332"/>
      <c r="H1734" s="330" t="s">
        <v>640</v>
      </c>
      <c r="I1734" s="330">
        <f>I1733+I1725+I1718+I1729</f>
        <v>40000.000214265034</v>
      </c>
    </row>
    <row r="1736" spans="2:9" ht="28.8" x14ac:dyDescent="0.3">
      <c r="B1736" s="339" t="s">
        <v>681</v>
      </c>
      <c r="C1736" s="339" t="s">
        <v>621</v>
      </c>
      <c r="D1736" s="341" t="s">
        <v>579</v>
      </c>
      <c r="E1736" s="339"/>
      <c r="F1736" s="340"/>
      <c r="G1736" s="340" t="s">
        <v>622</v>
      </c>
      <c r="H1736" s="340" t="s">
        <v>60</v>
      </c>
      <c r="I1736" s="340">
        <f>+ROUND(I1758,0)</f>
        <v>41581</v>
      </c>
    </row>
    <row r="1737" spans="2:9" x14ac:dyDescent="0.3">
      <c r="B1737" s="332" t="s">
        <v>623</v>
      </c>
      <c r="C1737" s="333"/>
      <c r="D1737" s="332"/>
      <c r="E1737" s="333"/>
      <c r="F1737" s="334"/>
      <c r="G1737" s="332"/>
      <c r="H1737" s="334"/>
      <c r="I1737" s="334"/>
    </row>
    <row r="1738" spans="2:9" x14ac:dyDescent="0.3">
      <c r="B1738" s="332" t="s">
        <v>271</v>
      </c>
      <c r="C1738" s="333"/>
      <c r="D1738" s="332"/>
      <c r="E1738" s="333" t="s">
        <v>624</v>
      </c>
      <c r="F1738" s="334" t="s">
        <v>625</v>
      </c>
      <c r="G1738" s="332" t="s">
        <v>626</v>
      </c>
      <c r="H1738" s="334" t="s">
        <v>627</v>
      </c>
      <c r="I1738" s="334"/>
    </row>
    <row r="1739" spans="2:9" x14ac:dyDescent="0.3">
      <c r="B1739" s="332" t="s">
        <v>642</v>
      </c>
      <c r="C1739" s="333"/>
      <c r="D1739" s="332"/>
      <c r="E1739" s="333" t="s">
        <v>644</v>
      </c>
      <c r="F1739" s="334">
        <v>1500</v>
      </c>
      <c r="G1739" s="335">
        <v>4</v>
      </c>
      <c r="H1739" s="334">
        <f>F1739*G1739</f>
        <v>6000</v>
      </c>
      <c r="I1739" s="334"/>
    </row>
    <row r="1740" spans="2:9" x14ac:dyDescent="0.3">
      <c r="B1740" s="332"/>
      <c r="C1740" s="333"/>
      <c r="D1740" s="332"/>
      <c r="E1740" s="333"/>
      <c r="F1740" s="334"/>
      <c r="G1740" s="335"/>
      <c r="H1740" s="334"/>
      <c r="I1740" s="334"/>
    </row>
    <row r="1741" spans="2:9" x14ac:dyDescent="0.3">
      <c r="B1741" s="332"/>
      <c r="C1741" s="333"/>
      <c r="D1741" s="332"/>
      <c r="E1741" s="333"/>
      <c r="F1741" s="334"/>
      <c r="G1741" s="335"/>
      <c r="H1741" s="334"/>
      <c r="I1741" s="334"/>
    </row>
    <row r="1742" spans="2:9" x14ac:dyDescent="0.3">
      <c r="B1742" s="332"/>
      <c r="C1742" s="333"/>
      <c r="D1742" s="332"/>
      <c r="E1742" s="333"/>
      <c r="F1742" s="334"/>
      <c r="G1742" s="332"/>
      <c r="H1742" s="334" t="s">
        <v>628</v>
      </c>
      <c r="I1742" s="334">
        <f>SUM(H1739:H1741)</f>
        <v>6000</v>
      </c>
    </row>
    <row r="1743" spans="2:9" x14ac:dyDescent="0.3">
      <c r="B1743" s="332" t="s">
        <v>629</v>
      </c>
      <c r="C1743" s="333"/>
      <c r="D1743" s="332"/>
      <c r="E1743" s="333"/>
      <c r="F1743" s="334"/>
      <c r="G1743" s="332"/>
      <c r="H1743" s="334"/>
      <c r="I1743" s="334"/>
    </row>
    <row r="1744" spans="2:9" x14ac:dyDescent="0.3">
      <c r="B1744" s="332" t="s">
        <v>271</v>
      </c>
      <c r="C1744" s="333"/>
      <c r="D1744" s="332"/>
      <c r="E1744" s="333" t="s">
        <v>624</v>
      </c>
      <c r="F1744" s="334" t="s">
        <v>630</v>
      </c>
      <c r="G1744" s="332" t="s">
        <v>631</v>
      </c>
      <c r="H1744" s="334" t="s">
        <v>627</v>
      </c>
      <c r="I1744" s="334"/>
    </row>
    <row r="1745" spans="2:9" x14ac:dyDescent="0.3">
      <c r="B1745" s="342" t="s">
        <v>670</v>
      </c>
      <c r="C1745" s="333"/>
      <c r="D1745" s="332"/>
      <c r="E1745" s="343" t="s">
        <v>671</v>
      </c>
      <c r="F1745" s="344">
        <v>626828.6</v>
      </c>
      <c r="G1745" s="345">
        <v>0.05</v>
      </c>
      <c r="H1745" s="344">
        <f>F1745*G1745</f>
        <v>31341.43</v>
      </c>
      <c r="I1745" s="344"/>
    </row>
    <row r="1746" spans="2:9" x14ac:dyDescent="0.3">
      <c r="B1746" s="332"/>
      <c r="C1746" s="333"/>
      <c r="D1746" s="332"/>
      <c r="E1746" s="333"/>
      <c r="F1746" s="334"/>
      <c r="G1746" s="332"/>
      <c r="H1746" s="334">
        <f>F1746*G1746</f>
        <v>0</v>
      </c>
      <c r="I1746" s="334"/>
    </row>
    <row r="1747" spans="2:9" x14ac:dyDescent="0.3">
      <c r="B1747" s="332"/>
      <c r="C1747" s="333"/>
      <c r="D1747" s="332"/>
      <c r="E1747" s="333"/>
      <c r="F1747" s="334"/>
      <c r="G1747" s="332"/>
      <c r="H1747" s="334"/>
      <c r="I1747" s="334"/>
    </row>
    <row r="1748" spans="2:9" x14ac:dyDescent="0.3">
      <c r="B1748" s="332"/>
      <c r="C1748" s="333"/>
      <c r="D1748" s="332"/>
      <c r="E1748" s="333"/>
      <c r="F1748" s="334"/>
      <c r="G1748" s="332"/>
      <c r="H1748" s="334"/>
      <c r="I1748" s="334"/>
    </row>
    <row r="1749" spans="2:9" x14ac:dyDescent="0.3">
      <c r="B1749" s="332"/>
      <c r="C1749" s="333"/>
      <c r="D1749" s="332"/>
      <c r="E1749" s="333"/>
      <c r="F1749" s="334"/>
      <c r="G1749" s="332"/>
      <c r="H1749" s="334" t="s">
        <v>628</v>
      </c>
      <c r="I1749" s="334">
        <f>SUM(H1745:H1748)</f>
        <v>31341.43</v>
      </c>
    </row>
    <row r="1750" spans="2:9" x14ac:dyDescent="0.3">
      <c r="B1750" s="332" t="s">
        <v>632</v>
      </c>
      <c r="C1750" s="333"/>
      <c r="D1750" s="332"/>
      <c r="E1750" s="333" t="s">
        <v>624</v>
      </c>
      <c r="F1750" s="334" t="s">
        <v>633</v>
      </c>
      <c r="G1750" s="332" t="s">
        <v>634</v>
      </c>
      <c r="H1750" s="334" t="s">
        <v>627</v>
      </c>
      <c r="I1750" s="334"/>
    </row>
    <row r="1751" spans="2:9" x14ac:dyDescent="0.3">
      <c r="B1751" s="332"/>
      <c r="C1751" s="333"/>
      <c r="D1751" s="332"/>
      <c r="E1751" s="332"/>
      <c r="F1751" s="332"/>
      <c r="G1751" s="332"/>
      <c r="H1751" s="332"/>
      <c r="I1751" s="332"/>
    </row>
    <row r="1752" spans="2:9" x14ac:dyDescent="0.3">
      <c r="B1752" s="332"/>
      <c r="C1752" s="333"/>
      <c r="D1752" s="332"/>
      <c r="E1752" s="333"/>
      <c r="F1752" s="336"/>
      <c r="G1752" s="334"/>
      <c r="H1752" s="334"/>
      <c r="I1752" s="334"/>
    </row>
    <row r="1753" spans="2:9" x14ac:dyDescent="0.3">
      <c r="B1753" s="332"/>
      <c r="C1753" s="333"/>
      <c r="D1753" s="332"/>
      <c r="E1753" s="333"/>
      <c r="F1753" s="334"/>
      <c r="G1753" s="332"/>
      <c r="H1753" s="334" t="s">
        <v>628</v>
      </c>
      <c r="I1753" s="334">
        <f>SUM(H1752)</f>
        <v>0</v>
      </c>
    </row>
    <row r="1754" spans="2:9" x14ac:dyDescent="0.3">
      <c r="B1754" s="332" t="s">
        <v>635</v>
      </c>
      <c r="C1754" s="333"/>
      <c r="D1754" s="332"/>
      <c r="E1754" s="333"/>
      <c r="F1754" s="334"/>
      <c r="G1754" s="332"/>
      <c r="H1754" s="334"/>
      <c r="I1754" s="334"/>
    </row>
    <row r="1755" spans="2:9" x14ac:dyDescent="0.3">
      <c r="B1755" s="332" t="s">
        <v>636</v>
      </c>
      <c r="C1755" s="333"/>
      <c r="D1755" s="332"/>
      <c r="E1755" s="333" t="s">
        <v>637</v>
      </c>
      <c r="F1755" s="334" t="s">
        <v>638</v>
      </c>
      <c r="G1755" s="332" t="s">
        <v>639</v>
      </c>
      <c r="H1755" s="334" t="s">
        <v>627</v>
      </c>
      <c r="I1755" s="334"/>
    </row>
    <row r="1756" spans="2:9" x14ac:dyDescent="0.3">
      <c r="B1756" s="332" t="s">
        <v>645</v>
      </c>
      <c r="C1756" s="333"/>
      <c r="D1756" s="332"/>
      <c r="E1756" s="337">
        <v>168000</v>
      </c>
      <c r="F1756" s="334">
        <v>1.8</v>
      </c>
      <c r="G1756" s="338">
        <v>71.327988227131996</v>
      </c>
      <c r="H1756" s="334">
        <f>E1756*F1756/G1756</f>
        <v>4239.5700133453647</v>
      </c>
      <c r="I1756" s="334"/>
    </row>
    <row r="1757" spans="2:9" x14ac:dyDescent="0.3">
      <c r="B1757" s="332"/>
      <c r="C1757" s="333"/>
      <c r="D1757" s="332"/>
      <c r="E1757" s="333"/>
      <c r="F1757" s="334"/>
      <c r="G1757" s="332"/>
      <c r="H1757" s="334" t="s">
        <v>628</v>
      </c>
      <c r="I1757" s="334">
        <f>H1756</f>
        <v>4239.5700133453647</v>
      </c>
    </row>
    <row r="1758" spans="2:9" x14ac:dyDescent="0.3">
      <c r="B1758" s="332"/>
      <c r="C1758" s="333"/>
      <c r="D1758" s="332"/>
      <c r="E1758" s="333"/>
      <c r="F1758" s="334"/>
      <c r="G1758" s="332"/>
      <c r="H1758" s="330" t="s">
        <v>640</v>
      </c>
      <c r="I1758" s="330">
        <f>I1757+I1749+I1742+I1753</f>
        <v>41581.000013345365</v>
      </c>
    </row>
    <row r="1760" spans="2:9" ht="43.2" x14ac:dyDescent="0.3">
      <c r="B1760" s="339" t="s">
        <v>682</v>
      </c>
      <c r="C1760" s="339" t="s">
        <v>621</v>
      </c>
      <c r="D1760" s="341" t="s">
        <v>577</v>
      </c>
      <c r="E1760" s="339"/>
      <c r="F1760" s="340"/>
      <c r="G1760" s="340" t="s">
        <v>622</v>
      </c>
      <c r="H1760" s="340" t="s">
        <v>60</v>
      </c>
      <c r="I1760" s="340">
        <f>+ROUND(I1782,0)</f>
        <v>86789</v>
      </c>
    </row>
    <row r="1761" spans="2:9" x14ac:dyDescent="0.3">
      <c r="B1761" s="332" t="s">
        <v>623</v>
      </c>
      <c r="C1761" s="333"/>
      <c r="D1761" s="332"/>
      <c r="E1761" s="333"/>
      <c r="F1761" s="334"/>
      <c r="G1761" s="332"/>
      <c r="H1761" s="334"/>
      <c r="I1761" s="334"/>
    </row>
    <row r="1762" spans="2:9" x14ac:dyDescent="0.3">
      <c r="B1762" s="332" t="s">
        <v>271</v>
      </c>
      <c r="C1762" s="333"/>
      <c r="D1762" s="332"/>
      <c r="E1762" s="333" t="s">
        <v>624</v>
      </c>
      <c r="F1762" s="334" t="s">
        <v>625</v>
      </c>
      <c r="G1762" s="332" t="s">
        <v>626</v>
      </c>
      <c r="H1762" s="334" t="s">
        <v>627</v>
      </c>
      <c r="I1762" s="334"/>
    </row>
    <row r="1763" spans="2:9" x14ac:dyDescent="0.3">
      <c r="B1763" s="332" t="s">
        <v>642</v>
      </c>
      <c r="C1763" s="333"/>
      <c r="D1763" s="332"/>
      <c r="E1763" s="333" t="s">
        <v>644</v>
      </c>
      <c r="F1763" s="334">
        <v>1500</v>
      </c>
      <c r="G1763" s="335">
        <v>4</v>
      </c>
      <c r="H1763" s="334">
        <f>F1763*G1763</f>
        <v>6000</v>
      </c>
      <c r="I1763" s="334"/>
    </row>
    <row r="1764" spans="2:9" x14ac:dyDescent="0.3">
      <c r="B1764" s="332"/>
      <c r="C1764" s="333"/>
      <c r="D1764" s="332"/>
      <c r="E1764" s="333"/>
      <c r="F1764" s="334"/>
      <c r="G1764" s="335"/>
      <c r="H1764" s="334"/>
      <c r="I1764" s="334"/>
    </row>
    <row r="1765" spans="2:9" x14ac:dyDescent="0.3">
      <c r="B1765" s="332"/>
      <c r="C1765" s="333"/>
      <c r="D1765" s="332"/>
      <c r="E1765" s="333"/>
      <c r="F1765" s="334"/>
      <c r="G1765" s="335"/>
      <c r="H1765" s="334"/>
      <c r="I1765" s="334"/>
    </row>
    <row r="1766" spans="2:9" x14ac:dyDescent="0.3">
      <c r="B1766" s="332"/>
      <c r="C1766" s="333"/>
      <c r="D1766" s="332"/>
      <c r="E1766" s="333"/>
      <c r="F1766" s="334"/>
      <c r="G1766" s="332"/>
      <c r="H1766" s="334" t="s">
        <v>628</v>
      </c>
      <c r="I1766" s="334">
        <f>SUM(H1763:H1765)</f>
        <v>6000</v>
      </c>
    </row>
    <row r="1767" spans="2:9" x14ac:dyDescent="0.3">
      <c r="B1767" s="332" t="s">
        <v>629</v>
      </c>
      <c r="C1767" s="333"/>
      <c r="D1767" s="332"/>
      <c r="E1767" s="333"/>
      <c r="F1767" s="334"/>
      <c r="G1767" s="332"/>
      <c r="H1767" s="334"/>
      <c r="I1767" s="334"/>
    </row>
    <row r="1768" spans="2:9" x14ac:dyDescent="0.3">
      <c r="B1768" s="332" t="s">
        <v>271</v>
      </c>
      <c r="C1768" s="333"/>
      <c r="D1768" s="332"/>
      <c r="E1768" s="333" t="s">
        <v>624</v>
      </c>
      <c r="F1768" s="334" t="s">
        <v>630</v>
      </c>
      <c r="G1768" s="332" t="s">
        <v>631</v>
      </c>
      <c r="H1768" s="334" t="s">
        <v>627</v>
      </c>
      <c r="I1768" s="334"/>
    </row>
    <row r="1769" spans="2:9" ht="43.2" x14ac:dyDescent="0.3">
      <c r="B1769" s="356" t="s">
        <v>764</v>
      </c>
      <c r="C1769" s="333"/>
      <c r="D1769" s="332"/>
      <c r="E1769" s="357" t="s">
        <v>60</v>
      </c>
      <c r="F1769" s="344">
        <v>36900</v>
      </c>
      <c r="G1769" s="345">
        <v>1.1000000000000001</v>
      </c>
      <c r="H1769" s="344">
        <f>F1769*G1769</f>
        <v>40590</v>
      </c>
      <c r="I1769" s="344"/>
    </row>
    <row r="1770" spans="2:9" x14ac:dyDescent="0.3">
      <c r="B1770" s="354" t="s">
        <v>765</v>
      </c>
      <c r="C1770" s="333"/>
      <c r="D1770" s="332"/>
      <c r="E1770" s="355" t="s">
        <v>159</v>
      </c>
      <c r="F1770" s="334">
        <v>2100</v>
      </c>
      <c r="G1770" s="332">
        <v>4</v>
      </c>
      <c r="H1770" s="334">
        <f>F1770*G1770</f>
        <v>8400</v>
      </c>
      <c r="I1770" s="334"/>
    </row>
    <row r="1771" spans="2:9" x14ac:dyDescent="0.3">
      <c r="B1771" s="332"/>
      <c r="C1771" s="333"/>
      <c r="D1771" s="332"/>
      <c r="E1771" s="333"/>
      <c r="F1771" s="334"/>
      <c r="G1771" s="332"/>
      <c r="H1771" s="334"/>
      <c r="I1771" s="334"/>
    </row>
    <row r="1772" spans="2:9" x14ac:dyDescent="0.3">
      <c r="B1772" s="332"/>
      <c r="C1772" s="333"/>
      <c r="D1772" s="332"/>
      <c r="E1772" s="333"/>
      <c r="F1772" s="334"/>
      <c r="G1772" s="332"/>
      <c r="H1772" s="334"/>
      <c r="I1772" s="334"/>
    </row>
    <row r="1773" spans="2:9" x14ac:dyDescent="0.3">
      <c r="B1773" s="332"/>
      <c r="C1773" s="333"/>
      <c r="D1773" s="332"/>
      <c r="E1773" s="333"/>
      <c r="F1773" s="334"/>
      <c r="G1773" s="332"/>
      <c r="H1773" s="334" t="s">
        <v>628</v>
      </c>
      <c r="I1773" s="334">
        <f>SUM(H1769:H1772)</f>
        <v>48990</v>
      </c>
    </row>
    <row r="1774" spans="2:9" x14ac:dyDescent="0.3">
      <c r="B1774" s="332" t="s">
        <v>632</v>
      </c>
      <c r="C1774" s="333"/>
      <c r="D1774" s="332"/>
      <c r="E1774" s="333" t="s">
        <v>624</v>
      </c>
      <c r="F1774" s="334" t="s">
        <v>633</v>
      </c>
      <c r="G1774" s="332" t="s">
        <v>634</v>
      </c>
      <c r="H1774" s="334" t="s">
        <v>627</v>
      </c>
      <c r="I1774" s="334"/>
    </row>
    <row r="1775" spans="2:9" x14ac:dyDescent="0.3">
      <c r="B1775" s="332"/>
      <c r="C1775" s="333"/>
      <c r="D1775" s="332"/>
      <c r="E1775" s="332"/>
      <c r="F1775" s="332"/>
      <c r="G1775" s="332"/>
      <c r="H1775" s="332"/>
      <c r="I1775" s="332"/>
    </row>
    <row r="1776" spans="2:9" x14ac:dyDescent="0.3">
      <c r="B1776" s="332"/>
      <c r="C1776" s="333"/>
      <c r="D1776" s="332"/>
      <c r="E1776" s="333"/>
      <c r="F1776" s="336"/>
      <c r="G1776" s="334"/>
      <c r="H1776" s="334"/>
      <c r="I1776" s="334"/>
    </row>
    <row r="1777" spans="2:9" x14ac:dyDescent="0.3">
      <c r="B1777" s="332"/>
      <c r="C1777" s="333"/>
      <c r="D1777" s="332"/>
      <c r="E1777" s="333"/>
      <c r="F1777" s="334"/>
      <c r="G1777" s="332"/>
      <c r="H1777" s="334" t="s">
        <v>628</v>
      </c>
      <c r="I1777" s="334">
        <f>SUM(H1776)</f>
        <v>0</v>
      </c>
    </row>
    <row r="1778" spans="2:9" x14ac:dyDescent="0.3">
      <c r="B1778" s="332" t="s">
        <v>635</v>
      </c>
      <c r="C1778" s="333"/>
      <c r="D1778" s="332"/>
      <c r="E1778" s="333"/>
      <c r="F1778" s="334"/>
      <c r="G1778" s="332"/>
      <c r="H1778" s="334"/>
      <c r="I1778" s="334"/>
    </row>
    <row r="1779" spans="2:9" x14ac:dyDescent="0.3">
      <c r="B1779" s="332" t="s">
        <v>636</v>
      </c>
      <c r="C1779" s="333"/>
      <c r="D1779" s="332"/>
      <c r="E1779" s="333" t="s">
        <v>637</v>
      </c>
      <c r="F1779" s="334" t="s">
        <v>638</v>
      </c>
      <c r="G1779" s="332" t="s">
        <v>639</v>
      </c>
      <c r="H1779" s="334" t="s">
        <v>627</v>
      </c>
      <c r="I1779" s="334"/>
    </row>
    <row r="1780" spans="2:9" x14ac:dyDescent="0.3">
      <c r="B1780" s="332" t="s">
        <v>645</v>
      </c>
      <c r="C1780" s="333"/>
      <c r="D1780" s="332"/>
      <c r="E1780" s="337">
        <v>168000</v>
      </c>
      <c r="F1780" s="334">
        <v>1.8</v>
      </c>
      <c r="G1780" s="338">
        <v>9.5097330103203479</v>
      </c>
      <c r="H1780" s="334">
        <f>E1780*F1780/G1780</f>
        <v>31799.000000507192</v>
      </c>
      <c r="I1780" s="334"/>
    </row>
    <row r="1781" spans="2:9" x14ac:dyDescent="0.3">
      <c r="B1781" s="332"/>
      <c r="C1781" s="333"/>
      <c r="D1781" s="332"/>
      <c r="E1781" s="333"/>
      <c r="F1781" s="334"/>
      <c r="G1781" s="332"/>
      <c r="H1781" s="334" t="s">
        <v>628</v>
      </c>
      <c r="I1781" s="334">
        <f>H1780</f>
        <v>31799.000000507192</v>
      </c>
    </row>
    <row r="1782" spans="2:9" x14ac:dyDescent="0.3">
      <c r="B1782" s="332"/>
      <c r="C1782" s="333"/>
      <c r="D1782" s="332"/>
      <c r="E1782" s="333"/>
      <c r="F1782" s="334"/>
      <c r="G1782" s="332"/>
      <c r="H1782" s="330" t="s">
        <v>640</v>
      </c>
      <c r="I1782" s="330">
        <f>I1781+I1773+I1766+I1777</f>
        <v>86789.000000507192</v>
      </c>
    </row>
    <row r="1784" spans="2:9" ht="43.2" x14ac:dyDescent="0.3">
      <c r="B1784" s="339" t="s">
        <v>684</v>
      </c>
      <c r="C1784" s="339" t="s">
        <v>621</v>
      </c>
      <c r="D1784" s="341" t="s">
        <v>766</v>
      </c>
      <c r="E1784" s="339"/>
      <c r="F1784" s="340"/>
      <c r="G1784" s="340" t="s">
        <v>622</v>
      </c>
      <c r="H1784" s="340" t="s">
        <v>60</v>
      </c>
      <c r="I1784" s="340">
        <f>+ROUND(I1806,0)</f>
        <v>98545</v>
      </c>
    </row>
    <row r="1785" spans="2:9" x14ac:dyDescent="0.3">
      <c r="B1785" s="332" t="s">
        <v>623</v>
      </c>
      <c r="C1785" s="333"/>
      <c r="D1785" s="332"/>
      <c r="E1785" s="333"/>
      <c r="F1785" s="334"/>
      <c r="G1785" s="332"/>
      <c r="H1785" s="334"/>
      <c r="I1785" s="334"/>
    </row>
    <row r="1786" spans="2:9" x14ac:dyDescent="0.3">
      <c r="B1786" s="332" t="s">
        <v>271</v>
      </c>
      <c r="C1786" s="333"/>
      <c r="D1786" s="332"/>
      <c r="E1786" s="333" t="s">
        <v>624</v>
      </c>
      <c r="F1786" s="334" t="s">
        <v>625</v>
      </c>
      <c r="G1786" s="332" t="s">
        <v>626</v>
      </c>
      <c r="H1786" s="334" t="s">
        <v>627</v>
      </c>
      <c r="I1786" s="334"/>
    </row>
    <row r="1787" spans="2:9" x14ac:dyDescent="0.3">
      <c r="B1787" s="332" t="s">
        <v>642</v>
      </c>
      <c r="C1787" s="333"/>
      <c r="D1787" s="332"/>
      <c r="E1787" s="333" t="s">
        <v>644</v>
      </c>
      <c r="F1787" s="334">
        <v>1500</v>
      </c>
      <c r="G1787" s="335">
        <v>4</v>
      </c>
      <c r="H1787" s="334">
        <f>F1787*G1787</f>
        <v>6000</v>
      </c>
      <c r="I1787" s="334"/>
    </row>
    <row r="1788" spans="2:9" x14ac:dyDescent="0.3">
      <c r="B1788" s="332"/>
      <c r="C1788" s="333"/>
      <c r="D1788" s="332"/>
      <c r="E1788" s="333"/>
      <c r="F1788" s="334"/>
      <c r="G1788" s="335"/>
      <c r="H1788" s="334"/>
      <c r="I1788" s="334"/>
    </row>
    <row r="1789" spans="2:9" x14ac:dyDescent="0.3">
      <c r="B1789" s="332"/>
      <c r="C1789" s="333"/>
      <c r="D1789" s="332"/>
      <c r="E1789" s="333"/>
      <c r="F1789" s="334"/>
      <c r="G1789" s="335"/>
      <c r="H1789" s="334"/>
      <c r="I1789" s="334"/>
    </row>
    <row r="1790" spans="2:9" x14ac:dyDescent="0.3">
      <c r="B1790" s="332"/>
      <c r="C1790" s="333"/>
      <c r="D1790" s="332"/>
      <c r="E1790" s="333"/>
      <c r="F1790" s="334"/>
      <c r="G1790" s="332"/>
      <c r="H1790" s="334" t="s">
        <v>628</v>
      </c>
      <c r="I1790" s="334">
        <f>SUM(H1787:H1789)</f>
        <v>6000</v>
      </c>
    </row>
    <row r="1791" spans="2:9" x14ac:dyDescent="0.3">
      <c r="B1791" s="332" t="s">
        <v>629</v>
      </c>
      <c r="C1791" s="333"/>
      <c r="D1791" s="332"/>
      <c r="E1791" s="333"/>
      <c r="F1791" s="334"/>
      <c r="G1791" s="332"/>
      <c r="H1791" s="334"/>
      <c r="I1791" s="334"/>
    </row>
    <row r="1792" spans="2:9" x14ac:dyDescent="0.3">
      <c r="B1792" s="332" t="s">
        <v>271</v>
      </c>
      <c r="C1792" s="333"/>
      <c r="D1792" s="332"/>
      <c r="E1792" s="333" t="s">
        <v>624</v>
      </c>
      <c r="F1792" s="334" t="s">
        <v>630</v>
      </c>
      <c r="G1792" s="332" t="s">
        <v>631</v>
      </c>
      <c r="H1792" s="334" t="s">
        <v>627</v>
      </c>
      <c r="I1792" s="334"/>
    </row>
    <row r="1793" spans="2:9" ht="43.2" x14ac:dyDescent="0.3">
      <c r="B1793" s="356" t="s">
        <v>767</v>
      </c>
      <c r="C1793" s="333"/>
      <c r="D1793" s="332"/>
      <c r="E1793" s="357" t="s">
        <v>60</v>
      </c>
      <c r="F1793" s="344">
        <v>49900</v>
      </c>
      <c r="G1793" s="345">
        <v>1.1000000000000001</v>
      </c>
      <c r="H1793" s="344">
        <f>F1793*G1793</f>
        <v>54890.000000000007</v>
      </c>
      <c r="I1793" s="344"/>
    </row>
    <row r="1794" spans="2:9" x14ac:dyDescent="0.3">
      <c r="B1794" s="354" t="s">
        <v>765</v>
      </c>
      <c r="C1794" s="333"/>
      <c r="D1794" s="332"/>
      <c r="E1794" s="355" t="s">
        <v>159</v>
      </c>
      <c r="F1794" s="334">
        <v>2100</v>
      </c>
      <c r="G1794" s="332">
        <v>3</v>
      </c>
      <c r="H1794" s="334">
        <f>F1794*G1794</f>
        <v>6300</v>
      </c>
      <c r="I1794" s="334"/>
    </row>
    <row r="1795" spans="2:9" x14ac:dyDescent="0.3">
      <c r="B1795" s="332"/>
      <c r="C1795" s="333"/>
      <c r="D1795" s="332"/>
      <c r="E1795" s="333"/>
      <c r="F1795" s="334"/>
      <c r="G1795" s="332"/>
      <c r="H1795" s="334"/>
      <c r="I1795" s="334"/>
    </row>
    <row r="1796" spans="2:9" x14ac:dyDescent="0.3">
      <c r="B1796" s="332"/>
      <c r="C1796" s="333"/>
      <c r="D1796" s="332"/>
      <c r="E1796" s="333"/>
      <c r="F1796" s="334"/>
      <c r="G1796" s="332"/>
      <c r="H1796" s="334"/>
      <c r="I1796" s="334"/>
    </row>
    <row r="1797" spans="2:9" x14ac:dyDescent="0.3">
      <c r="B1797" s="332"/>
      <c r="C1797" s="333"/>
      <c r="D1797" s="332"/>
      <c r="E1797" s="333"/>
      <c r="F1797" s="334"/>
      <c r="G1797" s="332"/>
      <c r="H1797" s="334" t="s">
        <v>628</v>
      </c>
      <c r="I1797" s="334">
        <f>SUM(H1793:H1796)</f>
        <v>61190.000000000007</v>
      </c>
    </row>
    <row r="1798" spans="2:9" x14ac:dyDescent="0.3">
      <c r="B1798" s="332" t="s">
        <v>632</v>
      </c>
      <c r="C1798" s="333"/>
      <c r="D1798" s="332"/>
      <c r="E1798" s="333" t="s">
        <v>624</v>
      </c>
      <c r="F1798" s="334" t="s">
        <v>633</v>
      </c>
      <c r="G1798" s="332" t="s">
        <v>634</v>
      </c>
      <c r="H1798" s="334" t="s">
        <v>627</v>
      </c>
      <c r="I1798" s="334"/>
    </row>
    <row r="1799" spans="2:9" x14ac:dyDescent="0.3">
      <c r="B1799" s="332"/>
      <c r="C1799" s="333"/>
      <c r="D1799" s="332"/>
      <c r="E1799" s="332"/>
      <c r="F1799" s="332"/>
      <c r="G1799" s="332"/>
      <c r="H1799" s="332"/>
      <c r="I1799" s="332"/>
    </row>
    <row r="1800" spans="2:9" x14ac:dyDescent="0.3">
      <c r="B1800" s="332"/>
      <c r="C1800" s="333"/>
      <c r="D1800" s="332"/>
      <c r="E1800" s="333"/>
      <c r="F1800" s="336"/>
      <c r="G1800" s="334"/>
      <c r="H1800" s="334"/>
      <c r="I1800" s="334"/>
    </row>
    <row r="1801" spans="2:9" x14ac:dyDescent="0.3">
      <c r="B1801" s="332"/>
      <c r="C1801" s="333"/>
      <c r="D1801" s="332"/>
      <c r="E1801" s="333"/>
      <c r="F1801" s="334"/>
      <c r="G1801" s="332"/>
      <c r="H1801" s="334" t="s">
        <v>628</v>
      </c>
      <c r="I1801" s="334">
        <f>SUM(H1800)</f>
        <v>0</v>
      </c>
    </row>
    <row r="1802" spans="2:9" x14ac:dyDescent="0.3">
      <c r="B1802" s="332" t="s">
        <v>635</v>
      </c>
      <c r="C1802" s="333"/>
      <c r="D1802" s="332"/>
      <c r="E1802" s="333"/>
      <c r="F1802" s="334"/>
      <c r="G1802" s="332"/>
      <c r="H1802" s="334"/>
      <c r="I1802" s="334"/>
    </row>
    <row r="1803" spans="2:9" x14ac:dyDescent="0.3">
      <c r="B1803" s="332" t="s">
        <v>636</v>
      </c>
      <c r="C1803" s="333"/>
      <c r="D1803" s="332"/>
      <c r="E1803" s="333" t="s">
        <v>637</v>
      </c>
      <c r="F1803" s="334" t="s">
        <v>638</v>
      </c>
      <c r="G1803" s="332" t="s">
        <v>639</v>
      </c>
      <c r="H1803" s="334" t="s">
        <v>627</v>
      </c>
      <c r="I1803" s="334"/>
    </row>
    <row r="1804" spans="2:9" x14ac:dyDescent="0.3">
      <c r="B1804" s="332" t="s">
        <v>645</v>
      </c>
      <c r="C1804" s="333"/>
      <c r="D1804" s="332"/>
      <c r="E1804" s="337">
        <v>168000</v>
      </c>
      <c r="F1804" s="334">
        <v>1.8</v>
      </c>
      <c r="G1804" s="338">
        <v>9.6443950774471539</v>
      </c>
      <c r="H1804" s="334">
        <f>E1804*F1804/G1804</f>
        <v>31354.999206445253</v>
      </c>
      <c r="I1804" s="334"/>
    </row>
    <row r="1805" spans="2:9" x14ac:dyDescent="0.3">
      <c r="B1805" s="332"/>
      <c r="C1805" s="333"/>
      <c r="D1805" s="332"/>
      <c r="E1805" s="333"/>
      <c r="F1805" s="334"/>
      <c r="G1805" s="332"/>
      <c r="H1805" s="334" t="s">
        <v>628</v>
      </c>
      <c r="I1805" s="334">
        <f>H1804</f>
        <v>31354.999206445253</v>
      </c>
    </row>
    <row r="1806" spans="2:9" x14ac:dyDescent="0.3">
      <c r="B1806" s="332"/>
      <c r="C1806" s="333"/>
      <c r="D1806" s="332"/>
      <c r="E1806" s="333"/>
      <c r="F1806" s="334"/>
      <c r="G1806" s="332"/>
      <c r="H1806" s="330" t="s">
        <v>640</v>
      </c>
      <c r="I1806" s="330">
        <f>I1805+I1797+I1790+I1801</f>
        <v>98544.999206445267</v>
      </c>
    </row>
    <row r="1808" spans="2:9" ht="43.2" x14ac:dyDescent="0.3">
      <c r="B1808" s="339" t="s">
        <v>681</v>
      </c>
      <c r="C1808" s="339" t="s">
        <v>621</v>
      </c>
      <c r="D1808" s="341" t="s">
        <v>766</v>
      </c>
      <c r="E1808" s="339"/>
      <c r="F1808" s="340"/>
      <c r="G1808" s="340" t="s">
        <v>622</v>
      </c>
      <c r="H1808" s="340" t="s">
        <v>60</v>
      </c>
      <c r="I1808" s="340">
        <f>+ROUND(I1830,0)</f>
        <v>98545</v>
      </c>
    </row>
    <row r="1809" spans="2:9" x14ac:dyDescent="0.3">
      <c r="B1809" s="332" t="s">
        <v>623</v>
      </c>
      <c r="C1809" s="333"/>
      <c r="D1809" s="332"/>
      <c r="E1809" s="333"/>
      <c r="F1809" s="334"/>
      <c r="G1809" s="332"/>
      <c r="H1809" s="334"/>
      <c r="I1809" s="334"/>
    </row>
    <row r="1810" spans="2:9" x14ac:dyDescent="0.3">
      <c r="B1810" s="332" t="s">
        <v>271</v>
      </c>
      <c r="C1810" s="333"/>
      <c r="D1810" s="332"/>
      <c r="E1810" s="333" t="s">
        <v>624</v>
      </c>
      <c r="F1810" s="334" t="s">
        <v>625</v>
      </c>
      <c r="G1810" s="332" t="s">
        <v>626</v>
      </c>
      <c r="H1810" s="334" t="s">
        <v>627</v>
      </c>
      <c r="I1810" s="334"/>
    </row>
    <row r="1811" spans="2:9" x14ac:dyDescent="0.3">
      <c r="B1811" s="332" t="s">
        <v>642</v>
      </c>
      <c r="C1811" s="333"/>
      <c r="D1811" s="332"/>
      <c r="E1811" s="333" t="s">
        <v>644</v>
      </c>
      <c r="F1811" s="334">
        <v>1500</v>
      </c>
      <c r="G1811" s="335">
        <v>4</v>
      </c>
      <c r="H1811" s="334">
        <f>F1811*G1811</f>
        <v>6000</v>
      </c>
      <c r="I1811" s="334"/>
    </row>
    <row r="1812" spans="2:9" x14ac:dyDescent="0.3">
      <c r="B1812" s="332"/>
      <c r="C1812" s="333"/>
      <c r="D1812" s="332"/>
      <c r="E1812" s="333"/>
      <c r="F1812" s="334"/>
      <c r="G1812" s="335"/>
      <c r="H1812" s="334"/>
      <c r="I1812" s="334"/>
    </row>
    <row r="1813" spans="2:9" x14ac:dyDescent="0.3">
      <c r="B1813" s="332"/>
      <c r="C1813" s="333"/>
      <c r="D1813" s="332"/>
      <c r="E1813" s="333"/>
      <c r="F1813" s="334"/>
      <c r="G1813" s="335"/>
      <c r="H1813" s="334"/>
      <c r="I1813" s="334"/>
    </row>
    <row r="1814" spans="2:9" x14ac:dyDescent="0.3">
      <c r="B1814" s="332"/>
      <c r="C1814" s="333"/>
      <c r="D1814" s="332"/>
      <c r="E1814" s="333"/>
      <c r="F1814" s="334"/>
      <c r="G1814" s="332"/>
      <c r="H1814" s="334" t="s">
        <v>628</v>
      </c>
      <c r="I1814" s="334">
        <f>SUM(H1811:H1813)</f>
        <v>6000</v>
      </c>
    </row>
    <row r="1815" spans="2:9" x14ac:dyDescent="0.3">
      <c r="B1815" s="332" t="s">
        <v>629</v>
      </c>
      <c r="C1815" s="333"/>
      <c r="D1815" s="332"/>
      <c r="E1815" s="333"/>
      <c r="F1815" s="334"/>
      <c r="G1815" s="332"/>
      <c r="H1815" s="334"/>
      <c r="I1815" s="334"/>
    </row>
    <row r="1816" spans="2:9" x14ac:dyDescent="0.3">
      <c r="B1816" s="332" t="s">
        <v>271</v>
      </c>
      <c r="C1816" s="333"/>
      <c r="D1816" s="332"/>
      <c r="E1816" s="333" t="s">
        <v>624</v>
      </c>
      <c r="F1816" s="334" t="s">
        <v>630</v>
      </c>
      <c r="G1816" s="332" t="s">
        <v>631</v>
      </c>
      <c r="H1816" s="334" t="s">
        <v>627</v>
      </c>
      <c r="I1816" s="334"/>
    </row>
    <row r="1817" spans="2:9" ht="43.2" x14ac:dyDescent="0.3">
      <c r="B1817" s="356" t="s">
        <v>767</v>
      </c>
      <c r="C1817" s="333"/>
      <c r="D1817" s="332"/>
      <c r="E1817" s="357" t="s">
        <v>60</v>
      </c>
      <c r="F1817" s="344">
        <v>49900</v>
      </c>
      <c r="G1817" s="345">
        <v>1.1000000000000001</v>
      </c>
      <c r="H1817" s="344">
        <f>F1817*G1817</f>
        <v>54890.000000000007</v>
      </c>
      <c r="I1817" s="344"/>
    </row>
    <row r="1818" spans="2:9" x14ac:dyDescent="0.3">
      <c r="B1818" s="354" t="s">
        <v>765</v>
      </c>
      <c r="C1818" s="333"/>
      <c r="D1818" s="332"/>
      <c r="E1818" s="355" t="s">
        <v>159</v>
      </c>
      <c r="F1818" s="334">
        <v>2100</v>
      </c>
      <c r="G1818" s="332">
        <v>3</v>
      </c>
      <c r="H1818" s="334">
        <f>F1818*G1818</f>
        <v>6300</v>
      </c>
      <c r="I1818" s="334"/>
    </row>
    <row r="1819" spans="2:9" x14ac:dyDescent="0.3">
      <c r="B1819" s="332"/>
      <c r="C1819" s="333"/>
      <c r="D1819" s="332"/>
      <c r="E1819" s="333"/>
      <c r="F1819" s="334"/>
      <c r="G1819" s="332"/>
      <c r="H1819" s="334"/>
      <c r="I1819" s="334"/>
    </row>
    <row r="1820" spans="2:9" x14ac:dyDescent="0.3">
      <c r="B1820" s="332"/>
      <c r="C1820" s="333"/>
      <c r="D1820" s="332"/>
      <c r="E1820" s="333"/>
      <c r="F1820" s="334"/>
      <c r="G1820" s="332"/>
      <c r="H1820" s="334"/>
      <c r="I1820" s="334"/>
    </row>
    <row r="1821" spans="2:9" x14ac:dyDescent="0.3">
      <c r="B1821" s="332"/>
      <c r="C1821" s="333"/>
      <c r="D1821" s="332"/>
      <c r="E1821" s="333"/>
      <c r="F1821" s="334"/>
      <c r="G1821" s="332"/>
      <c r="H1821" s="334" t="s">
        <v>628</v>
      </c>
      <c r="I1821" s="334">
        <f>SUM(H1817:H1820)</f>
        <v>61190.000000000007</v>
      </c>
    </row>
    <row r="1822" spans="2:9" x14ac:dyDescent="0.3">
      <c r="B1822" s="332" t="s">
        <v>632</v>
      </c>
      <c r="C1822" s="333"/>
      <c r="D1822" s="332"/>
      <c r="E1822" s="333" t="s">
        <v>624</v>
      </c>
      <c r="F1822" s="334" t="s">
        <v>633</v>
      </c>
      <c r="G1822" s="332" t="s">
        <v>634</v>
      </c>
      <c r="H1822" s="334" t="s">
        <v>627</v>
      </c>
      <c r="I1822" s="334"/>
    </row>
    <row r="1823" spans="2:9" x14ac:dyDescent="0.3">
      <c r="B1823" s="332"/>
      <c r="C1823" s="333"/>
      <c r="D1823" s="332"/>
      <c r="E1823" s="332"/>
      <c r="F1823" s="332"/>
      <c r="G1823" s="332"/>
      <c r="H1823" s="332"/>
      <c r="I1823" s="332"/>
    </row>
    <row r="1824" spans="2:9" x14ac:dyDescent="0.3">
      <c r="B1824" s="332"/>
      <c r="C1824" s="333"/>
      <c r="D1824" s="332"/>
      <c r="E1824" s="333"/>
      <c r="F1824" s="336"/>
      <c r="G1824" s="334"/>
      <c r="H1824" s="334"/>
      <c r="I1824" s="334"/>
    </row>
    <row r="1825" spans="2:9" x14ac:dyDescent="0.3">
      <c r="B1825" s="332"/>
      <c r="C1825" s="333"/>
      <c r="D1825" s="332"/>
      <c r="E1825" s="333"/>
      <c r="F1825" s="334"/>
      <c r="G1825" s="332"/>
      <c r="H1825" s="334" t="s">
        <v>628</v>
      </c>
      <c r="I1825" s="334">
        <f>SUM(H1824)</f>
        <v>0</v>
      </c>
    </row>
    <row r="1826" spans="2:9" x14ac:dyDescent="0.3">
      <c r="B1826" s="332" t="s">
        <v>635</v>
      </c>
      <c r="C1826" s="333"/>
      <c r="D1826" s="332"/>
      <c r="E1826" s="333"/>
      <c r="F1826" s="334"/>
      <c r="G1826" s="332"/>
      <c r="H1826" s="334"/>
      <c r="I1826" s="334"/>
    </row>
    <row r="1827" spans="2:9" x14ac:dyDescent="0.3">
      <c r="B1827" s="332" t="s">
        <v>636</v>
      </c>
      <c r="C1827" s="333"/>
      <c r="D1827" s="332"/>
      <c r="E1827" s="333" t="s">
        <v>637</v>
      </c>
      <c r="F1827" s="334" t="s">
        <v>638</v>
      </c>
      <c r="G1827" s="332" t="s">
        <v>639</v>
      </c>
      <c r="H1827" s="334" t="s">
        <v>627</v>
      </c>
      <c r="I1827" s="334"/>
    </row>
    <row r="1828" spans="2:9" x14ac:dyDescent="0.3">
      <c r="B1828" s="332" t="s">
        <v>645</v>
      </c>
      <c r="C1828" s="333"/>
      <c r="D1828" s="332"/>
      <c r="E1828" s="337">
        <v>168000</v>
      </c>
      <c r="F1828" s="334">
        <v>1.8</v>
      </c>
      <c r="G1828" s="338">
        <v>9.6443950774471539</v>
      </c>
      <c r="H1828" s="334">
        <f>E1828*F1828/G1828</f>
        <v>31354.999206445253</v>
      </c>
      <c r="I1828" s="334"/>
    </row>
    <row r="1829" spans="2:9" x14ac:dyDescent="0.3">
      <c r="B1829" s="332"/>
      <c r="C1829" s="333"/>
      <c r="D1829" s="332"/>
      <c r="E1829" s="333"/>
      <c r="F1829" s="334"/>
      <c r="G1829" s="332"/>
      <c r="H1829" s="334" t="s">
        <v>628</v>
      </c>
      <c r="I1829" s="334">
        <f>H1828</f>
        <v>31354.999206445253</v>
      </c>
    </row>
    <row r="1830" spans="2:9" x14ac:dyDescent="0.3">
      <c r="B1830" s="332"/>
      <c r="C1830" s="333"/>
      <c r="D1830" s="332"/>
      <c r="E1830" s="333"/>
      <c r="F1830" s="334"/>
      <c r="G1830" s="332"/>
      <c r="H1830" s="330" t="s">
        <v>640</v>
      </c>
      <c r="I1830" s="330">
        <f>I1829+I1821+I1814+I1825</f>
        <v>98544.999206445267</v>
      </c>
    </row>
    <row r="1832" spans="2:9" ht="72" x14ac:dyDescent="0.3">
      <c r="B1832" s="339" t="s">
        <v>686</v>
      </c>
      <c r="C1832" s="339" t="s">
        <v>621</v>
      </c>
      <c r="D1832" s="341" t="s">
        <v>531</v>
      </c>
      <c r="E1832" s="339"/>
      <c r="F1832" s="340"/>
      <c r="G1832" s="340" t="s">
        <v>622</v>
      </c>
      <c r="H1832" s="340" t="s">
        <v>60</v>
      </c>
      <c r="I1832" s="340">
        <f>+ROUND(I1854,0)</f>
        <v>9500</v>
      </c>
    </row>
    <row r="1833" spans="2:9" x14ac:dyDescent="0.3">
      <c r="B1833" s="332" t="s">
        <v>623</v>
      </c>
      <c r="C1833" s="333"/>
      <c r="D1833" s="332"/>
      <c r="E1833" s="333"/>
      <c r="F1833" s="334"/>
      <c r="G1833" s="332"/>
      <c r="H1833" s="334"/>
      <c r="I1833" s="334"/>
    </row>
    <row r="1834" spans="2:9" x14ac:dyDescent="0.3">
      <c r="B1834" s="332" t="s">
        <v>271</v>
      </c>
      <c r="C1834" s="333"/>
      <c r="D1834" s="332"/>
      <c r="E1834" s="333" t="s">
        <v>624</v>
      </c>
      <c r="F1834" s="334" t="s">
        <v>625</v>
      </c>
      <c r="G1834" s="332" t="s">
        <v>626</v>
      </c>
      <c r="H1834" s="334" t="s">
        <v>627</v>
      </c>
      <c r="I1834" s="334"/>
    </row>
    <row r="1835" spans="2:9" x14ac:dyDescent="0.3">
      <c r="B1835" s="332" t="s">
        <v>642</v>
      </c>
      <c r="C1835" s="333"/>
      <c r="D1835" s="332"/>
      <c r="E1835" s="333" t="s">
        <v>644</v>
      </c>
      <c r="F1835" s="334">
        <v>1500</v>
      </c>
      <c r="G1835" s="335">
        <v>1</v>
      </c>
      <c r="H1835" s="334">
        <f>F1835*G1835</f>
        <v>1500</v>
      </c>
      <c r="I1835" s="334"/>
    </row>
    <row r="1836" spans="2:9" x14ac:dyDescent="0.3">
      <c r="B1836" s="332"/>
      <c r="C1836" s="333"/>
      <c r="D1836" s="332"/>
      <c r="E1836" s="333"/>
      <c r="F1836" s="334"/>
      <c r="G1836" s="335"/>
      <c r="H1836" s="334"/>
      <c r="I1836" s="334"/>
    </row>
    <row r="1837" spans="2:9" x14ac:dyDescent="0.3">
      <c r="B1837" s="332"/>
      <c r="C1837" s="333"/>
      <c r="D1837" s="332"/>
      <c r="E1837" s="333"/>
      <c r="F1837" s="334"/>
      <c r="G1837" s="335"/>
      <c r="H1837" s="334"/>
      <c r="I1837" s="334"/>
    </row>
    <row r="1838" spans="2:9" x14ac:dyDescent="0.3">
      <c r="B1838" s="332"/>
      <c r="C1838" s="333"/>
      <c r="D1838" s="332"/>
      <c r="E1838" s="333"/>
      <c r="F1838" s="334"/>
      <c r="G1838" s="332"/>
      <c r="H1838" s="334" t="s">
        <v>628</v>
      </c>
      <c r="I1838" s="334">
        <f>SUM(H1835:H1837)</f>
        <v>1500</v>
      </c>
    </row>
    <row r="1839" spans="2:9" x14ac:dyDescent="0.3">
      <c r="B1839" s="332" t="s">
        <v>629</v>
      </c>
      <c r="C1839" s="333"/>
      <c r="D1839" s="332"/>
      <c r="E1839" s="333"/>
      <c r="F1839" s="334"/>
      <c r="G1839" s="332"/>
      <c r="H1839" s="334"/>
      <c r="I1839" s="334"/>
    </row>
    <row r="1840" spans="2:9" x14ac:dyDescent="0.3">
      <c r="B1840" s="332" t="s">
        <v>271</v>
      </c>
      <c r="C1840" s="333"/>
      <c r="D1840" s="332"/>
      <c r="E1840" s="333" t="s">
        <v>624</v>
      </c>
      <c r="F1840" s="334" t="s">
        <v>630</v>
      </c>
      <c r="G1840" s="332" t="s">
        <v>631</v>
      </c>
      <c r="H1840" s="334" t="s">
        <v>627</v>
      </c>
      <c r="I1840" s="334"/>
    </row>
    <row r="1841" spans="2:9" x14ac:dyDescent="0.3">
      <c r="B1841" s="342" t="s">
        <v>675</v>
      </c>
      <c r="C1841" s="333"/>
      <c r="D1841" s="332"/>
      <c r="E1841" s="343" t="s">
        <v>102</v>
      </c>
      <c r="F1841" s="344">
        <v>78600</v>
      </c>
      <c r="G1841" s="345">
        <v>0.03</v>
      </c>
      <c r="H1841" s="344">
        <f>F1841*G1841</f>
        <v>2358</v>
      </c>
      <c r="I1841" s="344"/>
    </row>
    <row r="1842" spans="2:9" x14ac:dyDescent="0.3">
      <c r="B1842" s="332" t="s">
        <v>678</v>
      </c>
      <c r="C1842" s="333"/>
      <c r="D1842" s="332"/>
      <c r="E1842" s="333" t="s">
        <v>677</v>
      </c>
      <c r="F1842" s="334">
        <v>66599</v>
      </c>
      <c r="G1842" s="332">
        <v>0.05</v>
      </c>
      <c r="H1842" s="334">
        <f>F1842*G1842</f>
        <v>3329.9500000000003</v>
      </c>
      <c r="I1842" s="334"/>
    </row>
    <row r="1843" spans="2:9" x14ac:dyDescent="0.3">
      <c r="B1843" s="332" t="s">
        <v>676</v>
      </c>
      <c r="C1843" s="333"/>
      <c r="D1843" s="332"/>
      <c r="E1843" s="333" t="s">
        <v>33</v>
      </c>
      <c r="F1843" s="334">
        <v>2604</v>
      </c>
      <c r="G1843" s="332">
        <v>0.03</v>
      </c>
      <c r="H1843" s="334">
        <f>F1843*G1843</f>
        <v>78.11999999999999</v>
      </c>
      <c r="I1843" s="334"/>
    </row>
    <row r="1844" spans="2:9" x14ac:dyDescent="0.3">
      <c r="B1844" s="332"/>
      <c r="C1844" s="333"/>
      <c r="D1844" s="332"/>
      <c r="E1844" s="333"/>
      <c r="F1844" s="334"/>
      <c r="G1844" s="332"/>
      <c r="H1844" s="334"/>
      <c r="I1844" s="334"/>
    </row>
    <row r="1845" spans="2:9" x14ac:dyDescent="0.3">
      <c r="B1845" s="332"/>
      <c r="C1845" s="333"/>
      <c r="D1845" s="332"/>
      <c r="E1845" s="333"/>
      <c r="F1845" s="334"/>
      <c r="G1845" s="332"/>
      <c r="H1845" s="334" t="s">
        <v>628</v>
      </c>
      <c r="I1845" s="334">
        <f>SUM(H1841:H1844)</f>
        <v>5766.0700000000006</v>
      </c>
    </row>
    <row r="1846" spans="2:9" x14ac:dyDescent="0.3">
      <c r="B1846" s="332" t="s">
        <v>632</v>
      </c>
      <c r="C1846" s="333"/>
      <c r="D1846" s="332"/>
      <c r="E1846" s="333" t="s">
        <v>624</v>
      </c>
      <c r="F1846" s="334" t="s">
        <v>633</v>
      </c>
      <c r="G1846" s="332" t="s">
        <v>634</v>
      </c>
      <c r="H1846" s="334" t="s">
        <v>627</v>
      </c>
      <c r="I1846" s="334"/>
    </row>
    <row r="1847" spans="2:9" x14ac:dyDescent="0.3">
      <c r="B1847" s="332"/>
      <c r="C1847" s="333"/>
      <c r="D1847" s="332"/>
      <c r="E1847" s="332"/>
      <c r="F1847" s="332"/>
      <c r="G1847" s="332"/>
      <c r="H1847" s="332"/>
      <c r="I1847" s="332"/>
    </row>
    <row r="1848" spans="2:9" x14ac:dyDescent="0.3">
      <c r="B1848" s="332"/>
      <c r="C1848" s="333"/>
      <c r="D1848" s="332"/>
      <c r="E1848" s="333"/>
      <c r="F1848" s="336"/>
      <c r="G1848" s="334"/>
      <c r="H1848" s="334"/>
      <c r="I1848" s="334"/>
    </row>
    <row r="1849" spans="2:9" x14ac:dyDescent="0.3">
      <c r="B1849" s="332"/>
      <c r="C1849" s="333"/>
      <c r="D1849" s="332"/>
      <c r="E1849" s="333"/>
      <c r="F1849" s="334"/>
      <c r="G1849" s="332"/>
      <c r="H1849" s="334" t="s">
        <v>628</v>
      </c>
      <c r="I1849" s="334">
        <f>SUM(H1848)</f>
        <v>0</v>
      </c>
    </row>
    <row r="1850" spans="2:9" x14ac:dyDescent="0.3">
      <c r="B1850" s="332" t="s">
        <v>635</v>
      </c>
      <c r="C1850" s="333"/>
      <c r="D1850" s="332"/>
      <c r="E1850" s="333"/>
      <c r="F1850" s="334"/>
      <c r="G1850" s="332"/>
      <c r="H1850" s="334"/>
      <c r="I1850" s="334"/>
    </row>
    <row r="1851" spans="2:9" x14ac:dyDescent="0.3">
      <c r="B1851" s="332" t="s">
        <v>636</v>
      </c>
      <c r="C1851" s="333"/>
      <c r="D1851" s="332"/>
      <c r="E1851" s="333" t="s">
        <v>637</v>
      </c>
      <c r="F1851" s="334" t="s">
        <v>638</v>
      </c>
      <c r="G1851" s="332" t="s">
        <v>639</v>
      </c>
      <c r="H1851" s="334" t="s">
        <v>627</v>
      </c>
      <c r="I1851" s="334"/>
    </row>
    <row r="1852" spans="2:9" x14ac:dyDescent="0.3">
      <c r="B1852" s="332" t="s">
        <v>645</v>
      </c>
      <c r="C1852" s="333"/>
      <c r="D1852" s="332"/>
      <c r="E1852" s="337">
        <v>168000</v>
      </c>
      <c r="F1852" s="334">
        <v>1.8</v>
      </c>
      <c r="G1852" s="338">
        <v>135.36682010797767</v>
      </c>
      <c r="H1852" s="334">
        <f>E1852*F1852/G1852</f>
        <v>2233.9299967213933</v>
      </c>
      <c r="I1852" s="334"/>
    </row>
    <row r="1853" spans="2:9" x14ac:dyDescent="0.3">
      <c r="B1853" s="332"/>
      <c r="C1853" s="333"/>
      <c r="D1853" s="332"/>
      <c r="E1853" s="333"/>
      <c r="F1853" s="334"/>
      <c r="G1853" s="332"/>
      <c r="H1853" s="334" t="s">
        <v>628</v>
      </c>
      <c r="I1853" s="334">
        <f>H1852</f>
        <v>2233.9299967213933</v>
      </c>
    </row>
    <row r="1854" spans="2:9" x14ac:dyDescent="0.3">
      <c r="B1854" s="332"/>
      <c r="C1854" s="333"/>
      <c r="D1854" s="332"/>
      <c r="E1854" s="333"/>
      <c r="F1854" s="334"/>
      <c r="G1854" s="332"/>
      <c r="H1854" s="330" t="s">
        <v>640</v>
      </c>
      <c r="I1854" s="330">
        <f>I1853+I1845+I1838+I1849</f>
        <v>9499.9999967213935</v>
      </c>
    </row>
    <row r="1856" spans="2:9" ht="57.6" x14ac:dyDescent="0.3">
      <c r="B1856" s="339" t="s">
        <v>687</v>
      </c>
      <c r="C1856" s="339" t="s">
        <v>621</v>
      </c>
      <c r="D1856" s="341" t="s">
        <v>501</v>
      </c>
      <c r="E1856" s="339"/>
      <c r="F1856" s="340"/>
      <c r="G1856" s="340" t="s">
        <v>622</v>
      </c>
      <c r="H1856" s="340" t="s">
        <v>60</v>
      </c>
      <c r="I1856" s="340">
        <f>+ROUND(I1878,0)</f>
        <v>13974</v>
      </c>
    </row>
    <row r="1857" spans="2:9" x14ac:dyDescent="0.3">
      <c r="B1857" s="332" t="s">
        <v>623</v>
      </c>
      <c r="C1857" s="333"/>
      <c r="D1857" s="332"/>
      <c r="E1857" s="333"/>
      <c r="F1857" s="334"/>
      <c r="G1857" s="332"/>
      <c r="H1857" s="334"/>
      <c r="I1857" s="334"/>
    </row>
    <row r="1858" spans="2:9" x14ac:dyDescent="0.3">
      <c r="B1858" s="332" t="s">
        <v>271</v>
      </c>
      <c r="C1858" s="333"/>
      <c r="D1858" s="332"/>
      <c r="E1858" s="333" t="s">
        <v>624</v>
      </c>
      <c r="F1858" s="334" t="s">
        <v>625</v>
      </c>
      <c r="G1858" s="332" t="s">
        <v>626</v>
      </c>
      <c r="H1858" s="334" t="s">
        <v>627</v>
      </c>
      <c r="I1858" s="334"/>
    </row>
    <row r="1859" spans="2:9" x14ac:dyDescent="0.3">
      <c r="B1859" s="332" t="s">
        <v>642</v>
      </c>
      <c r="C1859" s="333"/>
      <c r="D1859" s="332"/>
      <c r="E1859" s="333" t="s">
        <v>644</v>
      </c>
      <c r="F1859" s="334">
        <v>1500</v>
      </c>
      <c r="G1859" s="335">
        <v>1</v>
      </c>
      <c r="H1859" s="334">
        <f>F1859*G1859</f>
        <v>1500</v>
      </c>
      <c r="I1859" s="334"/>
    </row>
    <row r="1860" spans="2:9" x14ac:dyDescent="0.3">
      <c r="B1860" s="332"/>
      <c r="C1860" s="333"/>
      <c r="D1860" s="332"/>
      <c r="E1860" s="333"/>
      <c r="F1860" s="334"/>
      <c r="G1860" s="335"/>
      <c r="H1860" s="334"/>
      <c r="I1860" s="334"/>
    </row>
    <row r="1861" spans="2:9" x14ac:dyDescent="0.3">
      <c r="B1861" s="332"/>
      <c r="C1861" s="333"/>
      <c r="D1861" s="332"/>
      <c r="E1861" s="333"/>
      <c r="F1861" s="334"/>
      <c r="G1861" s="335"/>
      <c r="H1861" s="334"/>
      <c r="I1861" s="334"/>
    </row>
    <row r="1862" spans="2:9" x14ac:dyDescent="0.3">
      <c r="B1862" s="332"/>
      <c r="C1862" s="333"/>
      <c r="D1862" s="332"/>
      <c r="E1862" s="333"/>
      <c r="F1862" s="334"/>
      <c r="G1862" s="332"/>
      <c r="H1862" s="334" t="s">
        <v>628</v>
      </c>
      <c r="I1862" s="334">
        <f>SUM(H1859:H1861)</f>
        <v>1500</v>
      </c>
    </row>
    <row r="1863" spans="2:9" x14ac:dyDescent="0.3">
      <c r="B1863" s="332" t="s">
        <v>629</v>
      </c>
      <c r="C1863" s="333"/>
      <c r="D1863" s="332"/>
      <c r="E1863" s="333"/>
      <c r="F1863" s="334"/>
      <c r="G1863" s="332"/>
      <c r="H1863" s="334"/>
      <c r="I1863" s="334"/>
    </row>
    <row r="1864" spans="2:9" x14ac:dyDescent="0.3">
      <c r="B1864" s="332" t="s">
        <v>271</v>
      </c>
      <c r="C1864" s="333"/>
      <c r="D1864" s="332"/>
      <c r="E1864" s="333" t="s">
        <v>624</v>
      </c>
      <c r="F1864" s="334" t="s">
        <v>630</v>
      </c>
      <c r="G1864" s="332" t="s">
        <v>631</v>
      </c>
      <c r="H1864" s="334" t="s">
        <v>627</v>
      </c>
      <c r="I1864" s="334"/>
    </row>
    <row r="1865" spans="2:9" x14ac:dyDescent="0.3">
      <c r="B1865" s="342" t="s">
        <v>675</v>
      </c>
      <c r="C1865" s="333"/>
      <c r="D1865" s="332"/>
      <c r="E1865" s="343" t="s">
        <v>102</v>
      </c>
      <c r="F1865" s="344">
        <v>97380</v>
      </c>
      <c r="G1865" s="345">
        <v>0.04</v>
      </c>
      <c r="H1865" s="344">
        <f>F1865*G1865</f>
        <v>3895.2000000000003</v>
      </c>
      <c r="I1865" s="344"/>
    </row>
    <row r="1866" spans="2:9" x14ac:dyDescent="0.3">
      <c r="B1866" s="332" t="s">
        <v>680</v>
      </c>
      <c r="C1866" s="333"/>
      <c r="D1866" s="332"/>
      <c r="E1866" s="333" t="s">
        <v>677</v>
      </c>
      <c r="F1866" s="334">
        <v>66599</v>
      </c>
      <c r="G1866" s="332">
        <v>0.05</v>
      </c>
      <c r="H1866" s="334">
        <f>F1866*G1866</f>
        <v>3329.9500000000003</v>
      </c>
      <c r="I1866" s="334"/>
    </row>
    <row r="1867" spans="2:9" x14ac:dyDescent="0.3">
      <c r="B1867" s="332" t="s">
        <v>676</v>
      </c>
      <c r="C1867" s="333"/>
      <c r="D1867" s="332"/>
      <c r="E1867" s="333" t="s">
        <v>33</v>
      </c>
      <c r="F1867" s="334">
        <v>2604</v>
      </c>
      <c r="G1867" s="332">
        <v>0.04</v>
      </c>
      <c r="H1867" s="334">
        <f>F1867*G1867</f>
        <v>104.16</v>
      </c>
      <c r="I1867" s="334"/>
    </row>
    <row r="1868" spans="2:9" x14ac:dyDescent="0.3">
      <c r="B1868" s="332"/>
      <c r="C1868" s="333"/>
      <c r="D1868" s="332"/>
      <c r="E1868" s="333"/>
      <c r="F1868" s="334"/>
      <c r="G1868" s="332"/>
      <c r="H1868" s="334"/>
      <c r="I1868" s="334"/>
    </row>
    <row r="1869" spans="2:9" x14ac:dyDescent="0.3">
      <c r="B1869" s="332"/>
      <c r="C1869" s="333"/>
      <c r="D1869" s="332"/>
      <c r="E1869" s="333"/>
      <c r="F1869" s="334"/>
      <c r="G1869" s="332"/>
      <c r="H1869" s="334" t="s">
        <v>628</v>
      </c>
      <c r="I1869" s="334">
        <f>SUM(H1865:H1868)</f>
        <v>7329.31</v>
      </c>
    </row>
    <row r="1870" spans="2:9" x14ac:dyDescent="0.3">
      <c r="B1870" s="332" t="s">
        <v>632</v>
      </c>
      <c r="C1870" s="333"/>
      <c r="D1870" s="332"/>
      <c r="E1870" s="333" t="s">
        <v>624</v>
      </c>
      <c r="F1870" s="334" t="s">
        <v>633</v>
      </c>
      <c r="G1870" s="332" t="s">
        <v>634</v>
      </c>
      <c r="H1870" s="334" t="s">
        <v>627</v>
      </c>
      <c r="I1870" s="334"/>
    </row>
    <row r="1871" spans="2:9" x14ac:dyDescent="0.3">
      <c r="B1871" s="332"/>
      <c r="C1871" s="333"/>
      <c r="D1871" s="332"/>
      <c r="E1871" s="332"/>
      <c r="F1871" s="332"/>
      <c r="G1871" s="332"/>
      <c r="H1871" s="332"/>
      <c r="I1871" s="332"/>
    </row>
    <row r="1872" spans="2:9" x14ac:dyDescent="0.3">
      <c r="B1872" s="332"/>
      <c r="C1872" s="333"/>
      <c r="D1872" s="332"/>
      <c r="E1872" s="333"/>
      <c r="F1872" s="336"/>
      <c r="G1872" s="334"/>
      <c r="H1872" s="334"/>
      <c r="I1872" s="334"/>
    </row>
    <row r="1873" spans="2:9" x14ac:dyDescent="0.3">
      <c r="B1873" s="332"/>
      <c r="C1873" s="333"/>
      <c r="D1873" s="332"/>
      <c r="E1873" s="333"/>
      <c r="F1873" s="334"/>
      <c r="G1873" s="332"/>
      <c r="H1873" s="334" t="s">
        <v>628</v>
      </c>
      <c r="I1873" s="334">
        <f>SUM(H1872)</f>
        <v>0</v>
      </c>
    </row>
    <row r="1874" spans="2:9" x14ac:dyDescent="0.3">
      <c r="B1874" s="332" t="s">
        <v>635</v>
      </c>
      <c r="C1874" s="333"/>
      <c r="D1874" s="332"/>
      <c r="E1874" s="333"/>
      <c r="F1874" s="334"/>
      <c r="G1874" s="332"/>
      <c r="H1874" s="334"/>
      <c r="I1874" s="334"/>
    </row>
    <row r="1875" spans="2:9" x14ac:dyDescent="0.3">
      <c r="B1875" s="332" t="s">
        <v>636</v>
      </c>
      <c r="C1875" s="333"/>
      <c r="D1875" s="332"/>
      <c r="E1875" s="333" t="s">
        <v>637</v>
      </c>
      <c r="F1875" s="334" t="s">
        <v>638</v>
      </c>
      <c r="G1875" s="332" t="s">
        <v>639</v>
      </c>
      <c r="H1875" s="334" t="s">
        <v>627</v>
      </c>
      <c r="I1875" s="334"/>
    </row>
    <row r="1876" spans="2:9" x14ac:dyDescent="0.3">
      <c r="B1876" s="332" t="s">
        <v>645</v>
      </c>
      <c r="C1876" s="333"/>
      <c r="D1876" s="332"/>
      <c r="E1876" s="337">
        <v>168000</v>
      </c>
      <c r="F1876" s="334">
        <v>1.8</v>
      </c>
      <c r="G1876" s="338">
        <v>58.779051289024636</v>
      </c>
      <c r="H1876" s="334">
        <f>E1876*F1876/G1876</f>
        <v>5144.6900446395066</v>
      </c>
      <c r="I1876" s="334"/>
    </row>
    <row r="1877" spans="2:9" x14ac:dyDescent="0.3">
      <c r="B1877" s="332"/>
      <c r="C1877" s="333"/>
      <c r="D1877" s="332"/>
      <c r="E1877" s="333"/>
      <c r="F1877" s="334"/>
      <c r="G1877" s="332"/>
      <c r="H1877" s="334" t="s">
        <v>628</v>
      </c>
      <c r="I1877" s="334">
        <f>H1876</f>
        <v>5144.6900446395066</v>
      </c>
    </row>
    <row r="1878" spans="2:9" x14ac:dyDescent="0.3">
      <c r="B1878" s="332"/>
      <c r="C1878" s="333"/>
      <c r="D1878" s="332"/>
      <c r="E1878" s="333"/>
      <c r="F1878" s="334"/>
      <c r="G1878" s="332"/>
      <c r="H1878" s="330" t="s">
        <v>640</v>
      </c>
      <c r="I1878" s="330">
        <f>I1877+I1869+I1862+I1873</f>
        <v>13974.000044639506</v>
      </c>
    </row>
    <row r="1880" spans="2:9" x14ac:dyDescent="0.3">
      <c r="B1880" s="339" t="s">
        <v>689</v>
      </c>
      <c r="C1880" s="339" t="s">
        <v>621</v>
      </c>
      <c r="D1880" s="341" t="s">
        <v>523</v>
      </c>
      <c r="E1880" s="339"/>
      <c r="F1880" s="340"/>
      <c r="G1880" s="340" t="s">
        <v>622</v>
      </c>
      <c r="H1880" s="340" t="s">
        <v>671</v>
      </c>
      <c r="I1880" s="340">
        <f>+ROUND(I1902,0)</f>
        <v>25000</v>
      </c>
    </row>
    <row r="1881" spans="2:9" x14ac:dyDescent="0.3">
      <c r="B1881" s="332" t="s">
        <v>623</v>
      </c>
      <c r="C1881" s="333"/>
      <c r="D1881" s="332"/>
      <c r="E1881" s="333"/>
      <c r="F1881" s="334"/>
      <c r="G1881" s="332"/>
      <c r="H1881" s="334"/>
      <c r="I1881" s="334"/>
    </row>
    <row r="1882" spans="2:9" x14ac:dyDescent="0.3">
      <c r="B1882" s="332" t="s">
        <v>271</v>
      </c>
      <c r="C1882" s="333"/>
      <c r="D1882" s="332"/>
      <c r="E1882" s="333" t="s">
        <v>624</v>
      </c>
      <c r="F1882" s="334" t="s">
        <v>625</v>
      </c>
      <c r="G1882" s="332" t="s">
        <v>626</v>
      </c>
      <c r="H1882" s="334" t="s">
        <v>627</v>
      </c>
      <c r="I1882" s="334"/>
    </row>
    <row r="1883" spans="2:9" x14ac:dyDescent="0.3">
      <c r="B1883" s="332" t="s">
        <v>642</v>
      </c>
      <c r="C1883" s="333"/>
      <c r="D1883" s="332"/>
      <c r="E1883" s="333" t="s">
        <v>644</v>
      </c>
      <c r="F1883" s="334">
        <v>1500</v>
      </c>
      <c r="G1883" s="335">
        <v>2</v>
      </c>
      <c r="H1883" s="334">
        <f>F1883*G1883</f>
        <v>3000</v>
      </c>
      <c r="I1883" s="334"/>
    </row>
    <row r="1884" spans="2:9" x14ac:dyDescent="0.3">
      <c r="B1884" s="332"/>
      <c r="C1884" s="333"/>
      <c r="D1884" s="332"/>
      <c r="E1884" s="333"/>
      <c r="F1884" s="334"/>
      <c r="G1884" s="335"/>
      <c r="H1884" s="334"/>
      <c r="I1884" s="334"/>
    </row>
    <row r="1885" spans="2:9" x14ac:dyDescent="0.3">
      <c r="B1885" s="332"/>
      <c r="C1885" s="333"/>
      <c r="D1885" s="332"/>
      <c r="E1885" s="333"/>
      <c r="F1885" s="334"/>
      <c r="G1885" s="335"/>
      <c r="H1885" s="334"/>
      <c r="I1885" s="334"/>
    </row>
    <row r="1886" spans="2:9" x14ac:dyDescent="0.3">
      <c r="B1886" s="332"/>
      <c r="C1886" s="333"/>
      <c r="D1886" s="332"/>
      <c r="E1886" s="333"/>
      <c r="F1886" s="334"/>
      <c r="G1886" s="332"/>
      <c r="H1886" s="334" t="s">
        <v>628</v>
      </c>
      <c r="I1886" s="334">
        <f>SUM(H1883:H1885)</f>
        <v>3000</v>
      </c>
    </row>
    <row r="1887" spans="2:9" x14ac:dyDescent="0.3">
      <c r="B1887" s="332" t="s">
        <v>629</v>
      </c>
      <c r="C1887" s="333"/>
      <c r="D1887" s="332"/>
      <c r="E1887" s="333"/>
      <c r="F1887" s="334"/>
      <c r="G1887" s="332"/>
      <c r="H1887" s="334"/>
      <c r="I1887" s="334"/>
    </row>
    <row r="1888" spans="2:9" x14ac:dyDescent="0.3">
      <c r="B1888" s="332" t="s">
        <v>271</v>
      </c>
      <c r="C1888" s="333"/>
      <c r="D1888" s="332"/>
      <c r="E1888" s="333" t="s">
        <v>624</v>
      </c>
      <c r="F1888" s="334" t="s">
        <v>630</v>
      </c>
      <c r="G1888" s="332" t="s">
        <v>631</v>
      </c>
      <c r="H1888" s="334" t="s">
        <v>627</v>
      </c>
      <c r="I1888" s="334"/>
    </row>
    <row r="1889" spans="2:9" x14ac:dyDescent="0.3">
      <c r="B1889" s="342"/>
      <c r="C1889" s="333"/>
      <c r="D1889" s="332"/>
      <c r="E1889" s="343"/>
      <c r="F1889" s="344"/>
      <c r="G1889" s="345"/>
      <c r="H1889" s="344"/>
      <c r="I1889" s="344"/>
    </row>
    <row r="1890" spans="2:9" x14ac:dyDescent="0.3">
      <c r="B1890" s="332"/>
      <c r="C1890" s="333"/>
      <c r="D1890" s="332"/>
      <c r="E1890" s="333"/>
      <c r="F1890" s="334"/>
      <c r="G1890" s="332"/>
      <c r="H1890" s="334"/>
      <c r="I1890" s="334"/>
    </row>
    <row r="1891" spans="2:9" x14ac:dyDescent="0.3">
      <c r="B1891" s="332"/>
      <c r="C1891" s="333"/>
      <c r="D1891" s="332"/>
      <c r="E1891" s="333"/>
      <c r="F1891" s="334"/>
      <c r="G1891" s="332"/>
      <c r="H1891" s="334"/>
      <c r="I1891" s="334"/>
    </row>
    <row r="1892" spans="2:9" x14ac:dyDescent="0.3">
      <c r="B1892" s="332"/>
      <c r="C1892" s="333"/>
      <c r="D1892" s="332"/>
      <c r="E1892" s="333"/>
      <c r="F1892" s="334"/>
      <c r="G1892" s="332"/>
      <c r="H1892" s="334"/>
      <c r="I1892" s="334"/>
    </row>
    <row r="1893" spans="2:9" x14ac:dyDescent="0.3">
      <c r="B1893" s="332"/>
      <c r="C1893" s="333"/>
      <c r="D1893" s="332"/>
      <c r="E1893" s="333"/>
      <c r="F1893" s="334"/>
      <c r="G1893" s="332"/>
      <c r="H1893" s="334" t="s">
        <v>628</v>
      </c>
      <c r="I1893" s="334">
        <f>SUM(H1889:H1892)</f>
        <v>0</v>
      </c>
    </row>
    <row r="1894" spans="2:9" x14ac:dyDescent="0.3">
      <c r="B1894" s="332" t="s">
        <v>632</v>
      </c>
      <c r="C1894" s="333"/>
      <c r="D1894" s="332"/>
      <c r="E1894" s="333" t="s">
        <v>624</v>
      </c>
      <c r="F1894" s="334" t="s">
        <v>633</v>
      </c>
      <c r="G1894" s="332" t="s">
        <v>634</v>
      </c>
      <c r="H1894" s="334" t="s">
        <v>627</v>
      </c>
      <c r="I1894" s="334"/>
    </row>
    <row r="1895" spans="2:9" x14ac:dyDescent="0.3">
      <c r="B1895" s="332"/>
      <c r="C1895" s="333"/>
      <c r="D1895" s="332"/>
      <c r="E1895" s="332"/>
      <c r="F1895" s="332"/>
      <c r="G1895" s="332"/>
      <c r="H1895" s="332"/>
      <c r="I1895" s="332"/>
    </row>
    <row r="1896" spans="2:9" x14ac:dyDescent="0.3">
      <c r="B1896" s="332"/>
      <c r="C1896" s="333"/>
      <c r="D1896" s="332"/>
      <c r="E1896" s="333"/>
      <c r="F1896" s="336"/>
      <c r="G1896" s="334"/>
      <c r="H1896" s="334"/>
      <c r="I1896" s="334"/>
    </row>
    <row r="1897" spans="2:9" x14ac:dyDescent="0.3">
      <c r="B1897" s="332"/>
      <c r="C1897" s="333"/>
      <c r="D1897" s="332"/>
      <c r="E1897" s="333"/>
      <c r="F1897" s="334"/>
      <c r="G1897" s="332"/>
      <c r="H1897" s="334" t="s">
        <v>628</v>
      </c>
      <c r="I1897" s="334">
        <f>SUM(H1896)</f>
        <v>0</v>
      </c>
    </row>
    <row r="1898" spans="2:9" x14ac:dyDescent="0.3">
      <c r="B1898" s="332" t="s">
        <v>635</v>
      </c>
      <c r="C1898" s="333"/>
      <c r="D1898" s="332"/>
      <c r="E1898" s="333"/>
      <c r="F1898" s="334"/>
      <c r="G1898" s="332"/>
      <c r="H1898" s="334"/>
      <c r="I1898" s="334"/>
    </row>
    <row r="1899" spans="2:9" x14ac:dyDescent="0.3">
      <c r="B1899" s="332" t="s">
        <v>636</v>
      </c>
      <c r="C1899" s="333"/>
      <c r="D1899" s="332"/>
      <c r="E1899" s="333" t="s">
        <v>637</v>
      </c>
      <c r="F1899" s="334" t="s">
        <v>638</v>
      </c>
      <c r="G1899" s="332" t="s">
        <v>626</v>
      </c>
      <c r="H1899" s="334" t="s">
        <v>627</v>
      </c>
      <c r="I1899" s="334"/>
    </row>
    <row r="1900" spans="2:9" x14ac:dyDescent="0.3">
      <c r="B1900" s="332" t="s">
        <v>645</v>
      </c>
      <c r="C1900" s="333"/>
      <c r="D1900" s="332"/>
      <c r="E1900" s="337">
        <v>168000</v>
      </c>
      <c r="F1900" s="334">
        <v>1.8</v>
      </c>
      <c r="G1900" s="338">
        <v>13.745454566932787</v>
      </c>
      <c r="H1900" s="334">
        <f>E1900*F1900/G1900</f>
        <v>21999.99996562345</v>
      </c>
      <c r="I1900" s="334"/>
    </row>
    <row r="1901" spans="2:9" x14ac:dyDescent="0.3">
      <c r="B1901" s="332"/>
      <c r="C1901" s="333"/>
      <c r="D1901" s="332"/>
      <c r="E1901" s="333"/>
      <c r="F1901" s="334"/>
      <c r="G1901" s="332"/>
      <c r="H1901" s="334" t="s">
        <v>628</v>
      </c>
      <c r="I1901" s="334">
        <f>H1900</f>
        <v>21999.99996562345</v>
      </c>
    </row>
    <row r="1902" spans="2:9" x14ac:dyDescent="0.3">
      <c r="B1902" s="332"/>
      <c r="C1902" s="333"/>
      <c r="D1902" s="332"/>
      <c r="E1902" s="333"/>
      <c r="F1902" s="334"/>
      <c r="G1902" s="332"/>
      <c r="H1902" s="330" t="s">
        <v>640</v>
      </c>
      <c r="I1902" s="330">
        <f>I1901+I1893+I1886+I1897</f>
        <v>24999.99996562345</v>
      </c>
    </row>
    <row r="1904" spans="2:9" x14ac:dyDescent="0.3">
      <c r="B1904" s="339" t="s">
        <v>691</v>
      </c>
      <c r="C1904" s="339" t="s">
        <v>621</v>
      </c>
      <c r="D1904" s="341" t="s">
        <v>518</v>
      </c>
      <c r="E1904" s="339"/>
      <c r="F1904" s="340"/>
      <c r="G1904" s="340" t="s">
        <v>622</v>
      </c>
      <c r="H1904" s="340" t="s">
        <v>93</v>
      </c>
      <c r="I1904" s="340">
        <f>+ROUND(I1926,0)</f>
        <v>44000</v>
      </c>
    </row>
    <row r="1905" spans="2:9" x14ac:dyDescent="0.3">
      <c r="B1905" s="332" t="s">
        <v>623</v>
      </c>
      <c r="C1905" s="333"/>
      <c r="D1905" s="332"/>
      <c r="E1905" s="333"/>
      <c r="F1905" s="334"/>
      <c r="G1905" s="332"/>
      <c r="H1905" s="334"/>
      <c r="I1905" s="334"/>
    </row>
    <row r="1906" spans="2:9" x14ac:dyDescent="0.3">
      <c r="B1906" s="332" t="s">
        <v>271</v>
      </c>
      <c r="C1906" s="333"/>
      <c r="D1906" s="332"/>
      <c r="E1906" s="333" t="s">
        <v>624</v>
      </c>
      <c r="F1906" s="334" t="s">
        <v>625</v>
      </c>
      <c r="G1906" s="332" t="s">
        <v>626</v>
      </c>
      <c r="H1906" s="334" t="s">
        <v>627</v>
      </c>
      <c r="I1906" s="334"/>
    </row>
    <row r="1907" spans="2:9" x14ac:dyDescent="0.3">
      <c r="B1907" s="332" t="s">
        <v>642</v>
      </c>
      <c r="C1907" s="333"/>
      <c r="D1907" s="332"/>
      <c r="E1907" s="333" t="s">
        <v>644</v>
      </c>
      <c r="F1907" s="334">
        <v>1500</v>
      </c>
      <c r="G1907" s="335">
        <v>2</v>
      </c>
      <c r="H1907" s="334">
        <f>F1907*G1907</f>
        <v>3000</v>
      </c>
      <c r="I1907" s="334"/>
    </row>
    <row r="1908" spans="2:9" x14ac:dyDescent="0.3">
      <c r="B1908" s="332"/>
      <c r="C1908" s="333"/>
      <c r="D1908" s="332"/>
      <c r="E1908" s="333"/>
      <c r="F1908" s="334"/>
      <c r="G1908" s="335"/>
      <c r="H1908" s="334"/>
      <c r="I1908" s="334"/>
    </row>
    <row r="1909" spans="2:9" x14ac:dyDescent="0.3">
      <c r="B1909" s="332"/>
      <c r="C1909" s="333"/>
      <c r="D1909" s="332"/>
      <c r="E1909" s="333"/>
      <c r="F1909" s="334"/>
      <c r="G1909" s="335"/>
      <c r="H1909" s="334"/>
      <c r="I1909" s="334"/>
    </row>
    <row r="1910" spans="2:9" x14ac:dyDescent="0.3">
      <c r="B1910" s="332"/>
      <c r="C1910" s="333"/>
      <c r="D1910" s="332"/>
      <c r="E1910" s="333"/>
      <c r="F1910" s="334"/>
      <c r="G1910" s="332"/>
      <c r="H1910" s="334" t="s">
        <v>628</v>
      </c>
      <c r="I1910" s="334">
        <f>SUM(H1907:H1909)</f>
        <v>3000</v>
      </c>
    </row>
    <row r="1911" spans="2:9" x14ac:dyDescent="0.3">
      <c r="B1911" s="332" t="s">
        <v>629</v>
      </c>
      <c r="C1911" s="333"/>
      <c r="D1911" s="332"/>
      <c r="E1911" s="333"/>
      <c r="F1911" s="334"/>
      <c r="G1911" s="332"/>
      <c r="H1911" s="334"/>
      <c r="I1911" s="334"/>
    </row>
    <row r="1912" spans="2:9" x14ac:dyDescent="0.3">
      <c r="B1912" s="332" t="s">
        <v>271</v>
      </c>
      <c r="C1912" s="333"/>
      <c r="D1912" s="332"/>
      <c r="E1912" s="333" t="s">
        <v>624</v>
      </c>
      <c r="F1912" s="334" t="s">
        <v>630</v>
      </c>
      <c r="G1912" s="332" t="s">
        <v>631</v>
      </c>
      <c r="H1912" s="334" t="s">
        <v>627</v>
      </c>
      <c r="I1912" s="334"/>
    </row>
    <row r="1913" spans="2:9" x14ac:dyDescent="0.3">
      <c r="B1913" s="342" t="s">
        <v>688</v>
      </c>
      <c r="C1913" s="333"/>
      <c r="D1913" s="332"/>
      <c r="E1913" s="343" t="s">
        <v>93</v>
      </c>
      <c r="F1913" s="344">
        <v>19218</v>
      </c>
      <c r="G1913" s="345">
        <v>1.05</v>
      </c>
      <c r="H1913" s="344">
        <f>F1913*G1913</f>
        <v>20178.900000000001</v>
      </c>
      <c r="I1913" s="344"/>
    </row>
    <row r="1914" spans="2:9" x14ac:dyDescent="0.3">
      <c r="B1914" s="332"/>
      <c r="C1914" s="333"/>
      <c r="D1914" s="332"/>
      <c r="E1914" s="333"/>
      <c r="F1914" s="334"/>
      <c r="G1914" s="332"/>
      <c r="H1914" s="334"/>
      <c r="I1914" s="334"/>
    </row>
    <row r="1915" spans="2:9" x14ac:dyDescent="0.3">
      <c r="B1915" s="332"/>
      <c r="C1915" s="333"/>
      <c r="D1915" s="332"/>
      <c r="E1915" s="333"/>
      <c r="F1915" s="334"/>
      <c r="G1915" s="332"/>
      <c r="H1915" s="334"/>
      <c r="I1915" s="334"/>
    </row>
    <row r="1916" spans="2:9" x14ac:dyDescent="0.3">
      <c r="B1916" s="332"/>
      <c r="C1916" s="333"/>
      <c r="D1916" s="332"/>
      <c r="E1916" s="333"/>
      <c r="F1916" s="334"/>
      <c r="G1916" s="332"/>
      <c r="H1916" s="334"/>
      <c r="I1916" s="334"/>
    </row>
    <row r="1917" spans="2:9" x14ac:dyDescent="0.3">
      <c r="B1917" s="332"/>
      <c r="C1917" s="333"/>
      <c r="D1917" s="332"/>
      <c r="E1917" s="333"/>
      <c r="F1917" s="334"/>
      <c r="G1917" s="332"/>
      <c r="H1917" s="334" t="s">
        <v>628</v>
      </c>
      <c r="I1917" s="334">
        <f>SUM(H1913:H1916)</f>
        <v>20178.900000000001</v>
      </c>
    </row>
    <row r="1918" spans="2:9" x14ac:dyDescent="0.3">
      <c r="B1918" s="332" t="s">
        <v>632</v>
      </c>
      <c r="C1918" s="333"/>
      <c r="D1918" s="332"/>
      <c r="E1918" s="333" t="s">
        <v>624</v>
      </c>
      <c r="F1918" s="334" t="s">
        <v>633</v>
      </c>
      <c r="G1918" s="332" t="s">
        <v>634</v>
      </c>
      <c r="H1918" s="334" t="s">
        <v>627</v>
      </c>
      <c r="I1918" s="334"/>
    </row>
    <row r="1919" spans="2:9" x14ac:dyDescent="0.3">
      <c r="B1919" s="332"/>
      <c r="C1919" s="333"/>
      <c r="D1919" s="332"/>
      <c r="E1919" s="332"/>
      <c r="F1919" s="332"/>
      <c r="G1919" s="332"/>
      <c r="H1919" s="332"/>
      <c r="I1919" s="332"/>
    </row>
    <row r="1920" spans="2:9" x14ac:dyDescent="0.3">
      <c r="B1920" s="332"/>
      <c r="C1920" s="333"/>
      <c r="D1920" s="332"/>
      <c r="E1920" s="333"/>
      <c r="F1920" s="336"/>
      <c r="G1920" s="334"/>
      <c r="H1920" s="334"/>
      <c r="I1920" s="334"/>
    </row>
    <row r="1921" spans="2:9" x14ac:dyDescent="0.3">
      <c r="B1921" s="332"/>
      <c r="C1921" s="333"/>
      <c r="D1921" s="332"/>
      <c r="E1921" s="333"/>
      <c r="F1921" s="334"/>
      <c r="G1921" s="332"/>
      <c r="H1921" s="334" t="s">
        <v>628</v>
      </c>
      <c r="I1921" s="334">
        <f>SUM(H1920)</f>
        <v>0</v>
      </c>
    </row>
    <row r="1922" spans="2:9" x14ac:dyDescent="0.3">
      <c r="B1922" s="332" t="s">
        <v>635</v>
      </c>
      <c r="C1922" s="333"/>
      <c r="D1922" s="332"/>
      <c r="E1922" s="333"/>
      <c r="F1922" s="334"/>
      <c r="G1922" s="332"/>
      <c r="H1922" s="334"/>
      <c r="I1922" s="334"/>
    </row>
    <row r="1923" spans="2:9" x14ac:dyDescent="0.3">
      <c r="B1923" s="332" t="s">
        <v>636</v>
      </c>
      <c r="C1923" s="333"/>
      <c r="D1923" s="332"/>
      <c r="E1923" s="333" t="s">
        <v>637</v>
      </c>
      <c r="F1923" s="334" t="s">
        <v>638</v>
      </c>
      <c r="G1923" s="332" t="s">
        <v>626</v>
      </c>
      <c r="H1923" s="334" t="s">
        <v>627</v>
      </c>
      <c r="I1923" s="334"/>
    </row>
    <row r="1924" spans="2:9" x14ac:dyDescent="0.3">
      <c r="B1924" s="332" t="s">
        <v>645</v>
      </c>
      <c r="C1924" s="333"/>
      <c r="D1924" s="332"/>
      <c r="E1924" s="337">
        <v>168000</v>
      </c>
      <c r="F1924" s="334">
        <v>1.8</v>
      </c>
      <c r="G1924" s="338">
        <v>14.523728332903595</v>
      </c>
      <c r="H1924" s="334">
        <f>E1924*F1924/G1924</f>
        <v>20821.100000535742</v>
      </c>
      <c r="I1924" s="334"/>
    </row>
    <row r="1925" spans="2:9" x14ac:dyDescent="0.3">
      <c r="B1925" s="332"/>
      <c r="C1925" s="333"/>
      <c r="D1925" s="332"/>
      <c r="E1925" s="333"/>
      <c r="F1925" s="334"/>
      <c r="G1925" s="332"/>
      <c r="H1925" s="334" t="s">
        <v>628</v>
      </c>
      <c r="I1925" s="334">
        <f>H1924</f>
        <v>20821.100000535742</v>
      </c>
    </row>
    <row r="1926" spans="2:9" x14ac:dyDescent="0.3">
      <c r="B1926" s="332"/>
      <c r="C1926" s="333"/>
      <c r="D1926" s="332"/>
      <c r="E1926" s="333"/>
      <c r="F1926" s="334"/>
      <c r="G1926" s="332"/>
      <c r="H1926" s="330" t="s">
        <v>640</v>
      </c>
      <c r="I1926" s="330">
        <f>I1925+I1917+I1910+I1921</f>
        <v>44000.000000535743</v>
      </c>
    </row>
    <row r="1928" spans="2:9" ht="57.6" x14ac:dyDescent="0.3">
      <c r="B1928" s="339" t="s">
        <v>689</v>
      </c>
      <c r="C1928" s="339" t="s">
        <v>621</v>
      </c>
      <c r="D1928" s="341" t="s">
        <v>98</v>
      </c>
      <c r="E1928" s="339"/>
      <c r="F1928" s="340"/>
      <c r="G1928" s="340" t="s">
        <v>622</v>
      </c>
      <c r="H1928" s="340" t="s">
        <v>33</v>
      </c>
      <c r="I1928" s="340">
        <f>+ROUND(I1950,0)</f>
        <v>565781</v>
      </c>
    </row>
    <row r="1929" spans="2:9" x14ac:dyDescent="0.3">
      <c r="B1929" s="332" t="s">
        <v>623</v>
      </c>
      <c r="C1929" s="333"/>
      <c r="D1929" s="332"/>
      <c r="E1929" s="333"/>
      <c r="F1929" s="334"/>
      <c r="G1929" s="332"/>
      <c r="H1929" s="334"/>
      <c r="I1929" s="334"/>
    </row>
    <row r="1930" spans="2:9" x14ac:dyDescent="0.3">
      <c r="B1930" s="332" t="s">
        <v>271</v>
      </c>
      <c r="C1930" s="333"/>
      <c r="D1930" s="332"/>
      <c r="E1930" s="333" t="s">
        <v>624</v>
      </c>
      <c r="F1930" s="334" t="s">
        <v>625</v>
      </c>
      <c r="G1930" s="332" t="s">
        <v>626</v>
      </c>
      <c r="H1930" s="334" t="s">
        <v>627</v>
      </c>
      <c r="I1930" s="334"/>
    </row>
    <row r="1931" spans="2:9" x14ac:dyDescent="0.3">
      <c r="B1931" s="332" t="s">
        <v>642</v>
      </c>
      <c r="C1931" s="333"/>
      <c r="D1931" s="332"/>
      <c r="E1931" s="333" t="s">
        <v>644</v>
      </c>
      <c r="F1931" s="334">
        <v>1500</v>
      </c>
      <c r="G1931" s="335">
        <v>2</v>
      </c>
      <c r="H1931" s="334">
        <f>F1931*G1931</f>
        <v>3000</v>
      </c>
      <c r="I1931" s="334"/>
    </row>
    <row r="1932" spans="2:9" x14ac:dyDescent="0.3">
      <c r="B1932" s="332"/>
      <c r="C1932" s="333"/>
      <c r="D1932" s="332"/>
      <c r="E1932" s="333"/>
      <c r="F1932" s="334"/>
      <c r="G1932" s="335"/>
      <c r="H1932" s="334"/>
      <c r="I1932" s="334"/>
    </row>
    <row r="1933" spans="2:9" x14ac:dyDescent="0.3">
      <c r="B1933" s="332"/>
      <c r="C1933" s="333"/>
      <c r="D1933" s="332"/>
      <c r="E1933" s="333"/>
      <c r="F1933" s="334"/>
      <c r="G1933" s="335"/>
      <c r="H1933" s="334"/>
      <c r="I1933" s="334"/>
    </row>
    <row r="1934" spans="2:9" x14ac:dyDescent="0.3">
      <c r="B1934" s="332"/>
      <c r="C1934" s="333"/>
      <c r="D1934" s="332"/>
      <c r="E1934" s="333"/>
      <c r="F1934" s="334"/>
      <c r="G1934" s="332"/>
      <c r="H1934" s="334" t="s">
        <v>628</v>
      </c>
      <c r="I1934" s="334">
        <f>SUM(H1931:H1933)</f>
        <v>3000</v>
      </c>
    </row>
    <row r="1935" spans="2:9" x14ac:dyDescent="0.3">
      <c r="B1935" s="332" t="s">
        <v>629</v>
      </c>
      <c r="C1935" s="333"/>
      <c r="D1935" s="332"/>
      <c r="E1935" s="333"/>
      <c r="F1935" s="334"/>
      <c r="G1935" s="332"/>
      <c r="H1935" s="334"/>
      <c r="I1935" s="334"/>
    </row>
    <row r="1936" spans="2:9" x14ac:dyDescent="0.3">
      <c r="B1936" s="332" t="s">
        <v>271</v>
      </c>
      <c r="C1936" s="333"/>
      <c r="D1936" s="332"/>
      <c r="E1936" s="333" t="s">
        <v>624</v>
      </c>
      <c r="F1936" s="334" t="s">
        <v>630</v>
      </c>
      <c r="G1936" s="332" t="s">
        <v>631</v>
      </c>
      <c r="H1936" s="334" t="s">
        <v>627</v>
      </c>
      <c r="I1936" s="334"/>
    </row>
    <row r="1937" spans="2:9" ht="86.4" x14ac:dyDescent="0.3">
      <c r="B1937" s="342" t="s">
        <v>690</v>
      </c>
      <c r="C1937" s="333"/>
      <c r="D1937" s="332"/>
      <c r="E1937" s="343" t="s">
        <v>33</v>
      </c>
      <c r="F1937" s="344">
        <v>499900</v>
      </c>
      <c r="G1937" s="345">
        <v>1</v>
      </c>
      <c r="H1937" s="344">
        <f>F1937*G1937</f>
        <v>499900</v>
      </c>
      <c r="I1937" s="344"/>
    </row>
    <row r="1938" spans="2:9" x14ac:dyDescent="0.3">
      <c r="B1938" s="332"/>
      <c r="C1938" s="333"/>
      <c r="D1938" s="332"/>
      <c r="E1938" s="333"/>
      <c r="F1938" s="334"/>
      <c r="G1938" s="332"/>
      <c r="H1938" s="334"/>
      <c r="I1938" s="334"/>
    </row>
    <row r="1939" spans="2:9" x14ac:dyDescent="0.3">
      <c r="B1939" s="332"/>
      <c r="C1939" s="333"/>
      <c r="D1939" s="332"/>
      <c r="E1939" s="333"/>
      <c r="F1939" s="334"/>
      <c r="G1939" s="332"/>
      <c r="H1939" s="334"/>
      <c r="I1939" s="334"/>
    </row>
    <row r="1940" spans="2:9" x14ac:dyDescent="0.3">
      <c r="B1940" s="332"/>
      <c r="C1940" s="333"/>
      <c r="D1940" s="332"/>
      <c r="E1940" s="333"/>
      <c r="F1940" s="334"/>
      <c r="G1940" s="332"/>
      <c r="H1940" s="334"/>
      <c r="I1940" s="334"/>
    </row>
    <row r="1941" spans="2:9" x14ac:dyDescent="0.3">
      <c r="B1941" s="332"/>
      <c r="C1941" s="333"/>
      <c r="D1941" s="332"/>
      <c r="E1941" s="333"/>
      <c r="F1941" s="334"/>
      <c r="G1941" s="332"/>
      <c r="H1941" s="334" t="s">
        <v>628</v>
      </c>
      <c r="I1941" s="334">
        <f>SUM(H1937:H1940)</f>
        <v>499900</v>
      </c>
    </row>
    <row r="1942" spans="2:9" x14ac:dyDescent="0.3">
      <c r="B1942" s="332" t="s">
        <v>632</v>
      </c>
      <c r="C1942" s="333"/>
      <c r="D1942" s="332"/>
      <c r="E1942" s="333" t="s">
        <v>624</v>
      </c>
      <c r="F1942" s="334" t="s">
        <v>633</v>
      </c>
      <c r="G1942" s="332" t="s">
        <v>634</v>
      </c>
      <c r="H1942" s="334" t="s">
        <v>627</v>
      </c>
      <c r="I1942" s="334"/>
    </row>
    <row r="1943" spans="2:9" x14ac:dyDescent="0.3">
      <c r="B1943" s="332"/>
      <c r="C1943" s="333"/>
      <c r="D1943" s="332"/>
      <c r="E1943" s="332"/>
      <c r="F1943" s="332"/>
      <c r="G1943" s="332"/>
      <c r="H1943" s="332"/>
      <c r="I1943" s="332"/>
    </row>
    <row r="1944" spans="2:9" x14ac:dyDescent="0.3">
      <c r="B1944" s="332"/>
      <c r="C1944" s="333"/>
      <c r="D1944" s="332"/>
      <c r="E1944" s="333"/>
      <c r="F1944" s="336"/>
      <c r="G1944" s="334"/>
      <c r="H1944" s="334"/>
      <c r="I1944" s="334"/>
    </row>
    <row r="1945" spans="2:9" x14ac:dyDescent="0.3">
      <c r="B1945" s="332"/>
      <c r="C1945" s="333"/>
      <c r="D1945" s="332"/>
      <c r="E1945" s="333"/>
      <c r="F1945" s="334"/>
      <c r="G1945" s="332"/>
      <c r="H1945" s="334" t="s">
        <v>628</v>
      </c>
      <c r="I1945" s="334">
        <f>SUM(H1944)</f>
        <v>0</v>
      </c>
    </row>
    <row r="1946" spans="2:9" x14ac:dyDescent="0.3">
      <c r="B1946" s="332" t="s">
        <v>635</v>
      </c>
      <c r="C1946" s="333"/>
      <c r="D1946" s="332"/>
      <c r="E1946" s="333"/>
      <c r="F1946" s="334"/>
      <c r="G1946" s="332"/>
      <c r="H1946" s="334"/>
      <c r="I1946" s="334"/>
    </row>
    <row r="1947" spans="2:9" x14ac:dyDescent="0.3">
      <c r="B1947" s="332" t="s">
        <v>636</v>
      </c>
      <c r="C1947" s="333"/>
      <c r="D1947" s="332"/>
      <c r="E1947" s="333" t="s">
        <v>637</v>
      </c>
      <c r="F1947" s="334" t="s">
        <v>638</v>
      </c>
      <c r="G1947" s="332" t="s">
        <v>626</v>
      </c>
      <c r="H1947" s="334" t="s">
        <v>627</v>
      </c>
      <c r="I1947" s="334"/>
    </row>
    <row r="1948" spans="2:9" x14ac:dyDescent="0.3">
      <c r="B1948" s="332" t="s">
        <v>645</v>
      </c>
      <c r="C1948" s="333"/>
      <c r="D1948" s="332"/>
      <c r="E1948" s="337">
        <v>168000</v>
      </c>
      <c r="F1948" s="334">
        <v>1.8</v>
      </c>
      <c r="G1948" s="338">
        <v>4.8090838249874892</v>
      </c>
      <c r="H1948" s="334">
        <f>E1948*F1948/G1948</f>
        <v>62881.000000199972</v>
      </c>
      <c r="I1948" s="334"/>
    </row>
    <row r="1949" spans="2:9" x14ac:dyDescent="0.3">
      <c r="B1949" s="332"/>
      <c r="C1949" s="333"/>
      <c r="D1949" s="332"/>
      <c r="E1949" s="333"/>
      <c r="F1949" s="334"/>
      <c r="G1949" s="332"/>
      <c r="H1949" s="334" t="s">
        <v>628</v>
      </c>
      <c r="I1949" s="334">
        <f>H1948</f>
        <v>62881.000000199972</v>
      </c>
    </row>
    <row r="1950" spans="2:9" x14ac:dyDescent="0.3">
      <c r="B1950" s="332"/>
      <c r="C1950" s="333"/>
      <c r="D1950" s="332"/>
      <c r="E1950" s="333"/>
      <c r="F1950" s="334"/>
      <c r="G1950" s="332"/>
      <c r="H1950" s="330" t="s">
        <v>640</v>
      </c>
      <c r="I1950" s="330">
        <f>I1949+I1941+I1934+I1945</f>
        <v>565781.0000002</v>
      </c>
    </row>
    <row r="1952" spans="2:9" ht="57.6" x14ac:dyDescent="0.3">
      <c r="B1952" s="339" t="s">
        <v>691</v>
      </c>
      <c r="C1952" s="339" t="s">
        <v>621</v>
      </c>
      <c r="D1952" s="341" t="s">
        <v>498</v>
      </c>
      <c r="E1952" s="339"/>
      <c r="F1952" s="340"/>
      <c r="G1952" s="340" t="s">
        <v>622</v>
      </c>
      <c r="H1952" s="340" t="s">
        <v>33</v>
      </c>
      <c r="I1952" s="340">
        <f>+ROUND(I1974,0)</f>
        <v>250287</v>
      </c>
    </row>
    <row r="1953" spans="2:9" x14ac:dyDescent="0.3">
      <c r="B1953" s="332" t="s">
        <v>623</v>
      </c>
      <c r="C1953" s="333"/>
      <c r="D1953" s="332"/>
      <c r="E1953" s="333"/>
      <c r="F1953" s="334"/>
      <c r="G1953" s="332"/>
      <c r="H1953" s="334"/>
      <c r="I1953" s="334"/>
    </row>
    <row r="1954" spans="2:9" x14ac:dyDescent="0.3">
      <c r="B1954" s="332" t="s">
        <v>271</v>
      </c>
      <c r="C1954" s="333"/>
      <c r="D1954" s="332"/>
      <c r="E1954" s="333" t="s">
        <v>624</v>
      </c>
      <c r="F1954" s="334" t="s">
        <v>625</v>
      </c>
      <c r="G1954" s="332" t="s">
        <v>626</v>
      </c>
      <c r="H1954" s="334" t="s">
        <v>627</v>
      </c>
      <c r="I1954" s="334"/>
    </row>
    <row r="1955" spans="2:9" x14ac:dyDescent="0.3">
      <c r="B1955" s="332" t="s">
        <v>642</v>
      </c>
      <c r="C1955" s="333"/>
      <c r="D1955" s="332"/>
      <c r="E1955" s="333" t="s">
        <v>644</v>
      </c>
      <c r="F1955" s="334">
        <v>1500</v>
      </c>
      <c r="G1955" s="335">
        <v>2</v>
      </c>
      <c r="H1955" s="334">
        <f>F1955*G1955</f>
        <v>3000</v>
      </c>
      <c r="I1955" s="334"/>
    </row>
    <row r="1956" spans="2:9" x14ac:dyDescent="0.3">
      <c r="B1956" s="332"/>
      <c r="C1956" s="333"/>
      <c r="D1956" s="332"/>
      <c r="E1956" s="333"/>
      <c r="F1956" s="334"/>
      <c r="G1956" s="335"/>
      <c r="H1956" s="334"/>
      <c r="I1956" s="334"/>
    </row>
    <row r="1957" spans="2:9" x14ac:dyDescent="0.3">
      <c r="B1957" s="332"/>
      <c r="C1957" s="333"/>
      <c r="D1957" s="332"/>
      <c r="E1957" s="333"/>
      <c r="F1957" s="334"/>
      <c r="G1957" s="335"/>
      <c r="H1957" s="334"/>
      <c r="I1957" s="334"/>
    </row>
    <row r="1958" spans="2:9" x14ac:dyDescent="0.3">
      <c r="B1958" s="332"/>
      <c r="C1958" s="333"/>
      <c r="D1958" s="332"/>
      <c r="E1958" s="333"/>
      <c r="F1958" s="334"/>
      <c r="G1958" s="332"/>
      <c r="H1958" s="334" t="s">
        <v>628</v>
      </c>
      <c r="I1958" s="334">
        <f>SUM(H1955:H1957)</f>
        <v>3000</v>
      </c>
    </row>
    <row r="1959" spans="2:9" x14ac:dyDescent="0.3">
      <c r="B1959" s="332" t="s">
        <v>629</v>
      </c>
      <c r="C1959" s="333"/>
      <c r="D1959" s="332"/>
      <c r="E1959" s="333"/>
      <c r="F1959" s="334"/>
      <c r="G1959" s="332"/>
      <c r="H1959" s="334"/>
      <c r="I1959" s="334"/>
    </row>
    <row r="1960" spans="2:9" x14ac:dyDescent="0.3">
      <c r="B1960" s="332" t="s">
        <v>271</v>
      </c>
      <c r="C1960" s="333"/>
      <c r="D1960" s="332"/>
      <c r="E1960" s="333" t="s">
        <v>624</v>
      </c>
      <c r="F1960" s="334" t="s">
        <v>630</v>
      </c>
      <c r="G1960" s="332" t="s">
        <v>631</v>
      </c>
      <c r="H1960" s="334" t="s">
        <v>627</v>
      </c>
      <c r="I1960" s="334"/>
    </row>
    <row r="1961" spans="2:9" ht="86.4" x14ac:dyDescent="0.3">
      <c r="B1961" s="342" t="s">
        <v>692</v>
      </c>
      <c r="C1961" s="333"/>
      <c r="D1961" s="332"/>
      <c r="E1961" s="343" t="s">
        <v>33</v>
      </c>
      <c r="F1961" s="344">
        <v>217999</v>
      </c>
      <c r="G1961" s="345">
        <v>1</v>
      </c>
      <c r="H1961" s="344">
        <f>F1961*G1961</f>
        <v>217999</v>
      </c>
      <c r="I1961" s="344"/>
    </row>
    <row r="1962" spans="2:9" x14ac:dyDescent="0.3">
      <c r="B1962" s="332"/>
      <c r="C1962" s="333"/>
      <c r="D1962" s="332"/>
      <c r="E1962" s="333"/>
      <c r="F1962" s="334"/>
      <c r="G1962" s="332"/>
      <c r="H1962" s="334"/>
      <c r="I1962" s="334"/>
    </row>
    <row r="1963" spans="2:9" x14ac:dyDescent="0.3">
      <c r="B1963" s="332"/>
      <c r="C1963" s="333"/>
      <c r="D1963" s="332"/>
      <c r="E1963" s="333"/>
      <c r="F1963" s="334"/>
      <c r="G1963" s="332"/>
      <c r="H1963" s="334"/>
      <c r="I1963" s="334"/>
    </row>
    <row r="1964" spans="2:9" x14ac:dyDescent="0.3">
      <c r="B1964" s="332"/>
      <c r="C1964" s="333"/>
      <c r="D1964" s="332"/>
      <c r="E1964" s="333"/>
      <c r="F1964" s="334"/>
      <c r="G1964" s="332"/>
      <c r="H1964" s="334"/>
      <c r="I1964" s="334"/>
    </row>
    <row r="1965" spans="2:9" x14ac:dyDescent="0.3">
      <c r="B1965" s="332"/>
      <c r="C1965" s="333"/>
      <c r="D1965" s="332"/>
      <c r="E1965" s="333"/>
      <c r="F1965" s="334"/>
      <c r="G1965" s="332"/>
      <c r="H1965" s="334" t="s">
        <v>628</v>
      </c>
      <c r="I1965" s="334">
        <f>SUM(H1961:H1964)</f>
        <v>217999</v>
      </c>
    </row>
    <row r="1966" spans="2:9" x14ac:dyDescent="0.3">
      <c r="B1966" s="332" t="s">
        <v>632</v>
      </c>
      <c r="C1966" s="333"/>
      <c r="D1966" s="332"/>
      <c r="E1966" s="333" t="s">
        <v>624</v>
      </c>
      <c r="F1966" s="334" t="s">
        <v>633</v>
      </c>
      <c r="G1966" s="332" t="s">
        <v>634</v>
      </c>
      <c r="H1966" s="334" t="s">
        <v>627</v>
      </c>
      <c r="I1966" s="334"/>
    </row>
    <row r="1967" spans="2:9" x14ac:dyDescent="0.3">
      <c r="B1967" s="332"/>
      <c r="C1967" s="333"/>
      <c r="D1967" s="332"/>
      <c r="E1967" s="332"/>
      <c r="F1967" s="332"/>
      <c r="G1967" s="332"/>
      <c r="H1967" s="332"/>
      <c r="I1967" s="332"/>
    </row>
    <row r="1968" spans="2:9" x14ac:dyDescent="0.3">
      <c r="B1968" s="332"/>
      <c r="C1968" s="333"/>
      <c r="D1968" s="332"/>
      <c r="E1968" s="333"/>
      <c r="F1968" s="336"/>
      <c r="G1968" s="334"/>
      <c r="H1968" s="334"/>
      <c r="I1968" s="334"/>
    </row>
    <row r="1969" spans="2:9" x14ac:dyDescent="0.3">
      <c r="B1969" s="332"/>
      <c r="C1969" s="333"/>
      <c r="D1969" s="332"/>
      <c r="E1969" s="333"/>
      <c r="F1969" s="334"/>
      <c r="G1969" s="332"/>
      <c r="H1969" s="334" t="s">
        <v>628</v>
      </c>
      <c r="I1969" s="334">
        <f>SUM(H1968)</f>
        <v>0</v>
      </c>
    </row>
    <row r="1970" spans="2:9" x14ac:dyDescent="0.3">
      <c r="B1970" s="332" t="s">
        <v>635</v>
      </c>
      <c r="C1970" s="333"/>
      <c r="D1970" s="332"/>
      <c r="E1970" s="333"/>
      <c r="F1970" s="334"/>
      <c r="G1970" s="332"/>
      <c r="H1970" s="334"/>
      <c r="I1970" s="334"/>
    </row>
    <row r="1971" spans="2:9" x14ac:dyDescent="0.3">
      <c r="B1971" s="332" t="s">
        <v>636</v>
      </c>
      <c r="C1971" s="333"/>
      <c r="D1971" s="332"/>
      <c r="E1971" s="333" t="s">
        <v>637</v>
      </c>
      <c r="F1971" s="334" t="s">
        <v>638</v>
      </c>
      <c r="G1971" s="332" t="s">
        <v>626</v>
      </c>
      <c r="H1971" s="334" t="s">
        <v>627</v>
      </c>
      <c r="I1971" s="334"/>
    </row>
    <row r="1972" spans="2:9" x14ac:dyDescent="0.3">
      <c r="B1972" s="332" t="s">
        <v>645</v>
      </c>
      <c r="C1972" s="333"/>
      <c r="D1972" s="332"/>
      <c r="E1972" s="337">
        <v>168000</v>
      </c>
      <c r="F1972" s="334">
        <v>1.8</v>
      </c>
      <c r="G1972" s="338">
        <v>10.325047527328291</v>
      </c>
      <c r="H1972" s="334">
        <f>E1972*F1972/G1972</f>
        <v>29288.000776714005</v>
      </c>
      <c r="I1972" s="334"/>
    </row>
    <row r="1973" spans="2:9" x14ac:dyDescent="0.3">
      <c r="B1973" s="332"/>
      <c r="C1973" s="333"/>
      <c r="D1973" s="332"/>
      <c r="E1973" s="333"/>
      <c r="F1973" s="334"/>
      <c r="G1973" s="332"/>
      <c r="H1973" s="334" t="s">
        <v>628</v>
      </c>
      <c r="I1973" s="334">
        <f>H1972</f>
        <v>29288.000776714005</v>
      </c>
    </row>
    <row r="1974" spans="2:9" x14ac:dyDescent="0.3">
      <c r="B1974" s="332"/>
      <c r="C1974" s="333"/>
      <c r="D1974" s="332"/>
      <c r="E1974" s="333"/>
      <c r="F1974" s="334"/>
      <c r="G1974" s="332"/>
      <c r="H1974" s="330" t="s">
        <v>640</v>
      </c>
      <c r="I1974" s="330">
        <f>I1973+I1965+I1958+I1969</f>
        <v>250287.00077671401</v>
      </c>
    </row>
    <row r="1976" spans="2:9" ht="43.2" x14ac:dyDescent="0.3">
      <c r="B1976" s="339" t="s">
        <v>693</v>
      </c>
      <c r="C1976" s="339" t="s">
        <v>621</v>
      </c>
      <c r="D1976" s="341" t="s">
        <v>508</v>
      </c>
      <c r="E1976" s="339"/>
      <c r="F1976" s="340"/>
      <c r="G1976" s="340" t="s">
        <v>622</v>
      </c>
      <c r="H1976" s="340" t="s">
        <v>33</v>
      </c>
      <c r="I1976" s="340">
        <f>+ROUND(I1998,0)</f>
        <v>250547</v>
      </c>
    </row>
    <row r="1977" spans="2:9" x14ac:dyDescent="0.3">
      <c r="B1977" s="332" t="s">
        <v>623</v>
      </c>
      <c r="C1977" s="333"/>
      <c r="D1977" s="332"/>
      <c r="E1977" s="333"/>
      <c r="F1977" s="334"/>
      <c r="G1977" s="332"/>
      <c r="H1977" s="334"/>
      <c r="I1977" s="334"/>
    </row>
    <row r="1978" spans="2:9" x14ac:dyDescent="0.3">
      <c r="B1978" s="332" t="s">
        <v>271</v>
      </c>
      <c r="C1978" s="333"/>
      <c r="D1978" s="332"/>
      <c r="E1978" s="333" t="s">
        <v>624</v>
      </c>
      <c r="F1978" s="334" t="s">
        <v>625</v>
      </c>
      <c r="G1978" s="332" t="s">
        <v>626</v>
      </c>
      <c r="H1978" s="334" t="s">
        <v>627</v>
      </c>
      <c r="I1978" s="334"/>
    </row>
    <row r="1979" spans="2:9" x14ac:dyDescent="0.3">
      <c r="B1979" s="332" t="s">
        <v>642</v>
      </c>
      <c r="C1979" s="333"/>
      <c r="D1979" s="332"/>
      <c r="E1979" s="333" t="s">
        <v>644</v>
      </c>
      <c r="F1979" s="334">
        <v>1500</v>
      </c>
      <c r="G1979" s="335">
        <v>2</v>
      </c>
      <c r="H1979" s="334">
        <f>F1979*G1979</f>
        <v>3000</v>
      </c>
      <c r="I1979" s="334"/>
    </row>
    <row r="1980" spans="2:9" x14ac:dyDescent="0.3">
      <c r="B1980" s="332"/>
      <c r="C1980" s="333"/>
      <c r="D1980" s="332"/>
      <c r="E1980" s="333"/>
      <c r="F1980" s="334"/>
      <c r="G1980" s="335"/>
      <c r="H1980" s="334"/>
      <c r="I1980" s="334"/>
    </row>
    <row r="1981" spans="2:9" x14ac:dyDescent="0.3">
      <c r="B1981" s="332"/>
      <c r="C1981" s="333"/>
      <c r="D1981" s="332"/>
      <c r="E1981" s="333"/>
      <c r="F1981" s="334"/>
      <c r="G1981" s="335"/>
      <c r="H1981" s="334"/>
      <c r="I1981" s="334"/>
    </row>
    <row r="1982" spans="2:9" x14ac:dyDescent="0.3">
      <c r="B1982" s="332"/>
      <c r="C1982" s="333"/>
      <c r="D1982" s="332"/>
      <c r="E1982" s="333"/>
      <c r="F1982" s="334"/>
      <c r="G1982" s="332"/>
      <c r="H1982" s="334" t="s">
        <v>628</v>
      </c>
      <c r="I1982" s="334">
        <f>SUM(H1979:H1981)</f>
        <v>3000</v>
      </c>
    </row>
    <row r="1983" spans="2:9" x14ac:dyDescent="0.3">
      <c r="B1983" s="332" t="s">
        <v>629</v>
      </c>
      <c r="C1983" s="333"/>
      <c r="D1983" s="332"/>
      <c r="E1983" s="333"/>
      <c r="F1983" s="334"/>
      <c r="G1983" s="332"/>
      <c r="H1983" s="334"/>
      <c r="I1983" s="334"/>
    </row>
    <row r="1984" spans="2:9" x14ac:dyDescent="0.3">
      <c r="B1984" s="332" t="s">
        <v>271</v>
      </c>
      <c r="C1984" s="333"/>
      <c r="D1984" s="332"/>
      <c r="E1984" s="333" t="s">
        <v>624</v>
      </c>
      <c r="F1984" s="334" t="s">
        <v>630</v>
      </c>
      <c r="G1984" s="332" t="s">
        <v>631</v>
      </c>
      <c r="H1984" s="334" t="s">
        <v>627</v>
      </c>
      <c r="I1984" s="334"/>
    </row>
    <row r="1985" spans="2:9" ht="57.6" x14ac:dyDescent="0.3">
      <c r="B1985" s="342" t="s">
        <v>694</v>
      </c>
      <c r="C1985" s="333"/>
      <c r="D1985" s="332"/>
      <c r="E1985" s="343" t="s">
        <v>33</v>
      </c>
      <c r="F1985" s="344">
        <v>199900</v>
      </c>
      <c r="G1985" s="345">
        <v>1</v>
      </c>
      <c r="H1985" s="344">
        <f>F1985*G1985</f>
        <v>199900</v>
      </c>
      <c r="I1985" s="344"/>
    </row>
    <row r="1986" spans="2:9" x14ac:dyDescent="0.3">
      <c r="B1986" s="332"/>
      <c r="C1986" s="333"/>
      <c r="D1986" s="332"/>
      <c r="E1986" s="333"/>
      <c r="F1986" s="334"/>
      <c r="G1986" s="332"/>
      <c r="H1986" s="334"/>
      <c r="I1986" s="334"/>
    </row>
    <row r="1987" spans="2:9" x14ac:dyDescent="0.3">
      <c r="B1987" s="332"/>
      <c r="C1987" s="333"/>
      <c r="D1987" s="332"/>
      <c r="E1987" s="333"/>
      <c r="F1987" s="334"/>
      <c r="G1987" s="332"/>
      <c r="H1987" s="334"/>
      <c r="I1987" s="334"/>
    </row>
    <row r="1988" spans="2:9" x14ac:dyDescent="0.3">
      <c r="B1988" s="332"/>
      <c r="C1988" s="333"/>
      <c r="D1988" s="332"/>
      <c r="E1988" s="333"/>
      <c r="F1988" s="334"/>
      <c r="G1988" s="332"/>
      <c r="H1988" s="334"/>
      <c r="I1988" s="334"/>
    </row>
    <row r="1989" spans="2:9" x14ac:dyDescent="0.3">
      <c r="B1989" s="332"/>
      <c r="C1989" s="333"/>
      <c r="D1989" s="332"/>
      <c r="E1989" s="333"/>
      <c r="F1989" s="334"/>
      <c r="G1989" s="332"/>
      <c r="H1989" s="334" t="s">
        <v>628</v>
      </c>
      <c r="I1989" s="334">
        <f>SUM(H1985:H1988)</f>
        <v>199900</v>
      </c>
    </row>
    <row r="1990" spans="2:9" x14ac:dyDescent="0.3">
      <c r="B1990" s="332" t="s">
        <v>632</v>
      </c>
      <c r="C1990" s="333"/>
      <c r="D1990" s="332"/>
      <c r="E1990" s="333" t="s">
        <v>624</v>
      </c>
      <c r="F1990" s="334" t="s">
        <v>633</v>
      </c>
      <c r="G1990" s="332" t="s">
        <v>634</v>
      </c>
      <c r="H1990" s="334" t="s">
        <v>627</v>
      </c>
      <c r="I1990" s="334"/>
    </row>
    <row r="1991" spans="2:9" x14ac:dyDescent="0.3">
      <c r="B1991" s="332"/>
      <c r="C1991" s="333"/>
      <c r="D1991" s="332"/>
      <c r="E1991" s="332"/>
      <c r="F1991" s="332"/>
      <c r="G1991" s="332"/>
      <c r="H1991" s="332"/>
      <c r="I1991" s="332"/>
    </row>
    <row r="1992" spans="2:9" x14ac:dyDescent="0.3">
      <c r="B1992" s="332"/>
      <c r="C1992" s="333"/>
      <c r="D1992" s="332"/>
      <c r="E1992" s="333"/>
      <c r="F1992" s="336"/>
      <c r="G1992" s="334"/>
      <c r="H1992" s="334"/>
      <c r="I1992" s="334"/>
    </row>
    <row r="1993" spans="2:9" x14ac:dyDescent="0.3">
      <c r="B1993" s="332"/>
      <c r="C1993" s="333"/>
      <c r="D1993" s="332"/>
      <c r="E1993" s="333"/>
      <c r="F1993" s="334"/>
      <c r="G1993" s="332"/>
      <c r="H1993" s="334" t="s">
        <v>628</v>
      </c>
      <c r="I1993" s="334">
        <f>SUM(H1992)</f>
        <v>0</v>
      </c>
    </row>
    <row r="1994" spans="2:9" x14ac:dyDescent="0.3">
      <c r="B1994" s="332" t="s">
        <v>635</v>
      </c>
      <c r="C1994" s="333"/>
      <c r="D1994" s="332"/>
      <c r="E1994" s="333"/>
      <c r="F1994" s="334"/>
      <c r="G1994" s="332"/>
      <c r="H1994" s="334"/>
      <c r="I1994" s="334"/>
    </row>
    <row r="1995" spans="2:9" x14ac:dyDescent="0.3">
      <c r="B1995" s="332" t="s">
        <v>636</v>
      </c>
      <c r="C1995" s="333"/>
      <c r="D1995" s="332"/>
      <c r="E1995" s="333" t="s">
        <v>637</v>
      </c>
      <c r="F1995" s="334" t="s">
        <v>638</v>
      </c>
      <c r="G1995" s="332" t="s">
        <v>626</v>
      </c>
      <c r="H1995" s="334" t="s">
        <v>627</v>
      </c>
      <c r="I1995" s="334"/>
    </row>
    <row r="1996" spans="2:9" x14ac:dyDescent="0.3">
      <c r="B1996" s="332" t="s">
        <v>645</v>
      </c>
      <c r="C1996" s="333"/>
      <c r="D1996" s="332"/>
      <c r="E1996" s="337">
        <v>168000</v>
      </c>
      <c r="F1996" s="334">
        <v>1.8</v>
      </c>
      <c r="G1996" s="338">
        <v>6.3466745078765996</v>
      </c>
      <c r="H1996" s="334">
        <f>E1996*F1996/G1996</f>
        <v>47646.999956387182</v>
      </c>
      <c r="I1996" s="334"/>
    </row>
    <row r="1997" spans="2:9" x14ac:dyDescent="0.3">
      <c r="B1997" s="332"/>
      <c r="C1997" s="333"/>
      <c r="D1997" s="332"/>
      <c r="E1997" s="333"/>
      <c r="F1997" s="334"/>
      <c r="G1997" s="332"/>
      <c r="H1997" s="334" t="s">
        <v>628</v>
      </c>
      <c r="I1997" s="334">
        <f>H1996</f>
        <v>47646.999956387182</v>
      </c>
    </row>
    <row r="1998" spans="2:9" x14ac:dyDescent="0.3">
      <c r="B1998" s="332"/>
      <c r="C1998" s="333"/>
      <c r="D1998" s="332"/>
      <c r="E1998" s="333"/>
      <c r="F1998" s="334"/>
      <c r="G1998" s="332"/>
      <c r="H1998" s="330" t="s">
        <v>640</v>
      </c>
      <c r="I1998" s="330">
        <f>I1997+I1989+I1982+I1993</f>
        <v>250546.99995638718</v>
      </c>
    </row>
    <row r="2000" spans="2:9" ht="43.2" x14ac:dyDescent="0.3">
      <c r="B2000" s="339" t="s">
        <v>695</v>
      </c>
      <c r="C2000" s="339" t="s">
        <v>621</v>
      </c>
      <c r="D2000" s="341" t="s">
        <v>532</v>
      </c>
      <c r="E2000" s="339"/>
      <c r="F2000" s="340"/>
      <c r="G2000" s="340" t="s">
        <v>622</v>
      </c>
      <c r="H2000" s="340" t="s">
        <v>33</v>
      </c>
      <c r="I2000" s="340">
        <f>+ROUND(I2022,0)</f>
        <v>320000</v>
      </c>
    </row>
    <row r="2001" spans="2:9" x14ac:dyDescent="0.3">
      <c r="B2001" s="332" t="s">
        <v>623</v>
      </c>
      <c r="C2001" s="333"/>
      <c r="D2001" s="332"/>
      <c r="E2001" s="333"/>
      <c r="F2001" s="334"/>
      <c r="G2001" s="332"/>
      <c r="H2001" s="334"/>
      <c r="I2001" s="334"/>
    </row>
    <row r="2002" spans="2:9" x14ac:dyDescent="0.3">
      <c r="B2002" s="332" t="s">
        <v>271</v>
      </c>
      <c r="C2002" s="333"/>
      <c r="D2002" s="332"/>
      <c r="E2002" s="333" t="s">
        <v>624</v>
      </c>
      <c r="F2002" s="334" t="s">
        <v>625</v>
      </c>
      <c r="G2002" s="332" t="s">
        <v>626</v>
      </c>
      <c r="H2002" s="334" t="s">
        <v>627</v>
      </c>
      <c r="I2002" s="334"/>
    </row>
    <row r="2003" spans="2:9" x14ac:dyDescent="0.3">
      <c r="B2003" s="332" t="s">
        <v>642</v>
      </c>
      <c r="C2003" s="333"/>
      <c r="D2003" s="332"/>
      <c r="E2003" s="333" t="s">
        <v>644</v>
      </c>
      <c r="F2003" s="334">
        <v>1500</v>
      </c>
      <c r="G2003" s="335">
        <v>2</v>
      </c>
      <c r="H2003" s="334">
        <f>F2003*G2003</f>
        <v>3000</v>
      </c>
      <c r="I2003" s="334"/>
    </row>
    <row r="2004" spans="2:9" x14ac:dyDescent="0.3">
      <c r="B2004" s="332"/>
      <c r="C2004" s="333"/>
      <c r="D2004" s="332"/>
      <c r="E2004" s="333"/>
      <c r="F2004" s="334"/>
      <c r="G2004" s="335"/>
      <c r="H2004" s="334"/>
      <c r="I2004" s="334"/>
    </row>
    <row r="2005" spans="2:9" x14ac:dyDescent="0.3">
      <c r="B2005" s="332"/>
      <c r="C2005" s="333"/>
      <c r="D2005" s="332"/>
      <c r="E2005" s="333"/>
      <c r="F2005" s="334"/>
      <c r="G2005" s="335"/>
      <c r="H2005" s="334"/>
      <c r="I2005" s="334"/>
    </row>
    <row r="2006" spans="2:9" x14ac:dyDescent="0.3">
      <c r="B2006" s="332"/>
      <c r="C2006" s="333"/>
      <c r="D2006" s="332"/>
      <c r="E2006" s="333"/>
      <c r="F2006" s="334"/>
      <c r="G2006" s="332"/>
      <c r="H2006" s="334" t="s">
        <v>628</v>
      </c>
      <c r="I2006" s="334">
        <f>SUM(H2003:H2005)</f>
        <v>3000</v>
      </c>
    </row>
    <row r="2007" spans="2:9" x14ac:dyDescent="0.3">
      <c r="B2007" s="332" t="s">
        <v>629</v>
      </c>
      <c r="C2007" s="333"/>
      <c r="D2007" s="332"/>
      <c r="E2007" s="333"/>
      <c r="F2007" s="334"/>
      <c r="G2007" s="332"/>
      <c r="H2007" s="334"/>
      <c r="I2007" s="334"/>
    </row>
    <row r="2008" spans="2:9" x14ac:dyDescent="0.3">
      <c r="B2008" s="332" t="s">
        <v>271</v>
      </c>
      <c r="C2008" s="333"/>
      <c r="D2008" s="332"/>
      <c r="E2008" s="333" t="s">
        <v>624</v>
      </c>
      <c r="F2008" s="334" t="s">
        <v>630</v>
      </c>
      <c r="G2008" s="332" t="s">
        <v>631</v>
      </c>
      <c r="H2008" s="334" t="s">
        <v>627</v>
      </c>
      <c r="I2008" s="334"/>
    </row>
    <row r="2009" spans="2:9" ht="43.2" x14ac:dyDescent="0.3">
      <c r="B2009" s="356" t="s">
        <v>768</v>
      </c>
      <c r="C2009" s="333"/>
      <c r="D2009" s="332"/>
      <c r="E2009" s="357" t="s">
        <v>60</v>
      </c>
      <c r="F2009" s="344">
        <v>280000</v>
      </c>
      <c r="G2009" s="345">
        <v>1</v>
      </c>
      <c r="H2009" s="344">
        <f>F2009*G2009</f>
        <v>280000</v>
      </c>
      <c r="I2009" s="344"/>
    </row>
    <row r="2010" spans="2:9" x14ac:dyDescent="0.3">
      <c r="B2010" s="332"/>
      <c r="C2010" s="333"/>
      <c r="D2010" s="332"/>
      <c r="E2010" s="333"/>
      <c r="F2010" s="334"/>
      <c r="G2010" s="332"/>
      <c r="H2010" s="334"/>
      <c r="I2010" s="334"/>
    </row>
    <row r="2011" spans="2:9" x14ac:dyDescent="0.3">
      <c r="B2011" s="332"/>
      <c r="C2011" s="333"/>
      <c r="D2011" s="332"/>
      <c r="E2011" s="333"/>
      <c r="F2011" s="334"/>
      <c r="G2011" s="332"/>
      <c r="H2011" s="334"/>
      <c r="I2011" s="334"/>
    </row>
    <row r="2012" spans="2:9" x14ac:dyDescent="0.3">
      <c r="B2012" s="332"/>
      <c r="C2012" s="333"/>
      <c r="D2012" s="332"/>
      <c r="E2012" s="333"/>
      <c r="F2012" s="334"/>
      <c r="G2012" s="332"/>
      <c r="H2012" s="334"/>
      <c r="I2012" s="334"/>
    </row>
    <row r="2013" spans="2:9" x14ac:dyDescent="0.3">
      <c r="B2013" s="332"/>
      <c r="C2013" s="333"/>
      <c r="D2013" s="332"/>
      <c r="E2013" s="333"/>
      <c r="F2013" s="334"/>
      <c r="G2013" s="332"/>
      <c r="H2013" s="334" t="s">
        <v>628</v>
      </c>
      <c r="I2013" s="334">
        <f>SUM(H2009:H2012)</f>
        <v>280000</v>
      </c>
    </row>
    <row r="2014" spans="2:9" x14ac:dyDescent="0.3">
      <c r="B2014" s="332" t="s">
        <v>632</v>
      </c>
      <c r="C2014" s="333"/>
      <c r="D2014" s="332"/>
      <c r="E2014" s="333" t="s">
        <v>624</v>
      </c>
      <c r="F2014" s="334" t="s">
        <v>633</v>
      </c>
      <c r="G2014" s="332" t="s">
        <v>634</v>
      </c>
      <c r="H2014" s="334" t="s">
        <v>627</v>
      </c>
      <c r="I2014" s="334"/>
    </row>
    <row r="2015" spans="2:9" x14ac:dyDescent="0.3">
      <c r="B2015" s="332"/>
      <c r="C2015" s="333"/>
      <c r="D2015" s="332"/>
      <c r="E2015" s="332"/>
      <c r="F2015" s="332"/>
      <c r="G2015" s="332"/>
      <c r="H2015" s="332"/>
      <c r="I2015" s="332"/>
    </row>
    <row r="2016" spans="2:9" x14ac:dyDescent="0.3">
      <c r="B2016" s="332"/>
      <c r="C2016" s="333"/>
      <c r="D2016" s="332"/>
      <c r="E2016" s="333"/>
      <c r="F2016" s="336"/>
      <c r="G2016" s="334"/>
      <c r="H2016" s="334"/>
      <c r="I2016" s="334"/>
    </row>
    <row r="2017" spans="2:9" x14ac:dyDescent="0.3">
      <c r="B2017" s="332"/>
      <c r="C2017" s="333"/>
      <c r="D2017" s="332"/>
      <c r="E2017" s="333"/>
      <c r="F2017" s="334"/>
      <c r="G2017" s="332"/>
      <c r="H2017" s="334" t="s">
        <v>628</v>
      </c>
      <c r="I2017" s="334">
        <f>SUM(H2016)</f>
        <v>0</v>
      </c>
    </row>
    <row r="2018" spans="2:9" x14ac:dyDescent="0.3">
      <c r="B2018" s="332" t="s">
        <v>635</v>
      </c>
      <c r="C2018" s="333"/>
      <c r="D2018" s="332"/>
      <c r="E2018" s="333"/>
      <c r="F2018" s="334"/>
      <c r="G2018" s="332"/>
      <c r="H2018" s="334"/>
      <c r="I2018" s="334"/>
    </row>
    <row r="2019" spans="2:9" x14ac:dyDescent="0.3">
      <c r="B2019" s="332" t="s">
        <v>636</v>
      </c>
      <c r="C2019" s="333"/>
      <c r="D2019" s="332"/>
      <c r="E2019" s="333" t="s">
        <v>637</v>
      </c>
      <c r="F2019" s="334" t="s">
        <v>638</v>
      </c>
      <c r="G2019" s="332" t="s">
        <v>626</v>
      </c>
      <c r="H2019" s="334" t="s">
        <v>627</v>
      </c>
      <c r="I2019" s="334"/>
    </row>
    <row r="2020" spans="2:9" x14ac:dyDescent="0.3">
      <c r="B2020" s="332" t="s">
        <v>645</v>
      </c>
      <c r="C2020" s="333"/>
      <c r="D2020" s="332"/>
      <c r="E2020" s="337">
        <v>168000</v>
      </c>
      <c r="F2020" s="334">
        <v>1.8</v>
      </c>
      <c r="G2020" s="338">
        <v>8.1729729224701444</v>
      </c>
      <c r="H2020" s="334">
        <f>E2020*F2020/G2020</f>
        <v>37000.000228632183</v>
      </c>
      <c r="I2020" s="334"/>
    </row>
    <row r="2021" spans="2:9" x14ac:dyDescent="0.3">
      <c r="B2021" s="332"/>
      <c r="C2021" s="333"/>
      <c r="D2021" s="332"/>
      <c r="E2021" s="333"/>
      <c r="F2021" s="334"/>
      <c r="G2021" s="332"/>
      <c r="H2021" s="334" t="s">
        <v>628</v>
      </c>
      <c r="I2021" s="334">
        <f>H2020</f>
        <v>37000.000228632183</v>
      </c>
    </row>
    <row r="2022" spans="2:9" x14ac:dyDescent="0.3">
      <c r="B2022" s="332"/>
      <c r="C2022" s="333"/>
      <c r="D2022" s="332"/>
      <c r="E2022" s="333"/>
      <c r="F2022" s="334"/>
      <c r="G2022" s="332"/>
      <c r="H2022" s="330" t="s">
        <v>640</v>
      </c>
      <c r="I2022" s="330">
        <f>I2021+I2013+I2006+I2017</f>
        <v>320000.00022863218</v>
      </c>
    </row>
    <row r="2024" spans="2:9" ht="100.8" x14ac:dyDescent="0.3">
      <c r="B2024" s="339" t="s">
        <v>700</v>
      </c>
      <c r="C2024" s="339" t="s">
        <v>621</v>
      </c>
      <c r="D2024" s="341" t="s">
        <v>100</v>
      </c>
      <c r="E2024" s="339"/>
      <c r="F2024" s="340"/>
      <c r="G2024" s="340" t="s">
        <v>622</v>
      </c>
      <c r="H2024" s="340" t="s">
        <v>33</v>
      </c>
      <c r="I2024" s="340">
        <f>+ROUND(I2046,0)</f>
        <v>35000</v>
      </c>
    </row>
    <row r="2025" spans="2:9" x14ac:dyDescent="0.3">
      <c r="B2025" s="332" t="s">
        <v>623</v>
      </c>
      <c r="C2025" s="333"/>
      <c r="D2025" s="332"/>
      <c r="E2025" s="333"/>
      <c r="F2025" s="334"/>
      <c r="G2025" s="332"/>
      <c r="H2025" s="334"/>
      <c r="I2025" s="334"/>
    </row>
    <row r="2026" spans="2:9" x14ac:dyDescent="0.3">
      <c r="B2026" s="332" t="s">
        <v>271</v>
      </c>
      <c r="C2026" s="333"/>
      <c r="D2026" s="332"/>
      <c r="E2026" s="333" t="s">
        <v>624</v>
      </c>
      <c r="F2026" s="334" t="s">
        <v>625</v>
      </c>
      <c r="G2026" s="332" t="s">
        <v>626</v>
      </c>
      <c r="H2026" s="334" t="s">
        <v>627</v>
      </c>
      <c r="I2026" s="334"/>
    </row>
    <row r="2027" spans="2:9" x14ac:dyDescent="0.3">
      <c r="B2027" s="332" t="s">
        <v>701</v>
      </c>
      <c r="C2027" s="333"/>
      <c r="D2027" s="332"/>
      <c r="E2027" s="333" t="s">
        <v>644</v>
      </c>
      <c r="F2027" s="334">
        <v>1500</v>
      </c>
      <c r="G2027" s="335">
        <v>2</v>
      </c>
      <c r="H2027" s="334">
        <f>F2027*G2027</f>
        <v>3000</v>
      </c>
      <c r="I2027" s="334"/>
    </row>
    <row r="2028" spans="2:9" x14ac:dyDescent="0.3">
      <c r="B2028" s="332"/>
      <c r="C2028" s="333"/>
      <c r="D2028" s="332"/>
      <c r="E2028" s="333"/>
      <c r="F2028" s="334"/>
      <c r="G2028" s="335"/>
      <c r="H2028" s="334"/>
      <c r="I2028" s="334"/>
    </row>
    <row r="2029" spans="2:9" x14ac:dyDescent="0.3">
      <c r="B2029" s="332"/>
      <c r="C2029" s="333"/>
      <c r="D2029" s="332"/>
      <c r="E2029" s="333"/>
      <c r="F2029" s="334"/>
      <c r="G2029" s="335"/>
      <c r="H2029" s="334"/>
      <c r="I2029" s="334"/>
    </row>
    <row r="2030" spans="2:9" x14ac:dyDescent="0.3">
      <c r="B2030" s="332"/>
      <c r="C2030" s="333"/>
      <c r="D2030" s="332"/>
      <c r="E2030" s="333"/>
      <c r="F2030" s="334"/>
      <c r="G2030" s="332"/>
      <c r="H2030" s="334" t="s">
        <v>628</v>
      </c>
      <c r="I2030" s="334">
        <f>SUM(H2027:H2029)</f>
        <v>3000</v>
      </c>
    </row>
    <row r="2031" spans="2:9" x14ac:dyDescent="0.3">
      <c r="B2031" s="332" t="s">
        <v>629</v>
      </c>
      <c r="C2031" s="333"/>
      <c r="D2031" s="332"/>
      <c r="E2031" s="333"/>
      <c r="F2031" s="334"/>
      <c r="G2031" s="332"/>
      <c r="H2031" s="334"/>
      <c r="I2031" s="334"/>
    </row>
    <row r="2032" spans="2:9" x14ac:dyDescent="0.3">
      <c r="B2032" s="332" t="s">
        <v>271</v>
      </c>
      <c r="C2032" s="333"/>
      <c r="D2032" s="332"/>
      <c r="E2032" s="333" t="s">
        <v>624</v>
      </c>
      <c r="F2032" s="334" t="s">
        <v>630</v>
      </c>
      <c r="G2032" s="332" t="s">
        <v>631</v>
      </c>
      <c r="H2032" s="334" t="s">
        <v>627</v>
      </c>
      <c r="I2032" s="334"/>
    </row>
    <row r="2033" spans="2:9" x14ac:dyDescent="0.3">
      <c r="B2033" s="342"/>
      <c r="C2033" s="333"/>
      <c r="D2033" s="332"/>
      <c r="E2033" s="343"/>
      <c r="F2033" s="344"/>
      <c r="G2033" s="345"/>
      <c r="H2033" s="344"/>
      <c r="I2033" s="344"/>
    </row>
    <row r="2034" spans="2:9" x14ac:dyDescent="0.3">
      <c r="B2034" s="332"/>
      <c r="C2034" s="333"/>
      <c r="D2034" s="332"/>
      <c r="E2034" s="333"/>
      <c r="F2034" s="334"/>
      <c r="G2034" s="332"/>
      <c r="H2034" s="334"/>
      <c r="I2034" s="334"/>
    </row>
    <row r="2035" spans="2:9" x14ac:dyDescent="0.3">
      <c r="B2035" s="332"/>
      <c r="C2035" s="333"/>
      <c r="D2035" s="332"/>
      <c r="E2035" s="333"/>
      <c r="F2035" s="334"/>
      <c r="G2035" s="332"/>
      <c r="H2035" s="334"/>
      <c r="I2035" s="334"/>
    </row>
    <row r="2036" spans="2:9" x14ac:dyDescent="0.3">
      <c r="B2036" s="332"/>
      <c r="C2036" s="333"/>
      <c r="D2036" s="332"/>
      <c r="E2036" s="333"/>
      <c r="F2036" s="334"/>
      <c r="G2036" s="332"/>
      <c r="H2036" s="334"/>
      <c r="I2036" s="334"/>
    </row>
    <row r="2037" spans="2:9" x14ac:dyDescent="0.3">
      <c r="B2037" s="332"/>
      <c r="C2037" s="333"/>
      <c r="D2037" s="332"/>
      <c r="E2037" s="333"/>
      <c r="F2037" s="334"/>
      <c r="G2037" s="332"/>
      <c r="H2037" s="334" t="s">
        <v>628</v>
      </c>
      <c r="I2037" s="334">
        <f>SUM(H2033:H2036)</f>
        <v>0</v>
      </c>
    </row>
    <row r="2038" spans="2:9" x14ac:dyDescent="0.3">
      <c r="B2038" s="332" t="s">
        <v>632</v>
      </c>
      <c r="C2038" s="333"/>
      <c r="D2038" s="332"/>
      <c r="E2038" s="333" t="s">
        <v>624</v>
      </c>
      <c r="F2038" s="334" t="s">
        <v>633</v>
      </c>
      <c r="G2038" s="332" t="s">
        <v>634</v>
      </c>
      <c r="H2038" s="334" t="s">
        <v>627</v>
      </c>
      <c r="I2038" s="334"/>
    </row>
    <row r="2039" spans="2:9" x14ac:dyDescent="0.3">
      <c r="B2039" s="332"/>
      <c r="C2039" s="333"/>
      <c r="D2039" s="332"/>
      <c r="E2039" s="332"/>
      <c r="F2039" s="332"/>
      <c r="G2039" s="332"/>
      <c r="H2039" s="332"/>
      <c r="I2039" s="332"/>
    </row>
    <row r="2040" spans="2:9" x14ac:dyDescent="0.3">
      <c r="B2040" s="332"/>
      <c r="C2040" s="333"/>
      <c r="D2040" s="332"/>
      <c r="E2040" s="333"/>
      <c r="F2040" s="336"/>
      <c r="G2040" s="334"/>
      <c r="H2040" s="334"/>
      <c r="I2040" s="334"/>
    </row>
    <row r="2041" spans="2:9" x14ac:dyDescent="0.3">
      <c r="B2041" s="332"/>
      <c r="C2041" s="333"/>
      <c r="D2041" s="332"/>
      <c r="E2041" s="333"/>
      <c r="F2041" s="334"/>
      <c r="G2041" s="332"/>
      <c r="H2041" s="334" t="s">
        <v>628</v>
      </c>
      <c r="I2041" s="334">
        <f>SUM(H2040)</f>
        <v>0</v>
      </c>
    </row>
    <row r="2042" spans="2:9" x14ac:dyDescent="0.3">
      <c r="B2042" s="332" t="s">
        <v>635</v>
      </c>
      <c r="C2042" s="333"/>
      <c r="D2042" s="332"/>
      <c r="E2042" s="333"/>
      <c r="F2042" s="334"/>
      <c r="G2042" s="332"/>
      <c r="H2042" s="334"/>
      <c r="I2042" s="334"/>
    </row>
    <row r="2043" spans="2:9" x14ac:dyDescent="0.3">
      <c r="B2043" s="332" t="s">
        <v>636</v>
      </c>
      <c r="C2043" s="333"/>
      <c r="D2043" s="332"/>
      <c r="E2043" s="333" t="s">
        <v>637</v>
      </c>
      <c r="F2043" s="334" t="s">
        <v>638</v>
      </c>
      <c r="G2043" s="332" t="s">
        <v>626</v>
      </c>
      <c r="H2043" s="334" t="s">
        <v>627</v>
      </c>
      <c r="I2043" s="334"/>
    </row>
    <row r="2044" spans="2:9" ht="28.8" x14ac:dyDescent="0.3">
      <c r="B2044" s="342" t="s">
        <v>702</v>
      </c>
      <c r="C2044" s="333"/>
      <c r="D2044" s="332"/>
      <c r="E2044" s="346">
        <v>168000</v>
      </c>
      <c r="F2044" s="344">
        <v>1.8</v>
      </c>
      <c r="G2044" s="347">
        <v>9.4499999999725102</v>
      </c>
      <c r="H2044" s="344">
        <f>E2044*F2044/G2044</f>
        <v>32000.000000093089</v>
      </c>
      <c r="I2044" s="344"/>
    </row>
    <row r="2045" spans="2:9" x14ac:dyDescent="0.3">
      <c r="B2045" s="332"/>
      <c r="C2045" s="333"/>
      <c r="D2045" s="332"/>
      <c r="E2045" s="333"/>
      <c r="F2045" s="334"/>
      <c r="G2045" s="332"/>
      <c r="H2045" s="334" t="s">
        <v>628</v>
      </c>
      <c r="I2045" s="334">
        <f>H2044</f>
        <v>32000.000000093089</v>
      </c>
    </row>
    <row r="2046" spans="2:9" x14ac:dyDescent="0.3">
      <c r="B2046" s="332"/>
      <c r="C2046" s="333"/>
      <c r="D2046" s="332"/>
      <c r="E2046" s="333"/>
      <c r="F2046" s="334"/>
      <c r="G2046" s="332"/>
      <c r="H2046" s="330" t="s">
        <v>640</v>
      </c>
      <c r="I2046" s="330">
        <f>I2045+I2037+I2030+I2041</f>
        <v>35000.000000093089</v>
      </c>
    </row>
    <row r="2048" spans="2:9" ht="144" x14ac:dyDescent="0.3">
      <c r="B2048" s="339" t="s">
        <v>703</v>
      </c>
      <c r="C2048" s="339" t="s">
        <v>621</v>
      </c>
      <c r="D2048" s="341" t="s">
        <v>565</v>
      </c>
      <c r="E2048" s="339"/>
      <c r="F2048" s="340"/>
      <c r="G2048" s="340" t="s">
        <v>622</v>
      </c>
      <c r="H2048" s="340" t="s">
        <v>33</v>
      </c>
      <c r="I2048" s="340">
        <f>+ROUND(I2070,0)</f>
        <v>20000</v>
      </c>
    </row>
    <row r="2049" spans="2:9" x14ac:dyDescent="0.3">
      <c r="B2049" s="332" t="s">
        <v>623</v>
      </c>
      <c r="C2049" s="333"/>
      <c r="D2049" s="332"/>
      <c r="E2049" s="333"/>
      <c r="F2049" s="334"/>
      <c r="G2049" s="332"/>
      <c r="H2049" s="334"/>
      <c r="I2049" s="334"/>
    </row>
    <row r="2050" spans="2:9" x14ac:dyDescent="0.3">
      <c r="B2050" s="332" t="s">
        <v>271</v>
      </c>
      <c r="C2050" s="333"/>
      <c r="D2050" s="332"/>
      <c r="E2050" s="333" t="s">
        <v>624</v>
      </c>
      <c r="F2050" s="334" t="s">
        <v>625</v>
      </c>
      <c r="G2050" s="332" t="s">
        <v>626</v>
      </c>
      <c r="H2050" s="334" t="s">
        <v>627</v>
      </c>
      <c r="I2050" s="334"/>
    </row>
    <row r="2051" spans="2:9" x14ac:dyDescent="0.3">
      <c r="B2051" s="332" t="s">
        <v>701</v>
      </c>
      <c r="C2051" s="333"/>
      <c r="D2051" s="332"/>
      <c r="E2051" s="333" t="s">
        <v>644</v>
      </c>
      <c r="F2051" s="334">
        <v>1500</v>
      </c>
      <c r="G2051" s="335">
        <v>2</v>
      </c>
      <c r="H2051" s="334">
        <f>F2051*G2051</f>
        <v>3000</v>
      </c>
      <c r="I2051" s="334"/>
    </row>
    <row r="2052" spans="2:9" x14ac:dyDescent="0.3">
      <c r="B2052" s="332"/>
      <c r="C2052" s="333"/>
      <c r="D2052" s="332"/>
      <c r="E2052" s="333"/>
      <c r="F2052" s="334"/>
      <c r="G2052" s="335"/>
      <c r="H2052" s="334"/>
      <c r="I2052" s="334"/>
    </row>
    <row r="2053" spans="2:9" x14ac:dyDescent="0.3">
      <c r="B2053" s="332"/>
      <c r="C2053" s="333"/>
      <c r="D2053" s="332"/>
      <c r="E2053" s="333"/>
      <c r="F2053" s="334"/>
      <c r="G2053" s="335"/>
      <c r="H2053" s="334"/>
      <c r="I2053" s="334"/>
    </row>
    <row r="2054" spans="2:9" x14ac:dyDescent="0.3">
      <c r="B2054" s="332"/>
      <c r="C2054" s="333"/>
      <c r="D2054" s="332"/>
      <c r="E2054" s="333"/>
      <c r="F2054" s="334"/>
      <c r="G2054" s="332"/>
      <c r="H2054" s="334" t="s">
        <v>628</v>
      </c>
      <c r="I2054" s="334">
        <f>SUM(H2051:H2053)</f>
        <v>3000</v>
      </c>
    </row>
    <row r="2055" spans="2:9" x14ac:dyDescent="0.3">
      <c r="B2055" s="332" t="s">
        <v>629</v>
      </c>
      <c r="C2055" s="333"/>
      <c r="D2055" s="332"/>
      <c r="E2055" s="333"/>
      <c r="F2055" s="334"/>
      <c r="G2055" s="332"/>
      <c r="H2055" s="334"/>
      <c r="I2055" s="334"/>
    </row>
    <row r="2056" spans="2:9" x14ac:dyDescent="0.3">
      <c r="B2056" s="332" t="s">
        <v>271</v>
      </c>
      <c r="C2056" s="333"/>
      <c r="D2056" s="332"/>
      <c r="E2056" s="333" t="s">
        <v>624</v>
      </c>
      <c r="F2056" s="334" t="s">
        <v>630</v>
      </c>
      <c r="G2056" s="332" t="s">
        <v>631</v>
      </c>
      <c r="H2056" s="334" t="s">
        <v>627</v>
      </c>
      <c r="I2056" s="334"/>
    </row>
    <row r="2057" spans="2:9" x14ac:dyDescent="0.3">
      <c r="B2057" s="342"/>
      <c r="C2057" s="333"/>
      <c r="D2057" s="332"/>
      <c r="E2057" s="343"/>
      <c r="F2057" s="344"/>
      <c r="G2057" s="345"/>
      <c r="H2057" s="344"/>
      <c r="I2057" s="344"/>
    </row>
    <row r="2058" spans="2:9" x14ac:dyDescent="0.3">
      <c r="B2058" s="332"/>
      <c r="C2058" s="333"/>
      <c r="D2058" s="332"/>
      <c r="E2058" s="333"/>
      <c r="F2058" s="334"/>
      <c r="G2058" s="332"/>
      <c r="H2058" s="334"/>
      <c r="I2058" s="334"/>
    </row>
    <row r="2059" spans="2:9" x14ac:dyDescent="0.3">
      <c r="B2059" s="332"/>
      <c r="C2059" s="333"/>
      <c r="D2059" s="332"/>
      <c r="E2059" s="333"/>
      <c r="F2059" s="334"/>
      <c r="G2059" s="332"/>
      <c r="H2059" s="334"/>
      <c r="I2059" s="334"/>
    </row>
    <row r="2060" spans="2:9" x14ac:dyDescent="0.3">
      <c r="B2060" s="332"/>
      <c r="C2060" s="333"/>
      <c r="D2060" s="332"/>
      <c r="E2060" s="333"/>
      <c r="F2060" s="334"/>
      <c r="G2060" s="332"/>
      <c r="H2060" s="334"/>
      <c r="I2060" s="334"/>
    </row>
    <row r="2061" spans="2:9" x14ac:dyDescent="0.3">
      <c r="B2061" s="332"/>
      <c r="C2061" s="333"/>
      <c r="D2061" s="332"/>
      <c r="E2061" s="333"/>
      <c r="F2061" s="334"/>
      <c r="G2061" s="332"/>
      <c r="H2061" s="334" t="s">
        <v>628</v>
      </c>
      <c r="I2061" s="334">
        <f>SUM(H2057:H2060)</f>
        <v>0</v>
      </c>
    </row>
    <row r="2062" spans="2:9" x14ac:dyDescent="0.3">
      <c r="B2062" s="332" t="s">
        <v>632</v>
      </c>
      <c r="C2062" s="333"/>
      <c r="D2062" s="332"/>
      <c r="E2062" s="333" t="s">
        <v>624</v>
      </c>
      <c r="F2062" s="334" t="s">
        <v>633</v>
      </c>
      <c r="G2062" s="332" t="s">
        <v>634</v>
      </c>
      <c r="H2062" s="334" t="s">
        <v>627</v>
      </c>
      <c r="I2062" s="334"/>
    </row>
    <row r="2063" spans="2:9" x14ac:dyDescent="0.3">
      <c r="B2063" s="332"/>
      <c r="C2063" s="333"/>
      <c r="D2063" s="332"/>
      <c r="E2063" s="332"/>
      <c r="F2063" s="332"/>
      <c r="G2063" s="332"/>
      <c r="H2063" s="332"/>
      <c r="I2063" s="332"/>
    </row>
    <row r="2064" spans="2:9" x14ac:dyDescent="0.3">
      <c r="B2064" s="332"/>
      <c r="C2064" s="333"/>
      <c r="D2064" s="332"/>
      <c r="E2064" s="333"/>
      <c r="F2064" s="336"/>
      <c r="G2064" s="334"/>
      <c r="H2064" s="334"/>
      <c r="I2064" s="334"/>
    </row>
    <row r="2065" spans="2:9" x14ac:dyDescent="0.3">
      <c r="B2065" s="332"/>
      <c r="C2065" s="333"/>
      <c r="D2065" s="332"/>
      <c r="E2065" s="333"/>
      <c r="F2065" s="334"/>
      <c r="G2065" s="332"/>
      <c r="H2065" s="334" t="s">
        <v>628</v>
      </c>
      <c r="I2065" s="334">
        <f>SUM(H2064)</f>
        <v>0</v>
      </c>
    </row>
    <row r="2066" spans="2:9" x14ac:dyDescent="0.3">
      <c r="B2066" s="332" t="s">
        <v>635</v>
      </c>
      <c r="C2066" s="333"/>
      <c r="D2066" s="332"/>
      <c r="E2066" s="333"/>
      <c r="F2066" s="334"/>
      <c r="G2066" s="332"/>
      <c r="H2066" s="334"/>
      <c r="I2066" s="334"/>
    </row>
    <row r="2067" spans="2:9" x14ac:dyDescent="0.3">
      <c r="B2067" s="332" t="s">
        <v>636</v>
      </c>
      <c r="C2067" s="333"/>
      <c r="D2067" s="332"/>
      <c r="E2067" s="333" t="s">
        <v>637</v>
      </c>
      <c r="F2067" s="334" t="s">
        <v>638</v>
      </c>
      <c r="G2067" s="332" t="s">
        <v>626</v>
      </c>
      <c r="H2067" s="334" t="s">
        <v>627</v>
      </c>
      <c r="I2067" s="334"/>
    </row>
    <row r="2068" spans="2:9" ht="28.8" x14ac:dyDescent="0.3">
      <c r="B2068" s="342" t="s">
        <v>702</v>
      </c>
      <c r="C2068" s="333"/>
      <c r="D2068" s="332"/>
      <c r="E2068" s="346">
        <v>168000</v>
      </c>
      <c r="F2068" s="344">
        <v>1.8</v>
      </c>
      <c r="G2068" s="347">
        <v>17.788235291403911</v>
      </c>
      <c r="H2068" s="344">
        <f>E2068*F2068/G2068</f>
        <v>17000.000002593486</v>
      </c>
      <c r="I2068" s="344"/>
    </row>
    <row r="2069" spans="2:9" x14ac:dyDescent="0.3">
      <c r="B2069" s="332"/>
      <c r="C2069" s="333"/>
      <c r="D2069" s="332"/>
      <c r="E2069" s="333"/>
      <c r="F2069" s="334"/>
      <c r="G2069" s="332"/>
      <c r="H2069" s="334" t="s">
        <v>628</v>
      </c>
      <c r="I2069" s="334">
        <f>H2068</f>
        <v>17000.000002593486</v>
      </c>
    </row>
    <row r="2070" spans="2:9" x14ac:dyDescent="0.3">
      <c r="B2070" s="332"/>
      <c r="C2070" s="333"/>
      <c r="D2070" s="332"/>
      <c r="E2070" s="333"/>
      <c r="F2070" s="334"/>
      <c r="G2070" s="332"/>
      <c r="H2070" s="330" t="s">
        <v>640</v>
      </c>
      <c r="I2070" s="330">
        <f>I2069+I2061+I2054+I2065</f>
        <v>20000.000002593486</v>
      </c>
    </row>
    <row r="2072" spans="2:9" ht="129.6" x14ac:dyDescent="0.3">
      <c r="B2072" s="339" t="s">
        <v>704</v>
      </c>
      <c r="C2072" s="339" t="s">
        <v>621</v>
      </c>
      <c r="D2072" s="341" t="s">
        <v>564</v>
      </c>
      <c r="E2072" s="339"/>
      <c r="F2072" s="340"/>
      <c r="G2072" s="340" t="s">
        <v>622</v>
      </c>
      <c r="H2072" s="340" t="s">
        <v>33</v>
      </c>
      <c r="I2072" s="340">
        <f>+ROUND(I2094,0)</f>
        <v>20000</v>
      </c>
    </row>
    <row r="2073" spans="2:9" x14ac:dyDescent="0.3">
      <c r="B2073" s="332" t="s">
        <v>623</v>
      </c>
      <c r="C2073" s="333"/>
      <c r="D2073" s="332"/>
      <c r="E2073" s="333"/>
      <c r="F2073" s="334"/>
      <c r="G2073" s="332"/>
      <c r="H2073" s="334"/>
      <c r="I2073" s="334"/>
    </row>
    <row r="2074" spans="2:9" x14ac:dyDescent="0.3">
      <c r="B2074" s="332" t="s">
        <v>271</v>
      </c>
      <c r="C2074" s="333"/>
      <c r="D2074" s="332"/>
      <c r="E2074" s="333" t="s">
        <v>624</v>
      </c>
      <c r="F2074" s="334" t="s">
        <v>625</v>
      </c>
      <c r="G2074" s="332" t="s">
        <v>626</v>
      </c>
      <c r="H2074" s="334" t="s">
        <v>627</v>
      </c>
      <c r="I2074" s="334"/>
    </row>
    <row r="2075" spans="2:9" x14ac:dyDescent="0.3">
      <c r="B2075" s="332" t="s">
        <v>701</v>
      </c>
      <c r="C2075" s="333"/>
      <c r="D2075" s="332"/>
      <c r="E2075" s="333" t="s">
        <v>644</v>
      </c>
      <c r="F2075" s="334">
        <v>1500</v>
      </c>
      <c r="G2075" s="335">
        <v>2</v>
      </c>
      <c r="H2075" s="334">
        <f>F2075*G2075</f>
        <v>3000</v>
      </c>
      <c r="I2075" s="334"/>
    </row>
    <row r="2076" spans="2:9" x14ac:dyDescent="0.3">
      <c r="B2076" s="332"/>
      <c r="C2076" s="333"/>
      <c r="D2076" s="332"/>
      <c r="E2076" s="333"/>
      <c r="F2076" s="334"/>
      <c r="G2076" s="335"/>
      <c r="H2076" s="334"/>
      <c r="I2076" s="334"/>
    </row>
    <row r="2077" spans="2:9" x14ac:dyDescent="0.3">
      <c r="B2077" s="332"/>
      <c r="C2077" s="333"/>
      <c r="D2077" s="332"/>
      <c r="E2077" s="333"/>
      <c r="F2077" s="334"/>
      <c r="G2077" s="335"/>
      <c r="H2077" s="334"/>
      <c r="I2077" s="334"/>
    </row>
    <row r="2078" spans="2:9" x14ac:dyDescent="0.3">
      <c r="B2078" s="332"/>
      <c r="C2078" s="333"/>
      <c r="D2078" s="332"/>
      <c r="E2078" s="333"/>
      <c r="F2078" s="334"/>
      <c r="G2078" s="332"/>
      <c r="H2078" s="334" t="s">
        <v>628</v>
      </c>
      <c r="I2078" s="334">
        <f>SUM(H2075:H2077)</f>
        <v>3000</v>
      </c>
    </row>
    <row r="2079" spans="2:9" x14ac:dyDescent="0.3">
      <c r="B2079" s="332" t="s">
        <v>629</v>
      </c>
      <c r="C2079" s="333"/>
      <c r="D2079" s="332"/>
      <c r="E2079" s="333"/>
      <c r="F2079" s="334"/>
      <c r="G2079" s="332"/>
      <c r="H2079" s="334"/>
      <c r="I2079" s="334"/>
    </row>
    <row r="2080" spans="2:9" x14ac:dyDescent="0.3">
      <c r="B2080" s="332" t="s">
        <v>271</v>
      </c>
      <c r="C2080" s="333"/>
      <c r="D2080" s="332"/>
      <c r="E2080" s="333" t="s">
        <v>624</v>
      </c>
      <c r="F2080" s="334" t="s">
        <v>630</v>
      </c>
      <c r="G2080" s="332" t="s">
        <v>631</v>
      </c>
      <c r="H2080" s="334" t="s">
        <v>627</v>
      </c>
      <c r="I2080" s="334"/>
    </row>
    <row r="2081" spans="2:9" x14ac:dyDescent="0.3">
      <c r="B2081" s="342"/>
      <c r="C2081" s="333"/>
      <c r="D2081" s="332"/>
      <c r="E2081" s="343"/>
      <c r="F2081" s="344"/>
      <c r="G2081" s="345"/>
      <c r="H2081" s="344"/>
      <c r="I2081" s="344"/>
    </row>
    <row r="2082" spans="2:9" x14ac:dyDescent="0.3">
      <c r="B2082" s="332"/>
      <c r="C2082" s="333"/>
      <c r="D2082" s="332"/>
      <c r="E2082" s="333"/>
      <c r="F2082" s="334"/>
      <c r="G2082" s="332"/>
      <c r="H2082" s="334"/>
      <c r="I2082" s="334"/>
    </row>
    <row r="2083" spans="2:9" x14ac:dyDescent="0.3">
      <c r="B2083" s="332"/>
      <c r="C2083" s="333"/>
      <c r="D2083" s="332"/>
      <c r="E2083" s="333"/>
      <c r="F2083" s="334"/>
      <c r="G2083" s="332"/>
      <c r="H2083" s="334"/>
      <c r="I2083" s="334"/>
    </row>
    <row r="2084" spans="2:9" x14ac:dyDescent="0.3">
      <c r="B2084" s="332"/>
      <c r="C2084" s="333"/>
      <c r="D2084" s="332"/>
      <c r="E2084" s="333"/>
      <c r="F2084" s="334"/>
      <c r="G2084" s="332"/>
      <c r="H2084" s="334"/>
      <c r="I2084" s="334"/>
    </row>
    <row r="2085" spans="2:9" x14ac:dyDescent="0.3">
      <c r="B2085" s="332"/>
      <c r="C2085" s="333"/>
      <c r="D2085" s="332"/>
      <c r="E2085" s="333"/>
      <c r="F2085" s="334"/>
      <c r="G2085" s="332"/>
      <c r="H2085" s="334" t="s">
        <v>628</v>
      </c>
      <c r="I2085" s="334">
        <f>SUM(H2081:H2084)</f>
        <v>0</v>
      </c>
    </row>
    <row r="2086" spans="2:9" x14ac:dyDescent="0.3">
      <c r="B2086" s="332" t="s">
        <v>632</v>
      </c>
      <c r="C2086" s="333"/>
      <c r="D2086" s="332"/>
      <c r="E2086" s="333" t="s">
        <v>624</v>
      </c>
      <c r="F2086" s="334" t="s">
        <v>633</v>
      </c>
      <c r="G2086" s="332" t="s">
        <v>634</v>
      </c>
      <c r="H2086" s="334" t="s">
        <v>627</v>
      </c>
      <c r="I2086" s="334"/>
    </row>
    <row r="2087" spans="2:9" x14ac:dyDescent="0.3">
      <c r="B2087" s="332"/>
      <c r="C2087" s="333"/>
      <c r="D2087" s="332"/>
      <c r="E2087" s="332"/>
      <c r="F2087" s="332"/>
      <c r="G2087" s="332"/>
      <c r="H2087" s="332"/>
      <c r="I2087" s="332"/>
    </row>
    <row r="2088" spans="2:9" x14ac:dyDescent="0.3">
      <c r="B2088" s="332"/>
      <c r="C2088" s="333"/>
      <c r="D2088" s="332"/>
      <c r="E2088" s="333"/>
      <c r="F2088" s="336"/>
      <c r="G2088" s="334"/>
      <c r="H2088" s="334"/>
      <c r="I2088" s="334"/>
    </row>
    <row r="2089" spans="2:9" x14ac:dyDescent="0.3">
      <c r="B2089" s="332"/>
      <c r="C2089" s="333"/>
      <c r="D2089" s="332"/>
      <c r="E2089" s="333"/>
      <c r="F2089" s="334"/>
      <c r="G2089" s="332"/>
      <c r="H2089" s="334" t="s">
        <v>628</v>
      </c>
      <c r="I2089" s="334">
        <f>SUM(H2088)</f>
        <v>0</v>
      </c>
    </row>
    <row r="2090" spans="2:9" x14ac:dyDescent="0.3">
      <c r="B2090" s="332" t="s">
        <v>635</v>
      </c>
      <c r="C2090" s="333"/>
      <c r="D2090" s="332"/>
      <c r="E2090" s="333"/>
      <c r="F2090" s="334"/>
      <c r="G2090" s="332"/>
      <c r="H2090" s="334"/>
      <c r="I2090" s="334"/>
    </row>
    <row r="2091" spans="2:9" x14ac:dyDescent="0.3">
      <c r="B2091" s="332" t="s">
        <v>636</v>
      </c>
      <c r="C2091" s="333"/>
      <c r="D2091" s="332"/>
      <c r="E2091" s="333" t="s">
        <v>637</v>
      </c>
      <c r="F2091" s="334" t="s">
        <v>638</v>
      </c>
      <c r="G2091" s="332" t="s">
        <v>626</v>
      </c>
      <c r="H2091" s="334" t="s">
        <v>627</v>
      </c>
      <c r="I2091" s="334"/>
    </row>
    <row r="2092" spans="2:9" ht="28.8" x14ac:dyDescent="0.3">
      <c r="B2092" s="342" t="s">
        <v>702</v>
      </c>
      <c r="C2092" s="333"/>
      <c r="D2092" s="332"/>
      <c r="E2092" s="346">
        <v>168000</v>
      </c>
      <c r="F2092" s="344">
        <v>1.8</v>
      </c>
      <c r="G2092" s="347">
        <v>17.788235291403911</v>
      </c>
      <c r="H2092" s="344">
        <f>E2092*F2092/G2092</f>
        <v>17000.000002593486</v>
      </c>
      <c r="I2092" s="344"/>
    </row>
    <row r="2093" spans="2:9" x14ac:dyDescent="0.3">
      <c r="B2093" s="332"/>
      <c r="C2093" s="333"/>
      <c r="D2093" s="332"/>
      <c r="E2093" s="333"/>
      <c r="F2093" s="334"/>
      <c r="G2093" s="332"/>
      <c r="H2093" s="334" t="s">
        <v>628</v>
      </c>
      <c r="I2093" s="334">
        <f>H2092</f>
        <v>17000.000002593486</v>
      </c>
    </row>
    <row r="2094" spans="2:9" x14ac:dyDescent="0.3">
      <c r="B2094" s="332"/>
      <c r="C2094" s="333"/>
      <c r="D2094" s="332"/>
      <c r="E2094" s="333"/>
      <c r="F2094" s="334"/>
      <c r="G2094" s="332"/>
      <c r="H2094" s="330" t="s">
        <v>640</v>
      </c>
      <c r="I2094" s="330">
        <f>I2093+I2085+I2078+I2089</f>
        <v>20000.000002593486</v>
      </c>
    </row>
    <row r="2096" spans="2:9" ht="129.6" x14ac:dyDescent="0.3">
      <c r="B2096" s="339" t="s">
        <v>705</v>
      </c>
      <c r="C2096" s="339" t="s">
        <v>621</v>
      </c>
      <c r="D2096" s="341" t="s">
        <v>563</v>
      </c>
      <c r="E2096" s="339"/>
      <c r="F2096" s="340"/>
      <c r="G2096" s="340" t="s">
        <v>622</v>
      </c>
      <c r="H2096" s="340" t="s">
        <v>33</v>
      </c>
      <c r="I2096" s="340">
        <f>+ROUND(I2118,0)</f>
        <v>20000</v>
      </c>
    </row>
    <row r="2097" spans="2:9" x14ac:dyDescent="0.3">
      <c r="B2097" s="332" t="s">
        <v>623</v>
      </c>
      <c r="C2097" s="333"/>
      <c r="D2097" s="332"/>
      <c r="E2097" s="333"/>
      <c r="F2097" s="334"/>
      <c r="G2097" s="332"/>
      <c r="H2097" s="334"/>
      <c r="I2097" s="334"/>
    </row>
    <row r="2098" spans="2:9" x14ac:dyDescent="0.3">
      <c r="B2098" s="332" t="s">
        <v>271</v>
      </c>
      <c r="C2098" s="333"/>
      <c r="D2098" s="332"/>
      <c r="E2098" s="333" t="s">
        <v>624</v>
      </c>
      <c r="F2098" s="334" t="s">
        <v>625</v>
      </c>
      <c r="G2098" s="332" t="s">
        <v>626</v>
      </c>
      <c r="H2098" s="334" t="s">
        <v>627</v>
      </c>
      <c r="I2098" s="334"/>
    </row>
    <row r="2099" spans="2:9" x14ac:dyDescent="0.3">
      <c r="B2099" s="332" t="s">
        <v>701</v>
      </c>
      <c r="C2099" s="333"/>
      <c r="D2099" s="332"/>
      <c r="E2099" s="333" t="s">
        <v>644</v>
      </c>
      <c r="F2099" s="334">
        <v>1500</v>
      </c>
      <c r="G2099" s="335">
        <v>2</v>
      </c>
      <c r="H2099" s="334">
        <f>F2099*G2099</f>
        <v>3000</v>
      </c>
      <c r="I2099" s="334"/>
    </row>
    <row r="2100" spans="2:9" x14ac:dyDescent="0.3">
      <c r="B2100" s="332"/>
      <c r="C2100" s="333"/>
      <c r="D2100" s="332"/>
      <c r="E2100" s="333"/>
      <c r="F2100" s="334"/>
      <c r="G2100" s="335"/>
      <c r="H2100" s="334"/>
      <c r="I2100" s="334"/>
    </row>
    <row r="2101" spans="2:9" x14ac:dyDescent="0.3">
      <c r="B2101" s="332"/>
      <c r="C2101" s="333"/>
      <c r="D2101" s="332"/>
      <c r="E2101" s="333"/>
      <c r="F2101" s="334"/>
      <c r="G2101" s="335"/>
      <c r="H2101" s="334"/>
      <c r="I2101" s="334"/>
    </row>
    <row r="2102" spans="2:9" x14ac:dyDescent="0.3">
      <c r="B2102" s="332"/>
      <c r="C2102" s="333"/>
      <c r="D2102" s="332"/>
      <c r="E2102" s="333"/>
      <c r="F2102" s="334"/>
      <c r="G2102" s="332"/>
      <c r="H2102" s="334" t="s">
        <v>628</v>
      </c>
      <c r="I2102" s="334">
        <f>SUM(H2099:H2101)</f>
        <v>3000</v>
      </c>
    </row>
    <row r="2103" spans="2:9" x14ac:dyDescent="0.3">
      <c r="B2103" s="332" t="s">
        <v>629</v>
      </c>
      <c r="C2103" s="333"/>
      <c r="D2103" s="332"/>
      <c r="E2103" s="333"/>
      <c r="F2103" s="334"/>
      <c r="G2103" s="332"/>
      <c r="H2103" s="334"/>
      <c r="I2103" s="334"/>
    </row>
    <row r="2104" spans="2:9" x14ac:dyDescent="0.3">
      <c r="B2104" s="332" t="s">
        <v>271</v>
      </c>
      <c r="C2104" s="333"/>
      <c r="D2104" s="332"/>
      <c r="E2104" s="333" t="s">
        <v>624</v>
      </c>
      <c r="F2104" s="334" t="s">
        <v>630</v>
      </c>
      <c r="G2104" s="332" t="s">
        <v>631</v>
      </c>
      <c r="H2104" s="334" t="s">
        <v>627</v>
      </c>
      <c r="I2104" s="334"/>
    </row>
    <row r="2105" spans="2:9" x14ac:dyDescent="0.3">
      <c r="B2105" s="342"/>
      <c r="C2105" s="333"/>
      <c r="D2105" s="332"/>
      <c r="E2105" s="343"/>
      <c r="F2105" s="344"/>
      <c r="G2105" s="345"/>
      <c r="H2105" s="344"/>
      <c r="I2105" s="344"/>
    </row>
    <row r="2106" spans="2:9" x14ac:dyDescent="0.3">
      <c r="B2106" s="332"/>
      <c r="C2106" s="333"/>
      <c r="D2106" s="332"/>
      <c r="E2106" s="333"/>
      <c r="F2106" s="334"/>
      <c r="G2106" s="332"/>
      <c r="H2106" s="334"/>
      <c r="I2106" s="334"/>
    </row>
    <row r="2107" spans="2:9" x14ac:dyDescent="0.3">
      <c r="B2107" s="332"/>
      <c r="C2107" s="333"/>
      <c r="D2107" s="332"/>
      <c r="E2107" s="333"/>
      <c r="F2107" s="334"/>
      <c r="G2107" s="332"/>
      <c r="H2107" s="334"/>
      <c r="I2107" s="334"/>
    </row>
    <row r="2108" spans="2:9" x14ac:dyDescent="0.3">
      <c r="B2108" s="332"/>
      <c r="C2108" s="333"/>
      <c r="D2108" s="332"/>
      <c r="E2108" s="333"/>
      <c r="F2108" s="334"/>
      <c r="G2108" s="332"/>
      <c r="H2108" s="334"/>
      <c r="I2108" s="334"/>
    </row>
    <row r="2109" spans="2:9" x14ac:dyDescent="0.3">
      <c r="B2109" s="332"/>
      <c r="C2109" s="333"/>
      <c r="D2109" s="332"/>
      <c r="E2109" s="333"/>
      <c r="F2109" s="334"/>
      <c r="G2109" s="332"/>
      <c r="H2109" s="334" t="s">
        <v>628</v>
      </c>
      <c r="I2109" s="334">
        <f>SUM(H2105:H2108)</f>
        <v>0</v>
      </c>
    </row>
    <row r="2110" spans="2:9" x14ac:dyDescent="0.3">
      <c r="B2110" s="332" t="s">
        <v>632</v>
      </c>
      <c r="C2110" s="333"/>
      <c r="D2110" s="332"/>
      <c r="E2110" s="333" t="s">
        <v>624</v>
      </c>
      <c r="F2110" s="334" t="s">
        <v>633</v>
      </c>
      <c r="G2110" s="332" t="s">
        <v>634</v>
      </c>
      <c r="H2110" s="334" t="s">
        <v>627</v>
      </c>
      <c r="I2110" s="334"/>
    </row>
    <row r="2111" spans="2:9" x14ac:dyDescent="0.3">
      <c r="B2111" s="332"/>
      <c r="C2111" s="333"/>
      <c r="D2111" s="332"/>
      <c r="E2111" s="332"/>
      <c r="F2111" s="332"/>
      <c r="G2111" s="332"/>
      <c r="H2111" s="332"/>
      <c r="I2111" s="332"/>
    </row>
    <row r="2112" spans="2:9" x14ac:dyDescent="0.3">
      <c r="B2112" s="332"/>
      <c r="C2112" s="333"/>
      <c r="D2112" s="332"/>
      <c r="E2112" s="333"/>
      <c r="F2112" s="336"/>
      <c r="G2112" s="334"/>
      <c r="H2112" s="334"/>
      <c r="I2112" s="334"/>
    </row>
    <row r="2113" spans="2:9" x14ac:dyDescent="0.3">
      <c r="B2113" s="332"/>
      <c r="C2113" s="333"/>
      <c r="D2113" s="332"/>
      <c r="E2113" s="333"/>
      <c r="F2113" s="334"/>
      <c r="G2113" s="332"/>
      <c r="H2113" s="334" t="s">
        <v>628</v>
      </c>
      <c r="I2113" s="334">
        <f>SUM(H2112)</f>
        <v>0</v>
      </c>
    </row>
    <row r="2114" spans="2:9" x14ac:dyDescent="0.3">
      <c r="B2114" s="332" t="s">
        <v>635</v>
      </c>
      <c r="C2114" s="333"/>
      <c r="D2114" s="332"/>
      <c r="E2114" s="333"/>
      <c r="F2114" s="334"/>
      <c r="G2114" s="332"/>
      <c r="H2114" s="334"/>
      <c r="I2114" s="334"/>
    </row>
    <row r="2115" spans="2:9" x14ac:dyDescent="0.3">
      <c r="B2115" s="332" t="s">
        <v>636</v>
      </c>
      <c r="C2115" s="333"/>
      <c r="D2115" s="332"/>
      <c r="E2115" s="333" t="s">
        <v>637</v>
      </c>
      <c r="F2115" s="334" t="s">
        <v>638</v>
      </c>
      <c r="G2115" s="332" t="s">
        <v>626</v>
      </c>
      <c r="H2115" s="334" t="s">
        <v>627</v>
      </c>
      <c r="I2115" s="334"/>
    </row>
    <row r="2116" spans="2:9" ht="28.8" x14ac:dyDescent="0.3">
      <c r="B2116" s="342" t="s">
        <v>702</v>
      </c>
      <c r="C2116" s="333"/>
      <c r="D2116" s="332"/>
      <c r="E2116" s="346">
        <v>168000</v>
      </c>
      <c r="F2116" s="344">
        <v>1.8</v>
      </c>
      <c r="G2116" s="347">
        <v>17.788235291403911</v>
      </c>
      <c r="H2116" s="344">
        <f>E2116*F2116/G2116</f>
        <v>17000.000002593486</v>
      </c>
      <c r="I2116" s="344"/>
    </row>
    <row r="2117" spans="2:9" x14ac:dyDescent="0.3">
      <c r="B2117" s="332"/>
      <c r="C2117" s="333"/>
      <c r="D2117" s="332"/>
      <c r="E2117" s="333"/>
      <c r="F2117" s="334"/>
      <c r="G2117" s="332"/>
      <c r="H2117" s="334" t="s">
        <v>628</v>
      </c>
      <c r="I2117" s="334">
        <f>H2116</f>
        <v>17000.000002593486</v>
      </c>
    </row>
    <row r="2118" spans="2:9" x14ac:dyDescent="0.3">
      <c r="B2118" s="332"/>
      <c r="C2118" s="333"/>
      <c r="D2118" s="332"/>
      <c r="E2118" s="333"/>
      <c r="F2118" s="334"/>
      <c r="G2118" s="332"/>
      <c r="H2118" s="330" t="s">
        <v>640</v>
      </c>
      <c r="I2118" s="330">
        <f>I2117+I2109+I2102+I2113</f>
        <v>20000.000002593486</v>
      </c>
    </row>
    <row r="2120" spans="2:9" ht="129.6" x14ac:dyDescent="0.3">
      <c r="B2120" s="339" t="s">
        <v>706</v>
      </c>
      <c r="C2120" s="339" t="s">
        <v>621</v>
      </c>
      <c r="D2120" s="341" t="s">
        <v>562</v>
      </c>
      <c r="E2120" s="339"/>
      <c r="F2120" s="340"/>
      <c r="G2120" s="340" t="s">
        <v>622</v>
      </c>
      <c r="H2120" s="340" t="s">
        <v>33</v>
      </c>
      <c r="I2120" s="340">
        <f>+ROUND(I2140,0)</f>
        <v>100000</v>
      </c>
    </row>
    <row r="2121" spans="2:9" x14ac:dyDescent="0.3">
      <c r="B2121" s="332" t="s">
        <v>623</v>
      </c>
      <c r="C2121" s="333"/>
      <c r="D2121" s="332"/>
      <c r="E2121" s="333"/>
      <c r="F2121" s="334"/>
      <c r="G2121" s="332"/>
      <c r="H2121" s="334"/>
      <c r="I2121" s="334"/>
    </row>
    <row r="2122" spans="2:9" x14ac:dyDescent="0.3">
      <c r="B2122" s="332" t="s">
        <v>271</v>
      </c>
      <c r="C2122" s="333"/>
      <c r="D2122" s="332"/>
      <c r="E2122" s="333" t="s">
        <v>624</v>
      </c>
      <c r="F2122" s="334" t="s">
        <v>625</v>
      </c>
      <c r="G2122" s="332" t="s">
        <v>626</v>
      </c>
      <c r="H2122" s="334" t="s">
        <v>627</v>
      </c>
      <c r="I2122" s="334"/>
    </row>
    <row r="2123" spans="2:9" x14ac:dyDescent="0.3">
      <c r="B2123" s="332" t="s">
        <v>701</v>
      </c>
      <c r="C2123" s="333"/>
      <c r="D2123" s="332"/>
      <c r="E2123" s="333" t="s">
        <v>644</v>
      </c>
      <c r="F2123" s="334">
        <v>1500</v>
      </c>
      <c r="G2123" s="335">
        <v>2</v>
      </c>
      <c r="H2123" s="334">
        <f>F2123*G2123</f>
        <v>3000</v>
      </c>
      <c r="I2123" s="334"/>
    </row>
    <row r="2124" spans="2:9" x14ac:dyDescent="0.3">
      <c r="B2124" s="332"/>
      <c r="C2124" s="333"/>
      <c r="D2124" s="332"/>
      <c r="E2124" s="333"/>
      <c r="F2124" s="334"/>
      <c r="G2124" s="335"/>
      <c r="H2124" s="334"/>
      <c r="I2124" s="334"/>
    </row>
    <row r="2125" spans="2:9" x14ac:dyDescent="0.3">
      <c r="B2125" s="332"/>
      <c r="C2125" s="333"/>
      <c r="D2125" s="332"/>
      <c r="E2125" s="333"/>
      <c r="F2125" s="334"/>
      <c r="G2125" s="335"/>
      <c r="H2125" s="334"/>
      <c r="I2125" s="334"/>
    </row>
    <row r="2126" spans="2:9" x14ac:dyDescent="0.3">
      <c r="B2126" s="332"/>
      <c r="C2126" s="333"/>
      <c r="D2126" s="332"/>
      <c r="E2126" s="333"/>
      <c r="F2126" s="334"/>
      <c r="G2126" s="332"/>
      <c r="H2126" s="334" t="s">
        <v>628</v>
      </c>
      <c r="I2126" s="334">
        <f>SUM(H2123:H2125)</f>
        <v>3000</v>
      </c>
    </row>
    <row r="2127" spans="2:9" x14ac:dyDescent="0.3">
      <c r="B2127" s="332" t="s">
        <v>629</v>
      </c>
      <c r="C2127" s="333"/>
      <c r="D2127" s="332"/>
      <c r="E2127" s="333"/>
      <c r="F2127" s="334"/>
      <c r="G2127" s="332"/>
      <c r="H2127" s="334"/>
      <c r="I2127" s="334"/>
    </row>
    <row r="2128" spans="2:9" x14ac:dyDescent="0.3">
      <c r="B2128" s="332" t="s">
        <v>271</v>
      </c>
      <c r="C2128" s="333"/>
      <c r="D2128" s="332"/>
      <c r="E2128" s="333" t="s">
        <v>624</v>
      </c>
      <c r="F2128" s="334" t="s">
        <v>630</v>
      </c>
      <c r="G2128" s="332" t="s">
        <v>631</v>
      </c>
      <c r="H2128" s="334" t="s">
        <v>627</v>
      </c>
      <c r="I2128" s="334"/>
    </row>
    <row r="2129" spans="2:9" ht="28.8" x14ac:dyDescent="0.3">
      <c r="B2129" s="356" t="s">
        <v>775</v>
      </c>
      <c r="C2129" s="333"/>
      <c r="D2129" s="332"/>
      <c r="E2129" s="343">
        <v>1</v>
      </c>
      <c r="F2129" s="344">
        <v>20900</v>
      </c>
      <c r="G2129" s="345">
        <v>1</v>
      </c>
      <c r="H2129" s="344">
        <f>F2129*G2129</f>
        <v>20900</v>
      </c>
      <c r="I2129" s="344"/>
    </row>
    <row r="2130" spans="2:9" x14ac:dyDescent="0.3">
      <c r="B2130" s="332" t="s">
        <v>711</v>
      </c>
      <c r="C2130" s="333"/>
      <c r="D2130" s="332"/>
      <c r="E2130" s="333" t="s">
        <v>93</v>
      </c>
      <c r="F2130" s="334">
        <v>29900</v>
      </c>
      <c r="G2130" s="332">
        <v>2</v>
      </c>
      <c r="H2130" s="344">
        <f>F2130*G2130</f>
        <v>59800</v>
      </c>
      <c r="I2130" s="334"/>
    </row>
    <row r="2131" spans="2:9" x14ac:dyDescent="0.3">
      <c r="B2131" s="332"/>
      <c r="C2131" s="333"/>
      <c r="D2131" s="332"/>
      <c r="E2131" s="333"/>
      <c r="F2131" s="334"/>
      <c r="G2131" s="332"/>
      <c r="H2131" s="334" t="s">
        <v>628</v>
      </c>
      <c r="I2131" s="334">
        <f>SUM(H2129:H2130)</f>
        <v>80700</v>
      </c>
    </row>
    <row r="2132" spans="2:9" x14ac:dyDescent="0.3">
      <c r="B2132" s="332" t="s">
        <v>632</v>
      </c>
      <c r="C2132" s="333"/>
      <c r="D2132" s="332"/>
      <c r="E2132" s="333" t="s">
        <v>624</v>
      </c>
      <c r="F2132" s="334" t="s">
        <v>633</v>
      </c>
      <c r="G2132" s="332" t="s">
        <v>634</v>
      </c>
      <c r="H2132" s="334" t="s">
        <v>627</v>
      </c>
      <c r="I2132" s="334"/>
    </row>
    <row r="2133" spans="2:9" x14ac:dyDescent="0.3">
      <c r="B2133" s="332"/>
      <c r="C2133" s="333"/>
      <c r="D2133" s="332"/>
      <c r="E2133" s="332"/>
      <c r="F2133" s="332"/>
      <c r="G2133" s="332"/>
      <c r="H2133" s="332"/>
      <c r="I2133" s="332"/>
    </row>
    <row r="2134" spans="2:9" x14ac:dyDescent="0.3">
      <c r="B2134" s="332"/>
      <c r="C2134" s="333"/>
      <c r="D2134" s="332"/>
      <c r="E2134" s="333"/>
      <c r="F2134" s="336"/>
      <c r="G2134" s="334"/>
      <c r="H2134" s="334"/>
      <c r="I2134" s="334"/>
    </row>
    <row r="2135" spans="2:9" x14ac:dyDescent="0.3">
      <c r="B2135" s="332"/>
      <c r="C2135" s="333"/>
      <c r="D2135" s="332"/>
      <c r="E2135" s="333"/>
      <c r="F2135" s="334"/>
      <c r="G2135" s="332"/>
      <c r="H2135" s="334" t="s">
        <v>628</v>
      </c>
      <c r="I2135" s="334">
        <f>SUM(H2134)</f>
        <v>0</v>
      </c>
    </row>
    <row r="2136" spans="2:9" x14ac:dyDescent="0.3">
      <c r="B2136" s="332" t="s">
        <v>635</v>
      </c>
      <c r="C2136" s="333"/>
      <c r="D2136" s="332"/>
      <c r="E2136" s="333"/>
      <c r="F2136" s="334"/>
      <c r="G2136" s="332"/>
      <c r="H2136" s="334"/>
      <c r="I2136" s="334"/>
    </row>
    <row r="2137" spans="2:9" x14ac:dyDescent="0.3">
      <c r="B2137" s="332" t="s">
        <v>636</v>
      </c>
      <c r="C2137" s="333"/>
      <c r="D2137" s="332"/>
      <c r="E2137" s="333" t="s">
        <v>637</v>
      </c>
      <c r="F2137" s="334" t="s">
        <v>638</v>
      </c>
      <c r="G2137" s="332" t="s">
        <v>626</v>
      </c>
      <c r="H2137" s="334" t="s">
        <v>627</v>
      </c>
      <c r="I2137" s="334"/>
    </row>
    <row r="2138" spans="2:9" ht="28.8" x14ac:dyDescent="0.3">
      <c r="B2138" s="342" t="s">
        <v>702</v>
      </c>
      <c r="C2138" s="333"/>
      <c r="D2138" s="332"/>
      <c r="E2138" s="346">
        <v>168000</v>
      </c>
      <c r="F2138" s="344">
        <v>1.8</v>
      </c>
      <c r="G2138" s="347">
        <v>18.552146247819049</v>
      </c>
      <c r="H2138" s="344">
        <f>E2138*F2138/G2138</f>
        <v>16300.000871087866</v>
      </c>
      <c r="I2138" s="344"/>
    </row>
    <row r="2139" spans="2:9" x14ac:dyDescent="0.3">
      <c r="B2139" s="332"/>
      <c r="C2139" s="333"/>
      <c r="D2139" s="332"/>
      <c r="E2139" s="333"/>
      <c r="F2139" s="334"/>
      <c r="G2139" s="332"/>
      <c r="H2139" s="334" t="s">
        <v>628</v>
      </c>
      <c r="I2139" s="334">
        <f>H2138</f>
        <v>16300.000871087866</v>
      </c>
    </row>
    <row r="2140" spans="2:9" x14ac:dyDescent="0.3">
      <c r="B2140" s="332"/>
      <c r="C2140" s="333"/>
      <c r="D2140" s="332"/>
      <c r="E2140" s="333"/>
      <c r="F2140" s="334"/>
      <c r="G2140" s="332"/>
      <c r="H2140" s="330" t="s">
        <v>640</v>
      </c>
      <c r="I2140" s="330">
        <f>I2139+I2131+I2126+I2135</f>
        <v>100000.00087108786</v>
      </c>
    </row>
    <row r="2142" spans="2:9" ht="129.6" x14ac:dyDescent="0.3">
      <c r="B2142" s="339" t="s">
        <v>707</v>
      </c>
      <c r="C2142" s="339" t="s">
        <v>621</v>
      </c>
      <c r="D2142" s="341" t="s">
        <v>561</v>
      </c>
      <c r="E2142" s="339"/>
      <c r="F2142" s="340"/>
      <c r="G2142" s="340" t="s">
        <v>622</v>
      </c>
      <c r="H2142" s="340" t="s">
        <v>33</v>
      </c>
      <c r="I2142" s="340">
        <f>+ROUND(I2164,0)</f>
        <v>15000</v>
      </c>
    </row>
    <row r="2143" spans="2:9" x14ac:dyDescent="0.3">
      <c r="B2143" s="332" t="s">
        <v>623</v>
      </c>
      <c r="C2143" s="333"/>
      <c r="D2143" s="332"/>
      <c r="E2143" s="333"/>
      <c r="F2143" s="334"/>
      <c r="G2143" s="332"/>
      <c r="H2143" s="334"/>
      <c r="I2143" s="334"/>
    </row>
    <row r="2144" spans="2:9" x14ac:dyDescent="0.3">
      <c r="B2144" s="332" t="s">
        <v>271</v>
      </c>
      <c r="C2144" s="333"/>
      <c r="D2144" s="332"/>
      <c r="E2144" s="333" t="s">
        <v>624</v>
      </c>
      <c r="F2144" s="334" t="s">
        <v>625</v>
      </c>
      <c r="G2144" s="332" t="s">
        <v>626</v>
      </c>
      <c r="H2144" s="334" t="s">
        <v>627</v>
      </c>
      <c r="I2144" s="334"/>
    </row>
    <row r="2145" spans="2:9" x14ac:dyDescent="0.3">
      <c r="B2145" s="332" t="s">
        <v>701</v>
      </c>
      <c r="C2145" s="333"/>
      <c r="D2145" s="332"/>
      <c r="E2145" s="333" t="s">
        <v>644</v>
      </c>
      <c r="F2145" s="334">
        <v>1500</v>
      </c>
      <c r="G2145" s="335">
        <v>2</v>
      </c>
      <c r="H2145" s="334">
        <f>F2145*G2145</f>
        <v>3000</v>
      </c>
      <c r="I2145" s="334"/>
    </row>
    <row r="2146" spans="2:9" x14ac:dyDescent="0.3">
      <c r="B2146" s="332"/>
      <c r="C2146" s="333"/>
      <c r="D2146" s="332"/>
      <c r="E2146" s="333"/>
      <c r="F2146" s="334"/>
      <c r="G2146" s="335"/>
      <c r="H2146" s="334"/>
      <c r="I2146" s="334"/>
    </row>
    <row r="2147" spans="2:9" x14ac:dyDescent="0.3">
      <c r="B2147" s="332"/>
      <c r="C2147" s="333"/>
      <c r="D2147" s="332"/>
      <c r="E2147" s="333"/>
      <c r="F2147" s="334"/>
      <c r="G2147" s="335"/>
      <c r="H2147" s="334"/>
      <c r="I2147" s="334"/>
    </row>
    <row r="2148" spans="2:9" x14ac:dyDescent="0.3">
      <c r="B2148" s="332"/>
      <c r="C2148" s="333"/>
      <c r="D2148" s="332"/>
      <c r="E2148" s="333"/>
      <c r="F2148" s="334"/>
      <c r="G2148" s="332"/>
      <c r="H2148" s="334" t="s">
        <v>628</v>
      </c>
      <c r="I2148" s="334">
        <f>SUM(H2145:H2147)</f>
        <v>3000</v>
      </c>
    </row>
    <row r="2149" spans="2:9" x14ac:dyDescent="0.3">
      <c r="B2149" s="332" t="s">
        <v>629</v>
      </c>
      <c r="C2149" s="333"/>
      <c r="D2149" s="332"/>
      <c r="E2149" s="333"/>
      <c r="F2149" s="334"/>
      <c r="G2149" s="332"/>
      <c r="H2149" s="334"/>
      <c r="I2149" s="334"/>
    </row>
    <row r="2150" spans="2:9" x14ac:dyDescent="0.3">
      <c r="B2150" s="332" t="s">
        <v>271</v>
      </c>
      <c r="C2150" s="333"/>
      <c r="D2150" s="332"/>
      <c r="E2150" s="333" t="s">
        <v>624</v>
      </c>
      <c r="F2150" s="334" t="s">
        <v>630</v>
      </c>
      <c r="G2150" s="332" t="s">
        <v>631</v>
      </c>
      <c r="H2150" s="334" t="s">
        <v>627</v>
      </c>
      <c r="I2150" s="334"/>
    </row>
    <row r="2151" spans="2:9" x14ac:dyDescent="0.3">
      <c r="B2151" s="342"/>
      <c r="C2151" s="333"/>
      <c r="D2151" s="332"/>
      <c r="E2151" s="343"/>
      <c r="F2151" s="344"/>
      <c r="G2151" s="345"/>
      <c r="H2151" s="344"/>
      <c r="I2151" s="344"/>
    </row>
    <row r="2152" spans="2:9" x14ac:dyDescent="0.3">
      <c r="B2152" s="332"/>
      <c r="C2152" s="333"/>
      <c r="D2152" s="332"/>
      <c r="E2152" s="333"/>
      <c r="F2152" s="334"/>
      <c r="G2152" s="332"/>
      <c r="H2152" s="334"/>
      <c r="I2152" s="334"/>
    </row>
    <row r="2153" spans="2:9" x14ac:dyDescent="0.3">
      <c r="B2153" s="332"/>
      <c r="C2153" s="333"/>
      <c r="D2153" s="332"/>
      <c r="E2153" s="333"/>
      <c r="F2153" s="334"/>
      <c r="G2153" s="332"/>
      <c r="H2153" s="334"/>
      <c r="I2153" s="334"/>
    </row>
    <row r="2154" spans="2:9" x14ac:dyDescent="0.3">
      <c r="B2154" s="332"/>
      <c r="C2154" s="333"/>
      <c r="D2154" s="332"/>
      <c r="E2154" s="333"/>
      <c r="F2154" s="334"/>
      <c r="G2154" s="332"/>
      <c r="H2154" s="334"/>
      <c r="I2154" s="334"/>
    </row>
    <row r="2155" spans="2:9" x14ac:dyDescent="0.3">
      <c r="B2155" s="332"/>
      <c r="C2155" s="333"/>
      <c r="D2155" s="332"/>
      <c r="E2155" s="333"/>
      <c r="F2155" s="334"/>
      <c r="G2155" s="332"/>
      <c r="H2155" s="334" t="s">
        <v>628</v>
      </c>
      <c r="I2155" s="334">
        <f>SUM(H2151:H2154)</f>
        <v>0</v>
      </c>
    </row>
    <row r="2156" spans="2:9" x14ac:dyDescent="0.3">
      <c r="B2156" s="332" t="s">
        <v>632</v>
      </c>
      <c r="C2156" s="333"/>
      <c r="D2156" s="332"/>
      <c r="E2156" s="333" t="s">
        <v>624</v>
      </c>
      <c r="F2156" s="334" t="s">
        <v>633</v>
      </c>
      <c r="G2156" s="332" t="s">
        <v>634</v>
      </c>
      <c r="H2156" s="334" t="s">
        <v>627</v>
      </c>
      <c r="I2156" s="334"/>
    </row>
    <row r="2157" spans="2:9" x14ac:dyDescent="0.3">
      <c r="B2157" s="332"/>
      <c r="C2157" s="333"/>
      <c r="D2157" s="332"/>
      <c r="E2157" s="332"/>
      <c r="F2157" s="332"/>
      <c r="G2157" s="332"/>
      <c r="H2157" s="332"/>
      <c r="I2157" s="332"/>
    </row>
    <row r="2158" spans="2:9" x14ac:dyDescent="0.3">
      <c r="B2158" s="332"/>
      <c r="C2158" s="333"/>
      <c r="D2158" s="332"/>
      <c r="E2158" s="333"/>
      <c r="F2158" s="336"/>
      <c r="G2158" s="334"/>
      <c r="H2158" s="334"/>
      <c r="I2158" s="334"/>
    </row>
    <row r="2159" spans="2:9" x14ac:dyDescent="0.3">
      <c r="B2159" s="332"/>
      <c r="C2159" s="333"/>
      <c r="D2159" s="332"/>
      <c r="E2159" s="333"/>
      <c r="F2159" s="334"/>
      <c r="G2159" s="332"/>
      <c r="H2159" s="334" t="s">
        <v>628</v>
      </c>
      <c r="I2159" s="334">
        <f>SUM(H2158)</f>
        <v>0</v>
      </c>
    </row>
    <row r="2160" spans="2:9" x14ac:dyDescent="0.3">
      <c r="B2160" s="332" t="s">
        <v>635</v>
      </c>
      <c r="C2160" s="333"/>
      <c r="D2160" s="332"/>
      <c r="E2160" s="333"/>
      <c r="F2160" s="334"/>
      <c r="G2160" s="332"/>
      <c r="H2160" s="334"/>
      <c r="I2160" s="334"/>
    </row>
    <row r="2161" spans="2:9" x14ac:dyDescent="0.3">
      <c r="B2161" s="332" t="s">
        <v>636</v>
      </c>
      <c r="C2161" s="333"/>
      <c r="D2161" s="332"/>
      <c r="E2161" s="333" t="s">
        <v>637</v>
      </c>
      <c r="F2161" s="334" t="s">
        <v>638</v>
      </c>
      <c r="G2161" s="332" t="s">
        <v>626</v>
      </c>
      <c r="H2161" s="334" t="s">
        <v>627</v>
      </c>
      <c r="I2161" s="334"/>
    </row>
    <row r="2162" spans="2:9" ht="28.8" x14ac:dyDescent="0.3">
      <c r="B2162" s="342" t="s">
        <v>702</v>
      </c>
      <c r="C2162" s="333"/>
      <c r="D2162" s="332"/>
      <c r="E2162" s="346">
        <v>168000</v>
      </c>
      <c r="F2162" s="344">
        <v>1.8</v>
      </c>
      <c r="G2162" s="347">
        <v>25.199999381410596</v>
      </c>
      <c r="H2162" s="344">
        <f>E2162*F2162/G2162</f>
        <v>12000.000294566391</v>
      </c>
      <c r="I2162" s="344"/>
    </row>
    <row r="2163" spans="2:9" x14ac:dyDescent="0.3">
      <c r="B2163" s="332"/>
      <c r="C2163" s="333"/>
      <c r="D2163" s="332"/>
      <c r="E2163" s="333"/>
      <c r="F2163" s="334"/>
      <c r="G2163" s="332"/>
      <c r="H2163" s="334" t="s">
        <v>628</v>
      </c>
      <c r="I2163" s="334">
        <f>H2162</f>
        <v>12000.000294566391</v>
      </c>
    </row>
    <row r="2164" spans="2:9" x14ac:dyDescent="0.3">
      <c r="B2164" s="332"/>
      <c r="C2164" s="333"/>
      <c r="D2164" s="332"/>
      <c r="E2164" s="333"/>
      <c r="F2164" s="334"/>
      <c r="G2164" s="332"/>
      <c r="H2164" s="330" t="s">
        <v>640</v>
      </c>
      <c r="I2164" s="330">
        <f>I2163+I2155+I2148+I2159</f>
        <v>15000.000294566391</v>
      </c>
    </row>
    <row r="2166" spans="2:9" ht="129.6" x14ac:dyDescent="0.3">
      <c r="B2166" s="339" t="s">
        <v>708</v>
      </c>
      <c r="C2166" s="339" t="s">
        <v>621</v>
      </c>
      <c r="D2166" s="341" t="s">
        <v>560</v>
      </c>
      <c r="E2166" s="339"/>
      <c r="F2166" s="340"/>
      <c r="G2166" s="340" t="s">
        <v>622</v>
      </c>
      <c r="H2166" s="340" t="s">
        <v>33</v>
      </c>
      <c r="I2166" s="340">
        <f>+ROUND(I2188,0)</f>
        <v>20000</v>
      </c>
    </row>
    <row r="2167" spans="2:9" x14ac:dyDescent="0.3">
      <c r="B2167" s="332" t="s">
        <v>623</v>
      </c>
      <c r="C2167" s="333"/>
      <c r="D2167" s="332"/>
      <c r="E2167" s="333"/>
      <c r="F2167" s="334"/>
      <c r="G2167" s="332"/>
      <c r="H2167" s="334"/>
      <c r="I2167" s="334"/>
    </row>
    <row r="2168" spans="2:9" x14ac:dyDescent="0.3">
      <c r="B2168" s="332" t="s">
        <v>271</v>
      </c>
      <c r="C2168" s="333"/>
      <c r="D2168" s="332"/>
      <c r="E2168" s="333" t="s">
        <v>624</v>
      </c>
      <c r="F2168" s="334" t="s">
        <v>625</v>
      </c>
      <c r="G2168" s="332" t="s">
        <v>626</v>
      </c>
      <c r="H2168" s="334" t="s">
        <v>627</v>
      </c>
      <c r="I2168" s="334"/>
    </row>
    <row r="2169" spans="2:9" x14ac:dyDescent="0.3">
      <c r="B2169" s="332" t="s">
        <v>701</v>
      </c>
      <c r="C2169" s="333"/>
      <c r="D2169" s="332"/>
      <c r="E2169" s="333" t="s">
        <v>644</v>
      </c>
      <c r="F2169" s="334">
        <v>1500</v>
      </c>
      <c r="G2169" s="335">
        <v>2</v>
      </c>
      <c r="H2169" s="334">
        <f>F2169*G2169</f>
        <v>3000</v>
      </c>
      <c r="I2169" s="334"/>
    </row>
    <row r="2170" spans="2:9" x14ac:dyDescent="0.3">
      <c r="B2170" s="332"/>
      <c r="C2170" s="333"/>
      <c r="D2170" s="332"/>
      <c r="E2170" s="333"/>
      <c r="F2170" s="334"/>
      <c r="G2170" s="335"/>
      <c r="H2170" s="334"/>
      <c r="I2170" s="334"/>
    </row>
    <row r="2171" spans="2:9" x14ac:dyDescent="0.3">
      <c r="B2171" s="332"/>
      <c r="C2171" s="333"/>
      <c r="D2171" s="332"/>
      <c r="E2171" s="333"/>
      <c r="F2171" s="334"/>
      <c r="G2171" s="335"/>
      <c r="H2171" s="334"/>
      <c r="I2171" s="334"/>
    </row>
    <row r="2172" spans="2:9" x14ac:dyDescent="0.3">
      <c r="B2172" s="332"/>
      <c r="C2172" s="333"/>
      <c r="D2172" s="332"/>
      <c r="E2172" s="333"/>
      <c r="F2172" s="334"/>
      <c r="G2172" s="332"/>
      <c r="H2172" s="334" t="s">
        <v>628</v>
      </c>
      <c r="I2172" s="334">
        <f>SUM(H2169:H2171)</f>
        <v>3000</v>
      </c>
    </row>
    <row r="2173" spans="2:9" x14ac:dyDescent="0.3">
      <c r="B2173" s="332" t="s">
        <v>629</v>
      </c>
      <c r="C2173" s="333"/>
      <c r="D2173" s="332"/>
      <c r="E2173" s="333"/>
      <c r="F2173" s="334"/>
      <c r="G2173" s="332"/>
      <c r="H2173" s="334"/>
      <c r="I2173" s="334"/>
    </row>
    <row r="2174" spans="2:9" x14ac:dyDescent="0.3">
      <c r="B2174" s="332" t="s">
        <v>271</v>
      </c>
      <c r="C2174" s="333"/>
      <c r="D2174" s="332"/>
      <c r="E2174" s="333" t="s">
        <v>624</v>
      </c>
      <c r="F2174" s="334" t="s">
        <v>630</v>
      </c>
      <c r="G2174" s="332" t="s">
        <v>631</v>
      </c>
      <c r="H2174" s="334" t="s">
        <v>627</v>
      </c>
      <c r="I2174" s="334"/>
    </row>
    <row r="2175" spans="2:9" x14ac:dyDescent="0.3">
      <c r="B2175" s="342"/>
      <c r="C2175" s="333"/>
      <c r="D2175" s="332"/>
      <c r="E2175" s="343"/>
      <c r="F2175" s="344"/>
      <c r="G2175" s="345"/>
      <c r="H2175" s="344"/>
      <c r="I2175" s="344"/>
    </row>
    <row r="2176" spans="2:9" x14ac:dyDescent="0.3">
      <c r="B2176" s="332"/>
      <c r="C2176" s="333"/>
      <c r="D2176" s="332"/>
      <c r="E2176" s="333"/>
      <c r="F2176" s="334"/>
      <c r="G2176" s="332"/>
      <c r="H2176" s="334"/>
      <c r="I2176" s="334"/>
    </row>
    <row r="2177" spans="2:9" x14ac:dyDescent="0.3">
      <c r="B2177" s="332"/>
      <c r="C2177" s="333"/>
      <c r="D2177" s="332"/>
      <c r="E2177" s="333"/>
      <c r="F2177" s="334"/>
      <c r="G2177" s="332"/>
      <c r="H2177" s="334"/>
      <c r="I2177" s="334"/>
    </row>
    <row r="2178" spans="2:9" x14ac:dyDescent="0.3">
      <c r="B2178" s="332"/>
      <c r="C2178" s="333"/>
      <c r="D2178" s="332"/>
      <c r="E2178" s="333"/>
      <c r="F2178" s="334"/>
      <c r="G2178" s="332"/>
      <c r="H2178" s="334"/>
      <c r="I2178" s="334"/>
    </row>
    <row r="2179" spans="2:9" x14ac:dyDescent="0.3">
      <c r="B2179" s="332"/>
      <c r="C2179" s="333"/>
      <c r="D2179" s="332"/>
      <c r="E2179" s="333"/>
      <c r="F2179" s="334"/>
      <c r="G2179" s="332"/>
      <c r="H2179" s="334" t="s">
        <v>628</v>
      </c>
      <c r="I2179" s="334">
        <f>SUM(H2175:H2178)</f>
        <v>0</v>
      </c>
    </row>
    <row r="2180" spans="2:9" x14ac:dyDescent="0.3">
      <c r="B2180" s="332" t="s">
        <v>632</v>
      </c>
      <c r="C2180" s="333"/>
      <c r="D2180" s="332"/>
      <c r="E2180" s="333" t="s">
        <v>624</v>
      </c>
      <c r="F2180" s="334" t="s">
        <v>633</v>
      </c>
      <c r="G2180" s="332" t="s">
        <v>634</v>
      </c>
      <c r="H2180" s="334" t="s">
        <v>627</v>
      </c>
      <c r="I2180" s="334"/>
    </row>
    <row r="2181" spans="2:9" x14ac:dyDescent="0.3">
      <c r="B2181" s="332"/>
      <c r="C2181" s="333"/>
      <c r="D2181" s="332"/>
      <c r="E2181" s="332"/>
      <c r="F2181" s="332"/>
      <c r="G2181" s="332"/>
      <c r="H2181" s="332"/>
      <c r="I2181" s="332"/>
    </row>
    <row r="2182" spans="2:9" x14ac:dyDescent="0.3">
      <c r="B2182" s="332"/>
      <c r="C2182" s="333"/>
      <c r="D2182" s="332"/>
      <c r="E2182" s="333"/>
      <c r="F2182" s="336"/>
      <c r="G2182" s="334"/>
      <c r="H2182" s="334"/>
      <c r="I2182" s="334"/>
    </row>
    <row r="2183" spans="2:9" x14ac:dyDescent="0.3">
      <c r="B2183" s="332"/>
      <c r="C2183" s="333"/>
      <c r="D2183" s="332"/>
      <c r="E2183" s="333"/>
      <c r="F2183" s="334"/>
      <c r="G2183" s="332"/>
      <c r="H2183" s="334" t="s">
        <v>628</v>
      </c>
      <c r="I2183" s="334">
        <f>SUM(H2182)</f>
        <v>0</v>
      </c>
    </row>
    <row r="2184" spans="2:9" x14ac:dyDescent="0.3">
      <c r="B2184" s="332" t="s">
        <v>635</v>
      </c>
      <c r="C2184" s="333"/>
      <c r="D2184" s="332"/>
      <c r="E2184" s="333"/>
      <c r="F2184" s="334"/>
      <c r="G2184" s="332"/>
      <c r="H2184" s="334"/>
      <c r="I2184" s="334"/>
    </row>
    <row r="2185" spans="2:9" x14ac:dyDescent="0.3">
      <c r="B2185" s="332" t="s">
        <v>636</v>
      </c>
      <c r="C2185" s="333"/>
      <c r="D2185" s="332"/>
      <c r="E2185" s="333" t="s">
        <v>637</v>
      </c>
      <c r="F2185" s="334" t="s">
        <v>638</v>
      </c>
      <c r="G2185" s="332" t="s">
        <v>626</v>
      </c>
      <c r="H2185" s="334" t="s">
        <v>627</v>
      </c>
      <c r="I2185" s="334"/>
    </row>
    <row r="2186" spans="2:9" ht="28.8" x14ac:dyDescent="0.3">
      <c r="B2186" s="342" t="s">
        <v>702</v>
      </c>
      <c r="C2186" s="333"/>
      <c r="D2186" s="332"/>
      <c r="E2186" s="346">
        <v>168000</v>
      </c>
      <c r="F2186" s="344">
        <v>1.8</v>
      </c>
      <c r="G2186" s="347">
        <v>17.788235291403911</v>
      </c>
      <c r="H2186" s="344">
        <f>E2186*F2186/G2186</f>
        <v>17000.000002593486</v>
      </c>
      <c r="I2186" s="344"/>
    </row>
    <row r="2187" spans="2:9" x14ac:dyDescent="0.3">
      <c r="B2187" s="332"/>
      <c r="C2187" s="333"/>
      <c r="D2187" s="332"/>
      <c r="E2187" s="333"/>
      <c r="F2187" s="334"/>
      <c r="G2187" s="332"/>
      <c r="H2187" s="334" t="s">
        <v>628</v>
      </c>
      <c r="I2187" s="334">
        <f>H2186</f>
        <v>17000.000002593486</v>
      </c>
    </row>
    <row r="2188" spans="2:9" x14ac:dyDescent="0.3">
      <c r="B2188" s="332"/>
      <c r="C2188" s="333"/>
      <c r="D2188" s="332"/>
      <c r="E2188" s="333"/>
      <c r="F2188" s="334"/>
      <c r="G2188" s="332"/>
      <c r="H2188" s="330" t="s">
        <v>640</v>
      </c>
      <c r="I2188" s="330">
        <f>I2187+I2179+I2172+I2183</f>
        <v>20000.000002593486</v>
      </c>
    </row>
    <row r="2190" spans="2:9" ht="43.2" x14ac:dyDescent="0.3">
      <c r="B2190" s="339" t="s">
        <v>709</v>
      </c>
      <c r="C2190" s="339" t="s">
        <v>621</v>
      </c>
      <c r="D2190" s="341" t="s">
        <v>557</v>
      </c>
      <c r="E2190" s="339"/>
      <c r="F2190" s="340"/>
      <c r="G2190" s="340" t="s">
        <v>622</v>
      </c>
      <c r="H2190" s="340" t="s">
        <v>33</v>
      </c>
      <c r="I2190" s="340">
        <f>+ROUND(I2213,0)</f>
        <v>30000</v>
      </c>
    </row>
    <row r="2191" spans="2:9" x14ac:dyDescent="0.3">
      <c r="B2191" s="332" t="s">
        <v>623</v>
      </c>
      <c r="C2191" s="333"/>
      <c r="D2191" s="332"/>
      <c r="E2191" s="333"/>
      <c r="F2191" s="334"/>
      <c r="G2191" s="332"/>
      <c r="H2191" s="334"/>
      <c r="I2191" s="334"/>
    </row>
    <row r="2192" spans="2:9" x14ac:dyDescent="0.3">
      <c r="B2192" s="332" t="s">
        <v>271</v>
      </c>
      <c r="C2192" s="333"/>
      <c r="D2192" s="332"/>
      <c r="E2192" s="333" t="s">
        <v>624</v>
      </c>
      <c r="F2192" s="334" t="s">
        <v>625</v>
      </c>
      <c r="G2192" s="332" t="s">
        <v>626</v>
      </c>
      <c r="H2192" s="334" t="s">
        <v>627</v>
      </c>
      <c r="I2192" s="334"/>
    </row>
    <row r="2193" spans="2:9" x14ac:dyDescent="0.3">
      <c r="B2193" s="332" t="s">
        <v>701</v>
      </c>
      <c r="C2193" s="333"/>
      <c r="D2193" s="332"/>
      <c r="E2193" s="333" t="s">
        <v>644</v>
      </c>
      <c r="F2193" s="334">
        <v>1500</v>
      </c>
      <c r="G2193" s="335">
        <v>2</v>
      </c>
      <c r="H2193" s="334">
        <f>F2193*G2193</f>
        <v>3000</v>
      </c>
      <c r="I2193" s="334"/>
    </row>
    <row r="2194" spans="2:9" x14ac:dyDescent="0.3">
      <c r="B2194" s="332"/>
      <c r="C2194" s="333"/>
      <c r="D2194" s="332"/>
      <c r="E2194" s="333"/>
      <c r="F2194" s="334"/>
      <c r="G2194" s="335"/>
      <c r="H2194" s="334"/>
      <c r="I2194" s="334"/>
    </row>
    <row r="2195" spans="2:9" x14ac:dyDescent="0.3">
      <c r="B2195" s="332"/>
      <c r="C2195" s="333"/>
      <c r="D2195" s="332"/>
      <c r="E2195" s="333"/>
      <c r="F2195" s="334"/>
      <c r="G2195" s="335"/>
      <c r="H2195" s="334"/>
      <c r="I2195" s="334"/>
    </row>
    <row r="2196" spans="2:9" x14ac:dyDescent="0.3">
      <c r="B2196" s="332"/>
      <c r="C2196" s="333"/>
      <c r="D2196" s="332"/>
      <c r="E2196" s="333"/>
      <c r="F2196" s="334"/>
      <c r="G2196" s="332"/>
      <c r="H2196" s="334" t="s">
        <v>628</v>
      </c>
      <c r="I2196" s="334">
        <f>SUM(H2193:H2195)</f>
        <v>3000</v>
      </c>
    </row>
    <row r="2197" spans="2:9" x14ac:dyDescent="0.3">
      <c r="B2197" s="332" t="s">
        <v>629</v>
      </c>
      <c r="C2197" s="333"/>
      <c r="D2197" s="332"/>
      <c r="E2197" s="333"/>
      <c r="F2197" s="334"/>
      <c r="G2197" s="332"/>
      <c r="H2197" s="334"/>
      <c r="I2197" s="334"/>
    </row>
    <row r="2198" spans="2:9" x14ac:dyDescent="0.3">
      <c r="B2198" s="332" t="s">
        <v>271</v>
      </c>
      <c r="C2198" s="333"/>
      <c r="D2198" s="332"/>
      <c r="E2198" s="333" t="s">
        <v>624</v>
      </c>
      <c r="F2198" s="334" t="s">
        <v>630</v>
      </c>
      <c r="G2198" s="332" t="s">
        <v>631</v>
      </c>
      <c r="H2198" s="334" t="s">
        <v>627</v>
      </c>
      <c r="I2198" s="334"/>
    </row>
    <row r="2199" spans="2:9" x14ac:dyDescent="0.3">
      <c r="B2199" s="348" t="s">
        <v>716</v>
      </c>
      <c r="C2199" s="333"/>
      <c r="D2199" s="332"/>
      <c r="E2199" s="343" t="s">
        <v>33</v>
      </c>
      <c r="F2199" s="344">
        <v>16150</v>
      </c>
      <c r="G2199" s="345">
        <v>1</v>
      </c>
      <c r="H2199" s="344">
        <f>F2199*G2199</f>
        <v>16150</v>
      </c>
      <c r="I2199" s="344"/>
    </row>
    <row r="2200" spans="2:9" x14ac:dyDescent="0.3">
      <c r="B2200" s="332"/>
      <c r="C2200" s="333"/>
      <c r="D2200" s="332"/>
      <c r="E2200" s="333"/>
      <c r="F2200" s="334"/>
      <c r="G2200" s="332"/>
      <c r="H2200" s="344">
        <f>F2200*G2200</f>
        <v>0</v>
      </c>
      <c r="I2200" s="334"/>
    </row>
    <row r="2201" spans="2:9" x14ac:dyDescent="0.3">
      <c r="B2201" s="332"/>
      <c r="C2201" s="333"/>
      <c r="D2201" s="332"/>
      <c r="E2201" s="333"/>
      <c r="F2201" s="334"/>
      <c r="G2201" s="332"/>
      <c r="H2201" s="344">
        <f>F2201*G2201</f>
        <v>0</v>
      </c>
      <c r="I2201" s="334"/>
    </row>
    <row r="2202" spans="2:9" x14ac:dyDescent="0.3">
      <c r="B2202" s="332"/>
      <c r="C2202" s="333"/>
      <c r="D2202" s="332"/>
      <c r="E2202" s="333"/>
      <c r="F2202" s="334"/>
      <c r="G2202" s="332"/>
      <c r="H2202" s="344">
        <f>F2202*G2202</f>
        <v>0</v>
      </c>
      <c r="I2202" s="334"/>
    </row>
    <row r="2203" spans="2:9" x14ac:dyDescent="0.3">
      <c r="B2203" s="332"/>
      <c r="C2203" s="333"/>
      <c r="D2203" s="332"/>
      <c r="E2203" s="333"/>
      <c r="F2203" s="334"/>
      <c r="G2203" s="332"/>
      <c r="H2203" s="334"/>
      <c r="I2203" s="334"/>
    </row>
    <row r="2204" spans="2:9" x14ac:dyDescent="0.3">
      <c r="B2204" s="332"/>
      <c r="C2204" s="333"/>
      <c r="D2204" s="332"/>
      <c r="E2204" s="333"/>
      <c r="F2204" s="334"/>
      <c r="G2204" s="332"/>
      <c r="H2204" s="334" t="s">
        <v>628</v>
      </c>
      <c r="I2204" s="334">
        <f>SUM(H2199:H2203)</f>
        <v>16150</v>
      </c>
    </row>
    <row r="2205" spans="2:9" x14ac:dyDescent="0.3">
      <c r="B2205" s="332" t="s">
        <v>632</v>
      </c>
      <c r="C2205" s="333"/>
      <c r="D2205" s="332"/>
      <c r="E2205" s="333" t="s">
        <v>624</v>
      </c>
      <c r="F2205" s="334" t="s">
        <v>633</v>
      </c>
      <c r="G2205" s="332" t="s">
        <v>634</v>
      </c>
      <c r="H2205" s="334" t="s">
        <v>627</v>
      </c>
      <c r="I2205" s="334"/>
    </row>
    <row r="2206" spans="2:9" x14ac:dyDescent="0.3">
      <c r="B2206" s="332"/>
      <c r="C2206" s="333"/>
      <c r="D2206" s="332"/>
      <c r="E2206" s="332"/>
      <c r="F2206" s="332"/>
      <c r="G2206" s="332"/>
      <c r="H2206" s="332"/>
      <c r="I2206" s="332"/>
    </row>
    <row r="2207" spans="2:9" x14ac:dyDescent="0.3">
      <c r="B2207" s="332"/>
      <c r="C2207" s="333"/>
      <c r="D2207" s="332"/>
      <c r="E2207" s="333"/>
      <c r="F2207" s="336"/>
      <c r="G2207" s="334"/>
      <c r="H2207" s="334"/>
      <c r="I2207" s="334"/>
    </row>
    <row r="2208" spans="2:9" x14ac:dyDescent="0.3">
      <c r="B2208" s="332"/>
      <c r="C2208" s="333"/>
      <c r="D2208" s="332"/>
      <c r="E2208" s="333"/>
      <c r="F2208" s="334"/>
      <c r="G2208" s="332"/>
      <c r="H2208" s="334" t="s">
        <v>628</v>
      </c>
      <c r="I2208" s="334">
        <f>SUM(H2207)</f>
        <v>0</v>
      </c>
    </row>
    <row r="2209" spans="2:9" x14ac:dyDescent="0.3">
      <c r="B2209" s="332" t="s">
        <v>635</v>
      </c>
      <c r="C2209" s="333"/>
      <c r="D2209" s="332"/>
      <c r="E2209" s="333"/>
      <c r="F2209" s="334"/>
      <c r="G2209" s="332"/>
      <c r="H2209" s="334" t="s">
        <v>627</v>
      </c>
      <c r="I2209" s="334"/>
    </row>
    <row r="2210" spans="2:9" x14ac:dyDescent="0.3">
      <c r="B2210" s="332" t="s">
        <v>636</v>
      </c>
      <c r="C2210" s="333"/>
      <c r="D2210" s="332"/>
      <c r="E2210" s="333" t="s">
        <v>637</v>
      </c>
      <c r="F2210" s="334" t="s">
        <v>638</v>
      </c>
      <c r="G2210" s="332" t="s">
        <v>626</v>
      </c>
      <c r="I2210" s="334"/>
    </row>
    <row r="2211" spans="2:9" ht="28.8" x14ac:dyDescent="0.3">
      <c r="B2211" s="342" t="s">
        <v>702</v>
      </c>
      <c r="C2211" s="333"/>
      <c r="D2211" s="332"/>
      <c r="E2211" s="346">
        <v>168000</v>
      </c>
      <c r="F2211" s="344">
        <v>1.8</v>
      </c>
      <c r="G2211" s="347">
        <v>27.870967730580528</v>
      </c>
      <c r="H2211" s="344">
        <f>E2211*F2211/G2211</f>
        <v>10850.000004420415</v>
      </c>
      <c r="I2211" s="344"/>
    </row>
    <row r="2212" spans="2:9" x14ac:dyDescent="0.3">
      <c r="B2212" s="332"/>
      <c r="C2212" s="333"/>
      <c r="D2212" s="332"/>
      <c r="E2212" s="333"/>
      <c r="F2212" s="334"/>
      <c r="G2212" s="332"/>
      <c r="H2212" s="334" t="s">
        <v>628</v>
      </c>
      <c r="I2212" s="334">
        <f>H2211</f>
        <v>10850.000004420415</v>
      </c>
    </row>
    <row r="2213" spans="2:9" x14ac:dyDescent="0.3">
      <c r="B2213" s="332"/>
      <c r="C2213" s="333"/>
      <c r="D2213" s="332"/>
      <c r="E2213" s="333"/>
      <c r="F2213" s="334"/>
      <c r="G2213" s="332"/>
      <c r="H2213" s="330" t="s">
        <v>640</v>
      </c>
      <c r="I2213" s="330">
        <f>I2212+I2204+I2196+I2208</f>
        <v>30000.000004420413</v>
      </c>
    </row>
    <row r="2215" spans="2:9" ht="115.2" x14ac:dyDescent="0.3">
      <c r="B2215" s="339" t="s">
        <v>710</v>
      </c>
      <c r="C2215" s="339" t="s">
        <v>621</v>
      </c>
      <c r="D2215" s="341" t="s">
        <v>722</v>
      </c>
      <c r="E2215" s="339"/>
      <c r="F2215" s="340"/>
      <c r="G2215" s="340" t="s">
        <v>622</v>
      </c>
      <c r="H2215" s="340" t="s">
        <v>93</v>
      </c>
      <c r="I2215" s="340">
        <f>+ROUND(I2239,0)</f>
        <v>45000</v>
      </c>
    </row>
    <row r="2216" spans="2:9" x14ac:dyDescent="0.3">
      <c r="B2216" s="332" t="s">
        <v>623</v>
      </c>
      <c r="C2216" s="333"/>
      <c r="D2216" s="332"/>
      <c r="E2216" s="333"/>
      <c r="F2216" s="334"/>
      <c r="G2216" s="332"/>
      <c r="H2216" s="334"/>
      <c r="I2216" s="334"/>
    </row>
    <row r="2217" spans="2:9" x14ac:dyDescent="0.3">
      <c r="B2217" s="332" t="s">
        <v>271</v>
      </c>
      <c r="C2217" s="333"/>
      <c r="D2217" s="332"/>
      <c r="E2217" s="333" t="s">
        <v>624</v>
      </c>
      <c r="F2217" s="334" t="s">
        <v>625</v>
      </c>
      <c r="G2217" s="332" t="s">
        <v>626</v>
      </c>
      <c r="H2217" s="334" t="s">
        <v>627</v>
      </c>
      <c r="I2217" s="334"/>
    </row>
    <row r="2218" spans="2:9" x14ac:dyDescent="0.3">
      <c r="B2218" s="332" t="s">
        <v>701</v>
      </c>
      <c r="C2218" s="333"/>
      <c r="D2218" s="332"/>
      <c r="E2218" s="333" t="s">
        <v>644</v>
      </c>
      <c r="F2218" s="334">
        <v>1500</v>
      </c>
      <c r="G2218" s="335">
        <v>2</v>
      </c>
      <c r="H2218" s="334">
        <f>F2218*G2218</f>
        <v>3000</v>
      </c>
      <c r="I2218" s="334"/>
    </row>
    <row r="2219" spans="2:9" x14ac:dyDescent="0.3">
      <c r="B2219" s="332"/>
      <c r="C2219" s="333"/>
      <c r="D2219" s="332"/>
      <c r="E2219" s="333"/>
      <c r="F2219" s="334"/>
      <c r="G2219" s="335"/>
      <c r="H2219" s="334"/>
      <c r="I2219" s="334"/>
    </row>
    <row r="2220" spans="2:9" x14ac:dyDescent="0.3">
      <c r="B2220" s="332"/>
      <c r="C2220" s="333"/>
      <c r="D2220" s="332"/>
      <c r="E2220" s="333"/>
      <c r="F2220" s="334"/>
      <c r="G2220" s="335"/>
      <c r="H2220" s="334"/>
      <c r="I2220" s="334"/>
    </row>
    <row r="2221" spans="2:9" x14ac:dyDescent="0.3">
      <c r="B2221" s="332"/>
      <c r="C2221" s="333"/>
      <c r="D2221" s="332"/>
      <c r="E2221" s="333"/>
      <c r="F2221" s="334"/>
      <c r="G2221" s="332"/>
      <c r="H2221" s="334" t="s">
        <v>628</v>
      </c>
      <c r="I2221" s="334">
        <f>SUM(H2218:H2220)</f>
        <v>3000</v>
      </c>
    </row>
    <row r="2222" spans="2:9" x14ac:dyDescent="0.3">
      <c r="B2222" s="332" t="s">
        <v>629</v>
      </c>
      <c r="C2222" s="333"/>
      <c r="D2222" s="332"/>
      <c r="E2222" s="333"/>
      <c r="F2222" s="334"/>
      <c r="G2222" s="332"/>
      <c r="H2222" s="334"/>
      <c r="I2222" s="334"/>
    </row>
    <row r="2223" spans="2:9" x14ac:dyDescent="0.3">
      <c r="B2223" s="332" t="s">
        <v>271</v>
      </c>
      <c r="C2223" s="333"/>
      <c r="D2223" s="332"/>
      <c r="E2223" s="333" t="s">
        <v>624</v>
      </c>
      <c r="F2223" s="334" t="s">
        <v>630</v>
      </c>
      <c r="G2223" s="332" t="s">
        <v>631</v>
      </c>
      <c r="H2223" s="334" t="s">
        <v>627</v>
      </c>
      <c r="I2223" s="334"/>
    </row>
    <row r="2224" spans="2:9" x14ac:dyDescent="0.3">
      <c r="B2224" s="332" t="s">
        <v>723</v>
      </c>
      <c r="C2224" s="333"/>
      <c r="D2224" s="332"/>
      <c r="E2224" s="333" t="s">
        <v>93</v>
      </c>
      <c r="F2224" s="334">
        <v>10500</v>
      </c>
      <c r="G2224" s="332">
        <v>1.1000000000000001</v>
      </c>
      <c r="H2224" s="344">
        <f>F2224*G2224</f>
        <v>11550.000000000002</v>
      </c>
      <c r="I2224" s="344"/>
    </row>
    <row r="2225" spans="2:9" x14ac:dyDescent="0.3">
      <c r="B2225" s="332" t="s">
        <v>720</v>
      </c>
      <c r="C2225" s="333"/>
      <c r="D2225" s="332"/>
      <c r="E2225" s="333" t="s">
        <v>93</v>
      </c>
      <c r="F2225" s="334">
        <v>2500</v>
      </c>
      <c r="G2225" s="332">
        <v>2.2000000000000002</v>
      </c>
      <c r="H2225" s="344">
        <f>F2225*G2225</f>
        <v>5500</v>
      </c>
      <c r="I2225" s="334"/>
    </row>
    <row r="2226" spans="2:9" x14ac:dyDescent="0.3">
      <c r="B2226" s="332" t="s">
        <v>721</v>
      </c>
      <c r="C2226" s="333"/>
      <c r="D2226" s="332"/>
      <c r="E2226" s="333" t="s">
        <v>93</v>
      </c>
      <c r="F2226" s="334">
        <v>2500</v>
      </c>
      <c r="G2226" s="332">
        <v>1.1000000000000001</v>
      </c>
      <c r="H2226" s="344">
        <f>F2226*G2226</f>
        <v>2750</v>
      </c>
      <c r="I2226" s="334"/>
    </row>
    <row r="2227" spans="2:9" x14ac:dyDescent="0.3">
      <c r="B2227" s="332" t="s">
        <v>713</v>
      </c>
      <c r="C2227" s="333"/>
      <c r="D2227" s="332"/>
      <c r="E2227" s="333" t="s">
        <v>33</v>
      </c>
      <c r="F2227" s="334">
        <v>9900</v>
      </c>
      <c r="G2227" s="332">
        <v>0.05</v>
      </c>
      <c r="H2227" s="344">
        <f>F2227*G2227</f>
        <v>495</v>
      </c>
      <c r="I2227" s="334"/>
    </row>
    <row r="2228" spans="2:9" x14ac:dyDescent="0.3">
      <c r="B2228" s="332"/>
      <c r="C2228" s="333"/>
      <c r="D2228" s="332"/>
      <c r="E2228" s="333"/>
      <c r="F2228" s="334"/>
      <c r="G2228" s="332"/>
      <c r="H2228" s="344">
        <f>F2228*G2228</f>
        <v>0</v>
      </c>
      <c r="I2228" s="334"/>
    </row>
    <row r="2229" spans="2:9" x14ac:dyDescent="0.3">
      <c r="B2229" s="332"/>
      <c r="C2229" s="333"/>
      <c r="D2229" s="332"/>
      <c r="E2229" s="333"/>
      <c r="F2229" s="334"/>
      <c r="G2229" s="332"/>
      <c r="H2229" s="334"/>
      <c r="I2229" s="334"/>
    </row>
    <row r="2230" spans="2:9" x14ac:dyDescent="0.3">
      <c r="B2230" s="332"/>
      <c r="C2230" s="333"/>
      <c r="D2230" s="332"/>
      <c r="E2230" s="333"/>
      <c r="F2230" s="334"/>
      <c r="G2230" s="332"/>
      <c r="H2230" s="334" t="s">
        <v>628</v>
      </c>
      <c r="I2230" s="334">
        <f>SUM(H2224:H2229)</f>
        <v>20295</v>
      </c>
    </row>
    <row r="2231" spans="2:9" x14ac:dyDescent="0.3">
      <c r="B2231" s="332" t="s">
        <v>632</v>
      </c>
      <c r="C2231" s="333"/>
      <c r="D2231" s="332"/>
      <c r="E2231" s="333" t="s">
        <v>624</v>
      </c>
      <c r="F2231" s="334" t="s">
        <v>633</v>
      </c>
      <c r="G2231" s="332" t="s">
        <v>634</v>
      </c>
      <c r="H2231" s="334" t="s">
        <v>627</v>
      </c>
      <c r="I2231" s="334"/>
    </row>
    <row r="2232" spans="2:9" x14ac:dyDescent="0.3">
      <c r="B2232" s="332"/>
      <c r="C2232" s="333"/>
      <c r="D2232" s="332"/>
      <c r="E2232" s="332"/>
      <c r="F2232" s="332"/>
      <c r="G2232" s="332"/>
      <c r="H2232" s="332"/>
      <c r="I2232" s="332"/>
    </row>
    <row r="2233" spans="2:9" x14ac:dyDescent="0.3">
      <c r="B2233" s="332"/>
      <c r="C2233" s="333"/>
      <c r="D2233" s="332"/>
      <c r="E2233" s="333"/>
      <c r="F2233" s="336"/>
      <c r="G2233" s="334"/>
      <c r="H2233" s="334"/>
      <c r="I2233" s="334"/>
    </row>
    <row r="2234" spans="2:9" x14ac:dyDescent="0.3">
      <c r="B2234" s="332"/>
      <c r="C2234" s="333"/>
      <c r="D2234" s="332"/>
      <c r="E2234" s="333"/>
      <c r="F2234" s="334"/>
      <c r="G2234" s="332"/>
      <c r="H2234" s="334" t="s">
        <v>628</v>
      </c>
      <c r="I2234" s="334">
        <f>SUM(H2233)</f>
        <v>0</v>
      </c>
    </row>
    <row r="2235" spans="2:9" x14ac:dyDescent="0.3">
      <c r="B2235" s="332" t="s">
        <v>635</v>
      </c>
      <c r="C2235" s="333"/>
      <c r="D2235" s="332"/>
      <c r="E2235" s="333"/>
      <c r="F2235" s="334"/>
      <c r="G2235" s="332"/>
      <c r="H2235" s="334" t="s">
        <v>627</v>
      </c>
      <c r="I2235" s="334"/>
    </row>
    <row r="2236" spans="2:9" x14ac:dyDescent="0.3">
      <c r="B2236" s="332" t="s">
        <v>636</v>
      </c>
      <c r="C2236" s="333"/>
      <c r="D2236" s="332"/>
      <c r="E2236" s="333" t="s">
        <v>637</v>
      </c>
      <c r="F2236" s="334" t="s">
        <v>638</v>
      </c>
      <c r="G2236" s="332" t="s">
        <v>626</v>
      </c>
      <c r="I2236" s="334"/>
    </row>
    <row r="2237" spans="2:9" ht="28.8" x14ac:dyDescent="0.3">
      <c r="B2237" s="342" t="s">
        <v>702</v>
      </c>
      <c r="C2237" s="333"/>
      <c r="D2237" s="332"/>
      <c r="E2237" s="346">
        <v>168000</v>
      </c>
      <c r="F2237" s="344">
        <v>1.8</v>
      </c>
      <c r="G2237" s="347">
        <v>13.932273669712291</v>
      </c>
      <c r="H2237" s="344">
        <f>E2237*F2237/G2237</f>
        <v>21704.999999920667</v>
      </c>
      <c r="I2237" s="344"/>
    </row>
    <row r="2238" spans="2:9" x14ac:dyDescent="0.3">
      <c r="B2238" s="332"/>
      <c r="C2238" s="333"/>
      <c r="D2238" s="332"/>
      <c r="E2238" s="333"/>
      <c r="F2238" s="334"/>
      <c r="G2238" s="332"/>
      <c r="H2238" s="334" t="s">
        <v>628</v>
      </c>
      <c r="I2238" s="334">
        <f>H2237</f>
        <v>21704.999999920667</v>
      </c>
    </row>
    <row r="2239" spans="2:9" x14ac:dyDescent="0.3">
      <c r="B2239" s="332"/>
      <c r="C2239" s="333"/>
      <c r="D2239" s="332"/>
      <c r="E2239" s="333"/>
      <c r="F2239" s="334"/>
      <c r="G2239" s="332"/>
      <c r="H2239" s="330" t="s">
        <v>640</v>
      </c>
      <c r="I2239" s="330">
        <f>I2238+I2230+I2221+I2234</f>
        <v>44999.999999920663</v>
      </c>
    </row>
    <row r="2241" spans="2:9" ht="129.6" x14ac:dyDescent="0.3">
      <c r="B2241" s="339" t="s">
        <v>715</v>
      </c>
      <c r="C2241" s="339" t="s">
        <v>621</v>
      </c>
      <c r="D2241" s="341" t="s">
        <v>555</v>
      </c>
      <c r="E2241" s="339"/>
      <c r="F2241" s="340"/>
      <c r="G2241" s="340" t="s">
        <v>622</v>
      </c>
      <c r="H2241" s="340" t="s">
        <v>102</v>
      </c>
      <c r="I2241" s="340">
        <f>+ROUND(I2264,0)</f>
        <v>100000</v>
      </c>
    </row>
    <row r="2242" spans="2:9" x14ac:dyDescent="0.3">
      <c r="B2242" s="332" t="s">
        <v>623</v>
      </c>
      <c r="C2242" s="333"/>
      <c r="D2242" s="332"/>
      <c r="E2242" s="333"/>
      <c r="F2242" s="334"/>
      <c r="G2242" s="332"/>
      <c r="H2242" s="334"/>
      <c r="I2242" s="334"/>
    </row>
    <row r="2243" spans="2:9" x14ac:dyDescent="0.3">
      <c r="B2243" s="332" t="s">
        <v>271</v>
      </c>
      <c r="C2243" s="333"/>
      <c r="D2243" s="332"/>
      <c r="E2243" s="333" t="s">
        <v>624</v>
      </c>
      <c r="F2243" s="334" t="s">
        <v>625</v>
      </c>
      <c r="G2243" s="332" t="s">
        <v>626</v>
      </c>
      <c r="H2243" s="334" t="s">
        <v>627</v>
      </c>
      <c r="I2243" s="334"/>
    </row>
    <row r="2244" spans="2:9" x14ac:dyDescent="0.3">
      <c r="B2244" s="332" t="s">
        <v>701</v>
      </c>
      <c r="C2244" s="333"/>
      <c r="D2244" s="332"/>
      <c r="E2244" s="333" t="s">
        <v>644</v>
      </c>
      <c r="F2244" s="334">
        <v>1500</v>
      </c>
      <c r="G2244" s="335">
        <v>2</v>
      </c>
      <c r="H2244" s="334">
        <f>F2244*G2244</f>
        <v>3000</v>
      </c>
      <c r="I2244" s="334"/>
    </row>
    <row r="2245" spans="2:9" x14ac:dyDescent="0.3">
      <c r="B2245" s="332"/>
      <c r="C2245" s="333"/>
      <c r="D2245" s="332"/>
      <c r="E2245" s="333"/>
      <c r="F2245" s="334"/>
      <c r="G2245" s="335"/>
      <c r="H2245" s="334"/>
      <c r="I2245" s="334"/>
    </row>
    <row r="2246" spans="2:9" x14ac:dyDescent="0.3">
      <c r="B2246" s="332"/>
      <c r="C2246" s="333"/>
      <c r="D2246" s="332"/>
      <c r="E2246" s="333"/>
      <c r="F2246" s="334"/>
      <c r="G2246" s="335"/>
      <c r="H2246" s="334"/>
      <c r="I2246" s="334"/>
    </row>
    <row r="2247" spans="2:9" x14ac:dyDescent="0.3">
      <c r="B2247" s="332"/>
      <c r="C2247" s="333"/>
      <c r="D2247" s="332"/>
      <c r="E2247" s="333"/>
      <c r="F2247" s="334"/>
      <c r="G2247" s="332"/>
      <c r="H2247" s="334" t="s">
        <v>628</v>
      </c>
      <c r="I2247" s="334">
        <f>SUM(H2244:H2246)</f>
        <v>3000</v>
      </c>
    </row>
    <row r="2248" spans="2:9" x14ac:dyDescent="0.3">
      <c r="B2248" s="332" t="s">
        <v>629</v>
      </c>
      <c r="C2248" s="333"/>
      <c r="D2248" s="332"/>
      <c r="E2248" s="333"/>
      <c r="F2248" s="334"/>
      <c r="G2248" s="332"/>
      <c r="H2248" s="334"/>
      <c r="I2248" s="334"/>
    </row>
    <row r="2249" spans="2:9" x14ac:dyDescent="0.3">
      <c r="B2249" s="332" t="s">
        <v>271</v>
      </c>
      <c r="C2249" s="333"/>
      <c r="D2249" s="332"/>
      <c r="E2249" s="333" t="s">
        <v>624</v>
      </c>
      <c r="F2249" s="334" t="s">
        <v>630</v>
      </c>
      <c r="G2249" s="332" t="s">
        <v>631</v>
      </c>
      <c r="H2249" s="334" t="s">
        <v>627</v>
      </c>
      <c r="I2249" s="334"/>
    </row>
    <row r="2250" spans="2:9" x14ac:dyDescent="0.3">
      <c r="B2250" s="332" t="s">
        <v>723</v>
      </c>
      <c r="C2250" s="333"/>
      <c r="D2250" s="332"/>
      <c r="E2250" s="333" t="s">
        <v>93</v>
      </c>
      <c r="F2250" s="334">
        <v>10500</v>
      </c>
      <c r="G2250" s="332">
        <v>2</v>
      </c>
      <c r="H2250" s="344">
        <f>F2250*G2250</f>
        <v>21000</v>
      </c>
      <c r="I2250" s="344"/>
    </row>
    <row r="2251" spans="2:9" x14ac:dyDescent="0.3">
      <c r="B2251" s="332" t="s">
        <v>721</v>
      </c>
      <c r="C2251" s="333"/>
      <c r="D2251" s="332"/>
      <c r="E2251" s="333" t="s">
        <v>93</v>
      </c>
      <c r="F2251" s="334">
        <v>2500</v>
      </c>
      <c r="G2251" s="332">
        <v>5</v>
      </c>
      <c r="H2251" s="344">
        <f>F2251*G2251</f>
        <v>12500</v>
      </c>
      <c r="I2251" s="334"/>
    </row>
    <row r="2252" spans="2:9" x14ac:dyDescent="0.3">
      <c r="B2252" s="332" t="s">
        <v>713</v>
      </c>
      <c r="C2252" s="333"/>
      <c r="D2252" s="332"/>
      <c r="E2252" s="333" t="s">
        <v>33</v>
      </c>
      <c r="F2252" s="334">
        <v>9900</v>
      </c>
      <c r="G2252" s="332">
        <v>1</v>
      </c>
      <c r="H2252" s="344">
        <f>F2252*G2252</f>
        <v>9900</v>
      </c>
      <c r="I2252" s="334"/>
    </row>
    <row r="2253" spans="2:9" x14ac:dyDescent="0.3">
      <c r="B2253" s="332"/>
      <c r="C2253" s="333"/>
      <c r="D2253" s="332"/>
      <c r="E2253" s="333"/>
      <c r="F2253" s="334"/>
      <c r="G2253" s="332"/>
      <c r="H2253" s="344"/>
      <c r="I2253" s="334"/>
    </row>
    <row r="2254" spans="2:9" x14ac:dyDescent="0.3">
      <c r="B2254" s="332"/>
      <c r="C2254" s="333"/>
      <c r="D2254" s="332"/>
      <c r="E2254" s="333"/>
      <c r="F2254" s="334"/>
      <c r="G2254" s="332"/>
      <c r="H2254" s="334"/>
      <c r="I2254" s="334"/>
    </row>
    <row r="2255" spans="2:9" x14ac:dyDescent="0.3">
      <c r="B2255" s="332"/>
      <c r="C2255" s="333"/>
      <c r="D2255" s="332"/>
      <c r="E2255" s="333"/>
      <c r="F2255" s="334"/>
      <c r="G2255" s="332"/>
      <c r="H2255" s="334" t="s">
        <v>628</v>
      </c>
      <c r="I2255" s="334">
        <f>SUM(H2250:H2254)</f>
        <v>43400</v>
      </c>
    </row>
    <row r="2256" spans="2:9" x14ac:dyDescent="0.3">
      <c r="B2256" s="332" t="s">
        <v>632</v>
      </c>
      <c r="C2256" s="333"/>
      <c r="D2256" s="332"/>
      <c r="E2256" s="333" t="s">
        <v>624</v>
      </c>
      <c r="F2256" s="334" t="s">
        <v>633</v>
      </c>
      <c r="G2256" s="332" t="s">
        <v>634</v>
      </c>
      <c r="H2256" s="334" t="s">
        <v>627</v>
      </c>
      <c r="I2256" s="334"/>
    </row>
    <row r="2257" spans="2:9" x14ac:dyDescent="0.3">
      <c r="B2257" s="332"/>
      <c r="C2257" s="333"/>
      <c r="D2257" s="332"/>
      <c r="E2257" s="332"/>
      <c r="F2257" s="332"/>
      <c r="G2257" s="332"/>
      <c r="H2257" s="332"/>
      <c r="I2257" s="332"/>
    </row>
    <row r="2258" spans="2:9" x14ac:dyDescent="0.3">
      <c r="B2258" s="332"/>
      <c r="C2258" s="333"/>
      <c r="D2258" s="332"/>
      <c r="E2258" s="333"/>
      <c r="F2258" s="336"/>
      <c r="G2258" s="334"/>
      <c r="H2258" s="334"/>
      <c r="I2258" s="334"/>
    </row>
    <row r="2259" spans="2:9" x14ac:dyDescent="0.3">
      <c r="B2259" s="332"/>
      <c r="C2259" s="333"/>
      <c r="D2259" s="332"/>
      <c r="E2259" s="333"/>
      <c r="F2259" s="334"/>
      <c r="G2259" s="332"/>
      <c r="H2259" s="334" t="s">
        <v>628</v>
      </c>
      <c r="I2259" s="334">
        <f>SUM(H2258)</f>
        <v>0</v>
      </c>
    </row>
    <row r="2260" spans="2:9" x14ac:dyDescent="0.3">
      <c r="B2260" s="332" t="s">
        <v>635</v>
      </c>
      <c r="C2260" s="333"/>
      <c r="D2260" s="332"/>
      <c r="E2260" s="333"/>
      <c r="F2260" s="334"/>
      <c r="G2260" s="332"/>
      <c r="H2260" s="334" t="s">
        <v>627</v>
      </c>
      <c r="I2260" s="334"/>
    </row>
    <row r="2261" spans="2:9" x14ac:dyDescent="0.3">
      <c r="B2261" s="332" t="s">
        <v>636</v>
      </c>
      <c r="C2261" s="333"/>
      <c r="D2261" s="332"/>
      <c r="E2261" s="333" t="s">
        <v>637</v>
      </c>
      <c r="F2261" s="334" t="s">
        <v>638</v>
      </c>
      <c r="G2261" s="332" t="s">
        <v>626</v>
      </c>
      <c r="I2261" s="334"/>
    </row>
    <row r="2262" spans="2:9" ht="28.8" x14ac:dyDescent="0.3">
      <c r="B2262" s="342" t="s">
        <v>702</v>
      </c>
      <c r="C2262" s="333"/>
      <c r="D2262" s="332"/>
      <c r="E2262" s="346">
        <v>168000</v>
      </c>
      <c r="F2262" s="344">
        <v>1.8</v>
      </c>
      <c r="G2262" s="347">
        <v>5.6417910447686968</v>
      </c>
      <c r="H2262" s="344">
        <f>E2262*F2262/G2262</f>
        <v>53600.000000070519</v>
      </c>
      <c r="I2262" s="344"/>
    </row>
    <row r="2263" spans="2:9" x14ac:dyDescent="0.3">
      <c r="B2263" s="332"/>
      <c r="C2263" s="333"/>
      <c r="D2263" s="332"/>
      <c r="E2263" s="333"/>
      <c r="F2263" s="334"/>
      <c r="G2263" s="332"/>
      <c r="H2263" s="334" t="s">
        <v>628</v>
      </c>
      <c r="I2263" s="334">
        <f>H2262</f>
        <v>53600.000000070519</v>
      </c>
    </row>
    <row r="2264" spans="2:9" x14ac:dyDescent="0.3">
      <c r="B2264" s="332"/>
      <c r="C2264" s="333"/>
      <c r="D2264" s="332"/>
      <c r="E2264" s="333"/>
      <c r="F2264" s="334"/>
      <c r="G2264" s="332"/>
      <c r="H2264" s="330" t="s">
        <v>640</v>
      </c>
      <c r="I2264" s="330">
        <f>I2263+I2255+I2247+I2259</f>
        <v>100000.00000007052</v>
      </c>
    </row>
    <row r="2266" spans="2:9" x14ac:dyDescent="0.3">
      <c r="B2266" s="339" t="s">
        <v>736</v>
      </c>
      <c r="C2266" s="339" t="s">
        <v>621</v>
      </c>
      <c r="D2266" s="352" t="s">
        <v>503</v>
      </c>
      <c r="E2266" s="329"/>
      <c r="F2266" s="353"/>
      <c r="G2266" s="353" t="s">
        <v>622</v>
      </c>
      <c r="H2266" s="353" t="s">
        <v>641</v>
      </c>
      <c r="I2266" s="340">
        <f>+ROUND(I2288,0)</f>
        <v>600000</v>
      </c>
    </row>
    <row r="2267" spans="2:9" x14ac:dyDescent="0.3">
      <c r="B2267" s="332" t="s">
        <v>623</v>
      </c>
      <c r="C2267" s="333"/>
      <c r="D2267" s="332"/>
      <c r="E2267" s="333"/>
      <c r="F2267" s="334"/>
      <c r="G2267" s="332"/>
      <c r="H2267" s="334"/>
      <c r="I2267" s="334"/>
    </row>
    <row r="2268" spans="2:9" x14ac:dyDescent="0.3">
      <c r="B2268" s="332" t="s">
        <v>271</v>
      </c>
      <c r="C2268" s="333"/>
      <c r="D2268" s="332"/>
      <c r="E2268" s="333" t="s">
        <v>624</v>
      </c>
      <c r="F2268" s="334" t="s">
        <v>625</v>
      </c>
      <c r="G2268" s="332" t="s">
        <v>626</v>
      </c>
      <c r="H2268" s="334" t="s">
        <v>627</v>
      </c>
      <c r="I2268" s="334"/>
    </row>
    <row r="2269" spans="2:9" x14ac:dyDescent="0.3">
      <c r="B2269" s="332" t="s">
        <v>642</v>
      </c>
      <c r="C2269" s="333"/>
      <c r="D2269" s="332"/>
      <c r="E2269" s="333" t="s">
        <v>644</v>
      </c>
      <c r="F2269" s="334">
        <v>1500</v>
      </c>
      <c r="G2269" s="335">
        <v>8</v>
      </c>
      <c r="H2269" s="334">
        <f>F2269*G2269</f>
        <v>12000</v>
      </c>
      <c r="I2269" s="334"/>
    </row>
    <row r="2270" spans="2:9" x14ac:dyDescent="0.3">
      <c r="B2270" s="332"/>
      <c r="C2270" s="333"/>
      <c r="D2270" s="332"/>
      <c r="E2270" s="333"/>
      <c r="F2270" s="334"/>
      <c r="G2270" s="335"/>
      <c r="H2270" s="334"/>
      <c r="I2270" s="334"/>
    </row>
    <row r="2271" spans="2:9" x14ac:dyDescent="0.3">
      <c r="B2271" s="332"/>
      <c r="C2271" s="333"/>
      <c r="D2271" s="332"/>
      <c r="E2271" s="333"/>
      <c r="F2271" s="334"/>
      <c r="G2271" s="335"/>
      <c r="H2271" s="334"/>
      <c r="I2271" s="334"/>
    </row>
    <row r="2272" spans="2:9" x14ac:dyDescent="0.3">
      <c r="B2272" s="332"/>
      <c r="C2272" s="333"/>
      <c r="D2272" s="332"/>
      <c r="E2272" s="333"/>
      <c r="F2272" s="334"/>
      <c r="G2272" s="332"/>
      <c r="H2272" s="334" t="s">
        <v>628</v>
      </c>
      <c r="I2272" s="334">
        <f>SUM(H2269:H2271)</f>
        <v>12000</v>
      </c>
    </row>
    <row r="2273" spans="2:9" x14ac:dyDescent="0.3">
      <c r="B2273" s="332" t="s">
        <v>629</v>
      </c>
      <c r="C2273" s="333"/>
      <c r="D2273" s="332"/>
      <c r="E2273" s="333"/>
      <c r="F2273" s="334"/>
      <c r="G2273" s="332"/>
      <c r="H2273" s="334"/>
      <c r="I2273" s="334"/>
    </row>
    <row r="2274" spans="2:9" x14ac:dyDescent="0.3">
      <c r="B2274" s="332" t="s">
        <v>271</v>
      </c>
      <c r="C2274" s="333"/>
      <c r="D2274" s="332"/>
      <c r="E2274" s="333" t="s">
        <v>624</v>
      </c>
      <c r="F2274" s="334" t="s">
        <v>630</v>
      </c>
      <c r="G2274" s="332" t="s">
        <v>631</v>
      </c>
      <c r="H2274" s="334" t="s">
        <v>627</v>
      </c>
      <c r="I2274" s="334"/>
    </row>
    <row r="2275" spans="2:9" x14ac:dyDescent="0.3">
      <c r="B2275" s="332"/>
      <c r="C2275" s="333"/>
      <c r="D2275" s="332"/>
      <c r="E2275" s="333"/>
      <c r="F2275" s="334"/>
      <c r="G2275" s="332"/>
      <c r="H2275" s="334"/>
      <c r="I2275" s="334"/>
    </row>
    <row r="2276" spans="2:9" x14ac:dyDescent="0.3">
      <c r="B2276" s="332"/>
      <c r="C2276" s="333"/>
      <c r="D2276" s="332"/>
      <c r="E2276" s="333"/>
      <c r="F2276" s="334"/>
      <c r="G2276" s="332"/>
      <c r="H2276" s="334"/>
      <c r="I2276" s="334"/>
    </row>
    <row r="2277" spans="2:9" x14ac:dyDescent="0.3">
      <c r="B2277" s="332"/>
      <c r="C2277" s="333"/>
      <c r="D2277" s="332"/>
      <c r="E2277" s="333"/>
      <c r="F2277" s="334"/>
      <c r="G2277" s="332"/>
      <c r="H2277" s="334"/>
      <c r="I2277" s="334"/>
    </row>
    <row r="2278" spans="2:9" x14ac:dyDescent="0.3">
      <c r="B2278" s="332"/>
      <c r="C2278" s="333"/>
      <c r="D2278" s="332"/>
      <c r="E2278" s="333"/>
      <c r="F2278" s="334"/>
      <c r="G2278" s="332"/>
      <c r="H2278" s="334"/>
      <c r="I2278" s="334"/>
    </row>
    <row r="2279" spans="2:9" x14ac:dyDescent="0.3">
      <c r="B2279" s="332"/>
      <c r="C2279" s="333"/>
      <c r="D2279" s="332"/>
      <c r="E2279" s="333"/>
      <c r="F2279" s="334"/>
      <c r="G2279" s="332"/>
      <c r="H2279" s="334" t="s">
        <v>628</v>
      </c>
      <c r="I2279" s="334">
        <f>SUM(H2275:H2278)</f>
        <v>0</v>
      </c>
    </row>
    <row r="2280" spans="2:9" x14ac:dyDescent="0.3">
      <c r="B2280" s="332" t="s">
        <v>632</v>
      </c>
      <c r="C2280" s="333"/>
      <c r="D2280" s="332"/>
      <c r="E2280" s="333" t="s">
        <v>624</v>
      </c>
      <c r="F2280" s="334" t="s">
        <v>633</v>
      </c>
      <c r="G2280" s="332" t="s">
        <v>634</v>
      </c>
      <c r="H2280" s="334" t="s">
        <v>627</v>
      </c>
      <c r="I2280" s="334"/>
    </row>
    <row r="2281" spans="2:9" x14ac:dyDescent="0.3">
      <c r="B2281" s="332"/>
      <c r="C2281" s="333"/>
      <c r="D2281" s="332"/>
      <c r="E2281" s="332"/>
      <c r="F2281" s="332"/>
      <c r="G2281" s="332"/>
      <c r="H2281" s="332"/>
      <c r="I2281" s="332"/>
    </row>
    <row r="2282" spans="2:9" x14ac:dyDescent="0.3">
      <c r="B2282" s="332"/>
      <c r="C2282" s="333"/>
      <c r="D2282" s="332"/>
      <c r="E2282" s="333"/>
      <c r="F2282" s="336"/>
      <c r="G2282" s="334"/>
      <c r="H2282" s="334"/>
      <c r="I2282" s="334"/>
    </row>
    <row r="2283" spans="2:9" x14ac:dyDescent="0.3">
      <c r="B2283" s="332"/>
      <c r="C2283" s="333"/>
      <c r="D2283" s="332"/>
      <c r="E2283" s="333"/>
      <c r="F2283" s="334"/>
      <c r="G2283" s="332"/>
      <c r="H2283" s="334" t="s">
        <v>628</v>
      </c>
      <c r="I2283" s="334">
        <f>SUM(H2282)</f>
        <v>0</v>
      </c>
    </row>
    <row r="2284" spans="2:9" x14ac:dyDescent="0.3">
      <c r="B2284" s="332" t="s">
        <v>635</v>
      </c>
      <c r="C2284" s="333"/>
      <c r="D2284" s="332"/>
      <c r="E2284" s="333"/>
      <c r="F2284" s="334"/>
      <c r="G2284" s="332"/>
      <c r="H2284" s="334"/>
      <c r="I2284" s="334"/>
    </row>
    <row r="2285" spans="2:9" x14ac:dyDescent="0.3">
      <c r="B2285" s="332" t="s">
        <v>636</v>
      </c>
      <c r="C2285" s="333"/>
      <c r="D2285" s="332"/>
      <c r="E2285" s="333" t="s">
        <v>637</v>
      </c>
      <c r="F2285" s="334" t="s">
        <v>638</v>
      </c>
      <c r="G2285" s="332" t="s">
        <v>639</v>
      </c>
      <c r="H2285" s="334" t="s">
        <v>627</v>
      </c>
      <c r="I2285" s="334"/>
    </row>
    <row r="2286" spans="2:9" x14ac:dyDescent="0.3">
      <c r="B2286" s="332" t="s">
        <v>645</v>
      </c>
      <c r="C2286" s="333"/>
      <c r="D2286" s="332"/>
      <c r="E2286" s="337">
        <v>168000</v>
      </c>
      <c r="F2286" s="334">
        <v>1.8</v>
      </c>
      <c r="G2286" s="335">
        <v>0.51428571417796698</v>
      </c>
      <c r="H2286" s="334">
        <f>E2286*F2286/G2286</f>
        <v>588000.00012319104</v>
      </c>
      <c r="I2286" s="334"/>
    </row>
    <row r="2287" spans="2:9" x14ac:dyDescent="0.3">
      <c r="B2287" s="332"/>
      <c r="C2287" s="333"/>
      <c r="D2287" s="332"/>
      <c r="E2287" s="333"/>
      <c r="F2287" s="334"/>
      <c r="G2287" s="332"/>
      <c r="H2287" s="334" t="s">
        <v>628</v>
      </c>
      <c r="I2287" s="334">
        <f>H2286</f>
        <v>588000.00012319104</v>
      </c>
    </row>
    <row r="2288" spans="2:9" x14ac:dyDescent="0.3">
      <c r="B2288" s="332"/>
      <c r="C2288" s="333"/>
      <c r="D2288" s="332"/>
      <c r="E2288" s="333"/>
      <c r="F2288" s="334"/>
      <c r="G2288" s="332"/>
      <c r="H2288" s="330" t="s">
        <v>640</v>
      </c>
      <c r="I2288" s="330">
        <f>I2287+I2279+I2272+I2283</f>
        <v>600000.00012319104</v>
      </c>
    </row>
    <row r="2291" spans="2:9" x14ac:dyDescent="0.3">
      <c r="B2291" s="358" t="s">
        <v>769</v>
      </c>
    </row>
    <row r="2293" spans="2:9" x14ac:dyDescent="0.3">
      <c r="B2293" s="339" t="s">
        <v>646</v>
      </c>
      <c r="C2293" s="339" t="s">
        <v>621</v>
      </c>
      <c r="D2293" s="341" t="s">
        <v>504</v>
      </c>
      <c r="E2293" s="339"/>
      <c r="F2293" s="340"/>
      <c r="G2293" s="340" t="s">
        <v>622</v>
      </c>
      <c r="H2293" s="340" t="s">
        <v>489</v>
      </c>
      <c r="I2293" s="340">
        <f>+ROUND(I2315,0)</f>
        <v>7468</v>
      </c>
    </row>
    <row r="2294" spans="2:9" x14ac:dyDescent="0.3">
      <c r="B2294" s="332" t="s">
        <v>623</v>
      </c>
      <c r="C2294" s="333"/>
      <c r="D2294" s="332"/>
      <c r="E2294" s="333"/>
      <c r="F2294" s="334"/>
      <c r="G2294" s="332"/>
      <c r="H2294" s="334"/>
      <c r="I2294" s="334"/>
    </row>
    <row r="2295" spans="2:9" x14ac:dyDescent="0.3">
      <c r="B2295" s="332" t="s">
        <v>271</v>
      </c>
      <c r="C2295" s="333"/>
      <c r="D2295" s="332"/>
      <c r="E2295" s="333" t="s">
        <v>624</v>
      </c>
      <c r="F2295" s="334" t="s">
        <v>625</v>
      </c>
      <c r="G2295" s="332" t="s">
        <v>626</v>
      </c>
      <c r="H2295" s="334" t="s">
        <v>627</v>
      </c>
      <c r="I2295" s="334"/>
    </row>
    <row r="2296" spans="2:9" x14ac:dyDescent="0.3">
      <c r="B2296" s="332" t="s">
        <v>642</v>
      </c>
      <c r="C2296" s="333"/>
      <c r="D2296" s="332"/>
      <c r="E2296" s="333" t="s">
        <v>644</v>
      </c>
      <c r="F2296" s="334">
        <v>1500</v>
      </c>
      <c r="G2296" s="335">
        <v>3</v>
      </c>
      <c r="H2296" s="334">
        <f>F2296*G2296</f>
        <v>4500</v>
      </c>
      <c r="I2296" s="334"/>
    </row>
    <row r="2297" spans="2:9" x14ac:dyDescent="0.3">
      <c r="B2297" s="332"/>
      <c r="C2297" s="333"/>
      <c r="D2297" s="332"/>
      <c r="E2297" s="333"/>
      <c r="F2297" s="334"/>
      <c r="G2297" s="335"/>
      <c r="H2297" s="334"/>
      <c r="I2297" s="334"/>
    </row>
    <row r="2298" spans="2:9" x14ac:dyDescent="0.3">
      <c r="B2298" s="332"/>
      <c r="C2298" s="333"/>
      <c r="D2298" s="332"/>
      <c r="E2298" s="333"/>
      <c r="F2298" s="334"/>
      <c r="G2298" s="335"/>
      <c r="H2298" s="334"/>
      <c r="I2298" s="334"/>
    </row>
    <row r="2299" spans="2:9" x14ac:dyDescent="0.3">
      <c r="B2299" s="332"/>
      <c r="C2299" s="333"/>
      <c r="D2299" s="332"/>
      <c r="E2299" s="333"/>
      <c r="F2299" s="334"/>
      <c r="G2299" s="332"/>
      <c r="H2299" s="334" t="s">
        <v>628</v>
      </c>
      <c r="I2299" s="334">
        <f>SUM(H2296:H2298)</f>
        <v>4500</v>
      </c>
    </row>
    <row r="2300" spans="2:9" x14ac:dyDescent="0.3">
      <c r="B2300" s="332" t="s">
        <v>629</v>
      </c>
      <c r="C2300" s="333"/>
      <c r="D2300" s="332"/>
      <c r="E2300" s="333"/>
      <c r="F2300" s="334"/>
      <c r="G2300" s="332"/>
      <c r="H2300" s="334"/>
      <c r="I2300" s="334"/>
    </row>
    <row r="2301" spans="2:9" x14ac:dyDescent="0.3">
      <c r="B2301" s="332" t="s">
        <v>271</v>
      </c>
      <c r="C2301" s="333"/>
      <c r="D2301" s="332"/>
      <c r="E2301" s="333" t="s">
        <v>624</v>
      </c>
      <c r="F2301" s="334" t="s">
        <v>630</v>
      </c>
      <c r="G2301" s="332" t="s">
        <v>631</v>
      </c>
      <c r="H2301" s="334" t="s">
        <v>627</v>
      </c>
      <c r="I2301" s="334"/>
    </row>
    <row r="2302" spans="2:9" x14ac:dyDescent="0.3">
      <c r="B2302" s="332"/>
      <c r="C2302" s="333"/>
      <c r="D2302" s="332"/>
      <c r="E2302" s="333"/>
      <c r="F2302" s="334"/>
      <c r="G2302" s="332"/>
      <c r="H2302" s="334"/>
      <c r="I2302" s="334"/>
    </row>
    <row r="2303" spans="2:9" x14ac:dyDescent="0.3">
      <c r="B2303" s="332"/>
      <c r="C2303" s="333"/>
      <c r="D2303" s="332"/>
      <c r="E2303" s="333"/>
      <c r="F2303" s="334"/>
      <c r="G2303" s="332"/>
      <c r="H2303" s="334"/>
      <c r="I2303" s="334"/>
    </row>
    <row r="2304" spans="2:9" x14ac:dyDescent="0.3">
      <c r="B2304" s="332"/>
      <c r="C2304" s="333"/>
      <c r="D2304" s="332"/>
      <c r="E2304" s="333"/>
      <c r="F2304" s="334"/>
      <c r="G2304" s="332"/>
      <c r="H2304" s="334"/>
      <c r="I2304" s="334"/>
    </row>
    <row r="2305" spans="2:9" x14ac:dyDescent="0.3">
      <c r="B2305" s="332"/>
      <c r="C2305" s="333"/>
      <c r="D2305" s="332"/>
      <c r="E2305" s="333"/>
      <c r="F2305" s="334"/>
      <c r="G2305" s="332"/>
      <c r="H2305" s="334"/>
      <c r="I2305" s="334"/>
    </row>
    <row r="2306" spans="2:9" x14ac:dyDescent="0.3">
      <c r="B2306" s="332"/>
      <c r="C2306" s="333"/>
      <c r="D2306" s="332"/>
      <c r="E2306" s="333"/>
      <c r="F2306" s="334"/>
      <c r="G2306" s="332"/>
      <c r="H2306" s="334" t="s">
        <v>628</v>
      </c>
      <c r="I2306" s="334">
        <f>SUM(H2302:H2305)</f>
        <v>0</v>
      </c>
    </row>
    <row r="2307" spans="2:9" x14ac:dyDescent="0.3">
      <c r="B2307" s="332" t="s">
        <v>632</v>
      </c>
      <c r="C2307" s="333"/>
      <c r="D2307" s="332"/>
      <c r="E2307" s="333" t="s">
        <v>624</v>
      </c>
      <c r="F2307" s="334" t="s">
        <v>633</v>
      </c>
      <c r="G2307" s="332" t="s">
        <v>634</v>
      </c>
      <c r="H2307" s="334" t="s">
        <v>627</v>
      </c>
      <c r="I2307" s="334"/>
    </row>
    <row r="2308" spans="2:9" x14ac:dyDescent="0.3">
      <c r="B2308" s="332"/>
      <c r="C2308" s="333"/>
      <c r="D2308" s="332"/>
      <c r="E2308" s="332"/>
      <c r="F2308" s="332"/>
      <c r="G2308" s="332"/>
      <c r="H2308" s="332"/>
      <c r="I2308" s="332"/>
    </row>
    <row r="2309" spans="2:9" x14ac:dyDescent="0.3">
      <c r="B2309" s="332"/>
      <c r="C2309" s="333"/>
      <c r="D2309" s="332"/>
      <c r="E2309" s="333"/>
      <c r="F2309" s="336"/>
      <c r="G2309" s="334"/>
      <c r="H2309" s="334"/>
      <c r="I2309" s="334"/>
    </row>
    <row r="2310" spans="2:9" x14ac:dyDescent="0.3">
      <c r="B2310" s="332"/>
      <c r="C2310" s="333"/>
      <c r="D2310" s="332"/>
      <c r="E2310" s="333"/>
      <c r="F2310" s="334"/>
      <c r="G2310" s="332"/>
      <c r="H2310" s="334" t="s">
        <v>628</v>
      </c>
      <c r="I2310" s="334">
        <f>SUM(H2309)</f>
        <v>0</v>
      </c>
    </row>
    <row r="2311" spans="2:9" x14ac:dyDescent="0.3">
      <c r="B2311" s="332" t="s">
        <v>635</v>
      </c>
      <c r="C2311" s="333"/>
      <c r="D2311" s="332"/>
      <c r="E2311" s="333"/>
      <c r="F2311" s="334"/>
      <c r="G2311" s="332"/>
      <c r="H2311" s="334"/>
      <c r="I2311" s="334"/>
    </row>
    <row r="2312" spans="2:9" x14ac:dyDescent="0.3">
      <c r="B2312" s="332" t="s">
        <v>636</v>
      </c>
      <c r="C2312" s="333"/>
      <c r="D2312" s="332"/>
      <c r="E2312" s="333" t="s">
        <v>637</v>
      </c>
      <c r="F2312" s="334" t="s">
        <v>638</v>
      </c>
      <c r="G2312" s="332" t="s">
        <v>639</v>
      </c>
      <c r="H2312" s="334" t="s">
        <v>627</v>
      </c>
      <c r="I2312" s="334"/>
    </row>
    <row r="2313" spans="2:9" x14ac:dyDescent="0.3">
      <c r="B2313" s="332" t="s">
        <v>645</v>
      </c>
      <c r="C2313" s="333"/>
      <c r="D2313" s="332"/>
      <c r="E2313" s="337">
        <v>168000</v>
      </c>
      <c r="F2313" s="334">
        <v>1.8</v>
      </c>
      <c r="G2313" s="338">
        <v>101.88680622432933</v>
      </c>
      <c r="H2313" s="334">
        <f>E2313*F2313/G2313</f>
        <v>2967.9995988311834</v>
      </c>
      <c r="I2313" s="334"/>
    </row>
    <row r="2314" spans="2:9" x14ac:dyDescent="0.3">
      <c r="B2314" s="332"/>
      <c r="C2314" s="333"/>
      <c r="D2314" s="332"/>
      <c r="E2314" s="333"/>
      <c r="F2314" s="334"/>
      <c r="G2314" s="332"/>
      <c r="H2314" s="334" t="s">
        <v>628</v>
      </c>
      <c r="I2314" s="334">
        <f>H2313</f>
        <v>2967.9995988311834</v>
      </c>
    </row>
    <row r="2315" spans="2:9" x14ac:dyDescent="0.3">
      <c r="B2315" s="332"/>
      <c r="C2315" s="333"/>
      <c r="D2315" s="332"/>
      <c r="E2315" s="333"/>
      <c r="F2315" s="334"/>
      <c r="G2315" s="332"/>
      <c r="H2315" s="330" t="s">
        <v>640</v>
      </c>
      <c r="I2315" s="330">
        <f>I2314+I2306+I2299+I2310</f>
        <v>7467.9995988311839</v>
      </c>
    </row>
    <row r="2317" spans="2:9" x14ac:dyDescent="0.3">
      <c r="B2317" s="339" t="s">
        <v>647</v>
      </c>
      <c r="C2317" s="339" t="s">
        <v>621</v>
      </c>
      <c r="D2317" s="341" t="s">
        <v>582</v>
      </c>
      <c r="E2317" s="339"/>
      <c r="F2317" s="340"/>
      <c r="G2317" s="340" t="s">
        <v>622</v>
      </c>
      <c r="H2317" s="340" t="s">
        <v>489</v>
      </c>
      <c r="I2317" s="340">
        <f>+ROUND(I2339,0)</f>
        <v>7468</v>
      </c>
    </row>
    <row r="2318" spans="2:9" x14ac:dyDescent="0.3">
      <c r="B2318" s="332" t="s">
        <v>623</v>
      </c>
      <c r="C2318" s="333"/>
      <c r="D2318" s="332"/>
      <c r="E2318" s="333"/>
      <c r="F2318" s="334"/>
      <c r="G2318" s="332"/>
      <c r="H2318" s="334"/>
      <c r="I2318" s="334"/>
    </row>
    <row r="2319" spans="2:9" x14ac:dyDescent="0.3">
      <c r="B2319" s="332" t="s">
        <v>271</v>
      </c>
      <c r="C2319" s="333"/>
      <c r="D2319" s="332"/>
      <c r="E2319" s="333" t="s">
        <v>624</v>
      </c>
      <c r="F2319" s="334" t="s">
        <v>625</v>
      </c>
      <c r="G2319" s="332" t="s">
        <v>626</v>
      </c>
      <c r="H2319" s="334" t="s">
        <v>627</v>
      </c>
      <c r="I2319" s="334"/>
    </row>
    <row r="2320" spans="2:9" x14ac:dyDescent="0.3">
      <c r="B2320" s="332" t="s">
        <v>642</v>
      </c>
      <c r="C2320" s="333"/>
      <c r="D2320" s="332"/>
      <c r="E2320" s="333" t="s">
        <v>644</v>
      </c>
      <c r="F2320" s="334">
        <v>1500</v>
      </c>
      <c r="G2320" s="335">
        <v>3</v>
      </c>
      <c r="H2320" s="334">
        <f>F2320*G2320</f>
        <v>4500</v>
      </c>
      <c r="I2320" s="334"/>
    </row>
    <row r="2321" spans="2:9" x14ac:dyDescent="0.3">
      <c r="B2321" s="332"/>
      <c r="C2321" s="333"/>
      <c r="D2321" s="332"/>
      <c r="E2321" s="333"/>
      <c r="F2321" s="334"/>
      <c r="G2321" s="335"/>
      <c r="H2321" s="334"/>
      <c r="I2321" s="334"/>
    </row>
    <row r="2322" spans="2:9" x14ac:dyDescent="0.3">
      <c r="B2322" s="332"/>
      <c r="C2322" s="333"/>
      <c r="D2322" s="332"/>
      <c r="E2322" s="333"/>
      <c r="F2322" s="334"/>
      <c r="G2322" s="335"/>
      <c r="H2322" s="334"/>
      <c r="I2322" s="334"/>
    </row>
    <row r="2323" spans="2:9" x14ac:dyDescent="0.3">
      <c r="B2323" s="332"/>
      <c r="C2323" s="333"/>
      <c r="D2323" s="332"/>
      <c r="E2323" s="333"/>
      <c r="F2323" s="334"/>
      <c r="G2323" s="332"/>
      <c r="H2323" s="334" t="s">
        <v>628</v>
      </c>
      <c r="I2323" s="334">
        <f>SUM(H2320:H2322)</f>
        <v>4500</v>
      </c>
    </row>
    <row r="2324" spans="2:9" x14ac:dyDescent="0.3">
      <c r="B2324" s="332" t="s">
        <v>629</v>
      </c>
      <c r="C2324" s="333"/>
      <c r="D2324" s="332"/>
      <c r="E2324" s="333"/>
      <c r="F2324" s="334"/>
      <c r="G2324" s="332"/>
      <c r="H2324" s="334"/>
      <c r="I2324" s="334"/>
    </row>
    <row r="2325" spans="2:9" x14ac:dyDescent="0.3">
      <c r="B2325" s="332" t="s">
        <v>271</v>
      </c>
      <c r="C2325" s="333"/>
      <c r="D2325" s="332"/>
      <c r="E2325" s="333" t="s">
        <v>624</v>
      </c>
      <c r="F2325" s="334" t="s">
        <v>630</v>
      </c>
      <c r="G2325" s="332" t="s">
        <v>631</v>
      </c>
      <c r="H2325" s="334" t="s">
        <v>627</v>
      </c>
      <c r="I2325" s="334"/>
    </row>
    <row r="2326" spans="2:9" x14ac:dyDescent="0.3">
      <c r="B2326" s="332"/>
      <c r="C2326" s="333"/>
      <c r="D2326" s="332"/>
      <c r="E2326" s="333"/>
      <c r="F2326" s="334"/>
      <c r="G2326" s="332"/>
      <c r="H2326" s="334"/>
      <c r="I2326" s="334"/>
    </row>
    <row r="2327" spans="2:9" x14ac:dyDescent="0.3">
      <c r="B2327" s="332"/>
      <c r="C2327" s="333"/>
      <c r="D2327" s="332"/>
      <c r="E2327" s="333"/>
      <c r="F2327" s="334"/>
      <c r="G2327" s="332"/>
      <c r="H2327" s="334"/>
      <c r="I2327" s="334"/>
    </row>
    <row r="2328" spans="2:9" x14ac:dyDescent="0.3">
      <c r="B2328" s="332"/>
      <c r="C2328" s="333"/>
      <c r="D2328" s="332"/>
      <c r="E2328" s="333"/>
      <c r="F2328" s="334"/>
      <c r="G2328" s="332"/>
      <c r="H2328" s="334"/>
      <c r="I2328" s="334"/>
    </row>
    <row r="2329" spans="2:9" x14ac:dyDescent="0.3">
      <c r="B2329" s="332"/>
      <c r="C2329" s="333"/>
      <c r="D2329" s="332"/>
      <c r="E2329" s="333"/>
      <c r="F2329" s="334"/>
      <c r="G2329" s="332"/>
      <c r="H2329" s="334"/>
      <c r="I2329" s="334"/>
    </row>
    <row r="2330" spans="2:9" x14ac:dyDescent="0.3">
      <c r="B2330" s="332"/>
      <c r="C2330" s="333"/>
      <c r="D2330" s="332"/>
      <c r="E2330" s="333"/>
      <c r="F2330" s="334"/>
      <c r="G2330" s="332"/>
      <c r="H2330" s="334" t="s">
        <v>628</v>
      </c>
      <c r="I2330" s="334">
        <f>SUM(H2326:H2329)</f>
        <v>0</v>
      </c>
    </row>
    <row r="2331" spans="2:9" x14ac:dyDescent="0.3">
      <c r="B2331" s="332" t="s">
        <v>632</v>
      </c>
      <c r="C2331" s="333"/>
      <c r="D2331" s="332"/>
      <c r="E2331" s="333" t="s">
        <v>624</v>
      </c>
      <c r="F2331" s="334" t="s">
        <v>633</v>
      </c>
      <c r="G2331" s="332" t="s">
        <v>634</v>
      </c>
      <c r="H2331" s="334" t="s">
        <v>627</v>
      </c>
      <c r="I2331" s="334"/>
    </row>
    <row r="2332" spans="2:9" x14ac:dyDescent="0.3">
      <c r="B2332" s="332"/>
      <c r="C2332" s="333"/>
      <c r="D2332" s="332"/>
      <c r="E2332" s="332"/>
      <c r="F2332" s="332"/>
      <c r="G2332" s="332"/>
      <c r="H2332" s="332"/>
      <c r="I2332" s="332"/>
    </row>
    <row r="2333" spans="2:9" x14ac:dyDescent="0.3">
      <c r="B2333" s="332"/>
      <c r="C2333" s="333"/>
      <c r="D2333" s="332"/>
      <c r="E2333" s="333"/>
      <c r="F2333" s="336"/>
      <c r="G2333" s="334"/>
      <c r="H2333" s="334"/>
      <c r="I2333" s="334"/>
    </row>
    <row r="2334" spans="2:9" x14ac:dyDescent="0.3">
      <c r="B2334" s="332"/>
      <c r="C2334" s="333"/>
      <c r="D2334" s="332"/>
      <c r="E2334" s="333"/>
      <c r="F2334" s="334"/>
      <c r="G2334" s="332"/>
      <c r="H2334" s="334" t="s">
        <v>628</v>
      </c>
      <c r="I2334" s="334">
        <f>SUM(H2333)</f>
        <v>0</v>
      </c>
    </row>
    <row r="2335" spans="2:9" x14ac:dyDescent="0.3">
      <c r="B2335" s="332" t="s">
        <v>635</v>
      </c>
      <c r="C2335" s="333"/>
      <c r="D2335" s="332"/>
      <c r="E2335" s="333"/>
      <c r="F2335" s="334"/>
      <c r="G2335" s="332"/>
      <c r="H2335" s="334"/>
      <c r="I2335" s="334"/>
    </row>
    <row r="2336" spans="2:9" x14ac:dyDescent="0.3">
      <c r="B2336" s="332" t="s">
        <v>636</v>
      </c>
      <c r="C2336" s="333"/>
      <c r="D2336" s="332"/>
      <c r="E2336" s="333" t="s">
        <v>637</v>
      </c>
      <c r="F2336" s="334" t="s">
        <v>638</v>
      </c>
      <c r="G2336" s="332" t="s">
        <v>639</v>
      </c>
      <c r="H2336" s="334" t="s">
        <v>627</v>
      </c>
      <c r="I2336" s="334"/>
    </row>
    <row r="2337" spans="2:9" x14ac:dyDescent="0.3">
      <c r="B2337" s="332" t="s">
        <v>645</v>
      </c>
      <c r="C2337" s="333"/>
      <c r="D2337" s="332"/>
      <c r="E2337" s="337">
        <v>168000</v>
      </c>
      <c r="F2337" s="334">
        <v>1.8</v>
      </c>
      <c r="G2337" s="338">
        <v>101.88680622432933</v>
      </c>
      <c r="H2337" s="334">
        <f>E2337*F2337/G2337</f>
        <v>2967.9995988311834</v>
      </c>
      <c r="I2337" s="334"/>
    </row>
    <row r="2338" spans="2:9" x14ac:dyDescent="0.3">
      <c r="B2338" s="332"/>
      <c r="C2338" s="333"/>
      <c r="D2338" s="332"/>
      <c r="E2338" s="333"/>
      <c r="F2338" s="334"/>
      <c r="G2338" s="332"/>
      <c r="H2338" s="334" t="s">
        <v>628</v>
      </c>
      <c r="I2338" s="334">
        <f>H2337</f>
        <v>2967.9995988311834</v>
      </c>
    </row>
    <row r="2339" spans="2:9" x14ac:dyDescent="0.3">
      <c r="B2339" s="332"/>
      <c r="C2339" s="333"/>
      <c r="D2339" s="332"/>
      <c r="E2339" s="333"/>
      <c r="F2339" s="334"/>
      <c r="G2339" s="332"/>
      <c r="H2339" s="330" t="s">
        <v>640</v>
      </c>
      <c r="I2339" s="330">
        <f>I2338+I2330+I2323+I2334</f>
        <v>7467.9995988311839</v>
      </c>
    </row>
    <row r="2341" spans="2:9" x14ac:dyDescent="0.3">
      <c r="B2341" s="339" t="s">
        <v>748</v>
      </c>
      <c r="C2341" s="339" t="s">
        <v>621</v>
      </c>
      <c r="D2341" s="341" t="s">
        <v>519</v>
      </c>
      <c r="E2341" s="339"/>
      <c r="F2341" s="340"/>
      <c r="G2341" s="340" t="s">
        <v>622</v>
      </c>
      <c r="H2341" s="340" t="s">
        <v>254</v>
      </c>
      <c r="I2341" s="340">
        <f>+ROUND(I2363,0)</f>
        <v>14301</v>
      </c>
    </row>
    <row r="2342" spans="2:9" x14ac:dyDescent="0.3">
      <c r="B2342" s="332" t="s">
        <v>623</v>
      </c>
      <c r="C2342" s="333"/>
      <c r="D2342" s="332"/>
      <c r="E2342" s="333"/>
      <c r="F2342" s="334"/>
      <c r="G2342" s="332"/>
      <c r="H2342" s="334"/>
      <c r="I2342" s="334"/>
    </row>
    <row r="2343" spans="2:9" x14ac:dyDescent="0.3">
      <c r="B2343" s="332" t="s">
        <v>271</v>
      </c>
      <c r="C2343" s="333"/>
      <c r="D2343" s="332"/>
      <c r="E2343" s="333" t="s">
        <v>624</v>
      </c>
      <c r="F2343" s="334" t="s">
        <v>625</v>
      </c>
      <c r="G2343" s="332" t="s">
        <v>626</v>
      </c>
      <c r="H2343" s="334" t="s">
        <v>627</v>
      </c>
      <c r="I2343" s="334"/>
    </row>
    <row r="2344" spans="2:9" x14ac:dyDescent="0.3">
      <c r="B2344" s="332" t="s">
        <v>642</v>
      </c>
      <c r="C2344" s="333"/>
      <c r="D2344" s="332"/>
      <c r="E2344" s="333" t="s">
        <v>644</v>
      </c>
      <c r="F2344" s="334">
        <v>1500</v>
      </c>
      <c r="G2344" s="335">
        <v>8</v>
      </c>
      <c r="H2344" s="334">
        <f>F2344*G2344</f>
        <v>12000</v>
      </c>
      <c r="I2344" s="334"/>
    </row>
    <row r="2345" spans="2:9" x14ac:dyDescent="0.3">
      <c r="B2345" s="332"/>
      <c r="C2345" s="333"/>
      <c r="D2345" s="332"/>
      <c r="E2345" s="333"/>
      <c r="F2345" s="334"/>
      <c r="G2345" s="335"/>
      <c r="H2345" s="334"/>
      <c r="I2345" s="334"/>
    </row>
    <row r="2346" spans="2:9" x14ac:dyDescent="0.3">
      <c r="B2346" s="332"/>
      <c r="C2346" s="333"/>
      <c r="D2346" s="332"/>
      <c r="E2346" s="333"/>
      <c r="F2346" s="334"/>
      <c r="G2346" s="335"/>
      <c r="H2346" s="334"/>
      <c r="I2346" s="334"/>
    </row>
    <row r="2347" spans="2:9" x14ac:dyDescent="0.3">
      <c r="B2347" s="332"/>
      <c r="C2347" s="333"/>
      <c r="D2347" s="332"/>
      <c r="E2347" s="333"/>
      <c r="F2347" s="334"/>
      <c r="G2347" s="332"/>
      <c r="H2347" s="334" t="s">
        <v>628</v>
      </c>
      <c r="I2347" s="334">
        <f>SUM(H2344:H2346)</f>
        <v>12000</v>
      </c>
    </row>
    <row r="2348" spans="2:9" x14ac:dyDescent="0.3">
      <c r="B2348" s="332" t="s">
        <v>629</v>
      </c>
      <c r="C2348" s="333"/>
      <c r="D2348" s="332"/>
      <c r="E2348" s="333"/>
      <c r="F2348" s="334"/>
      <c r="G2348" s="332"/>
      <c r="H2348" s="334"/>
      <c r="I2348" s="334"/>
    </row>
    <row r="2349" spans="2:9" x14ac:dyDescent="0.3">
      <c r="B2349" s="332" t="s">
        <v>271</v>
      </c>
      <c r="C2349" s="333"/>
      <c r="D2349" s="332"/>
      <c r="E2349" s="333" t="s">
        <v>624</v>
      </c>
      <c r="F2349" s="334" t="s">
        <v>630</v>
      </c>
      <c r="G2349" s="332" t="s">
        <v>631</v>
      </c>
      <c r="H2349" s="334" t="s">
        <v>627</v>
      </c>
      <c r="I2349" s="334"/>
    </row>
    <row r="2350" spans="2:9" x14ac:dyDescent="0.3">
      <c r="B2350" s="332"/>
      <c r="C2350" s="333"/>
      <c r="D2350" s="332"/>
      <c r="E2350" s="333"/>
      <c r="F2350" s="334"/>
      <c r="G2350" s="332"/>
      <c r="H2350" s="334"/>
      <c r="I2350" s="334"/>
    </row>
    <row r="2351" spans="2:9" x14ac:dyDescent="0.3">
      <c r="B2351" s="332"/>
      <c r="C2351" s="333"/>
      <c r="D2351" s="332"/>
      <c r="E2351" s="333"/>
      <c r="F2351" s="334"/>
      <c r="G2351" s="332"/>
      <c r="H2351" s="334"/>
      <c r="I2351" s="334"/>
    </row>
    <row r="2352" spans="2:9" x14ac:dyDescent="0.3">
      <c r="B2352" s="332"/>
      <c r="C2352" s="333"/>
      <c r="D2352" s="332"/>
      <c r="E2352" s="333"/>
      <c r="F2352" s="334"/>
      <c r="G2352" s="332"/>
      <c r="H2352" s="334"/>
      <c r="I2352" s="334"/>
    </row>
    <row r="2353" spans="2:9" x14ac:dyDescent="0.3">
      <c r="B2353" s="332"/>
      <c r="C2353" s="333"/>
      <c r="D2353" s="332"/>
      <c r="E2353" s="333"/>
      <c r="F2353" s="334"/>
      <c r="G2353" s="332"/>
      <c r="H2353" s="334"/>
      <c r="I2353" s="334"/>
    </row>
    <row r="2354" spans="2:9" x14ac:dyDescent="0.3">
      <c r="B2354" s="332"/>
      <c r="C2354" s="333"/>
      <c r="D2354" s="332"/>
      <c r="E2354" s="333"/>
      <c r="F2354" s="334"/>
      <c r="G2354" s="332"/>
      <c r="H2354" s="334" t="s">
        <v>628</v>
      </c>
      <c r="I2354" s="334">
        <f>SUM(H2350:H2353)</f>
        <v>0</v>
      </c>
    </row>
    <row r="2355" spans="2:9" x14ac:dyDescent="0.3">
      <c r="B2355" s="332" t="s">
        <v>632</v>
      </c>
      <c r="C2355" s="333"/>
      <c r="D2355" s="332"/>
      <c r="E2355" s="333" t="s">
        <v>624</v>
      </c>
      <c r="F2355" s="334" t="s">
        <v>633</v>
      </c>
      <c r="G2355" s="332" t="s">
        <v>634</v>
      </c>
      <c r="H2355" s="334" t="s">
        <v>627</v>
      </c>
      <c r="I2355" s="334"/>
    </row>
    <row r="2356" spans="2:9" x14ac:dyDescent="0.3">
      <c r="B2356" s="332"/>
      <c r="C2356" s="333"/>
      <c r="D2356" s="332"/>
      <c r="E2356" s="332"/>
      <c r="F2356" s="332"/>
      <c r="G2356" s="332"/>
      <c r="H2356" s="332"/>
      <c r="I2356" s="332"/>
    </row>
    <row r="2357" spans="2:9" x14ac:dyDescent="0.3">
      <c r="B2357" s="332"/>
      <c r="C2357" s="333"/>
      <c r="D2357" s="332"/>
      <c r="E2357" s="333"/>
      <c r="F2357" s="336"/>
      <c r="G2357" s="334"/>
      <c r="H2357" s="334"/>
      <c r="I2357" s="334"/>
    </row>
    <row r="2358" spans="2:9" x14ac:dyDescent="0.3">
      <c r="B2358" s="332"/>
      <c r="C2358" s="333"/>
      <c r="D2358" s="332"/>
      <c r="E2358" s="333"/>
      <c r="F2358" s="334"/>
      <c r="G2358" s="332"/>
      <c r="H2358" s="334" t="s">
        <v>628</v>
      </c>
      <c r="I2358" s="334">
        <f>SUM(H2357)</f>
        <v>0</v>
      </c>
    </row>
    <row r="2359" spans="2:9" x14ac:dyDescent="0.3">
      <c r="B2359" s="332" t="s">
        <v>635</v>
      </c>
      <c r="C2359" s="333"/>
      <c r="D2359" s="332"/>
      <c r="E2359" s="333"/>
      <c r="F2359" s="334"/>
      <c r="G2359" s="332"/>
      <c r="H2359" s="334"/>
      <c r="I2359" s="334"/>
    </row>
    <row r="2360" spans="2:9" x14ac:dyDescent="0.3">
      <c r="B2360" s="332" t="s">
        <v>636</v>
      </c>
      <c r="C2360" s="333"/>
      <c r="D2360" s="332"/>
      <c r="E2360" s="333" t="s">
        <v>637</v>
      </c>
      <c r="F2360" s="334" t="s">
        <v>638</v>
      </c>
      <c r="G2360" s="332" t="s">
        <v>639</v>
      </c>
      <c r="H2360" s="334" t="s">
        <v>627</v>
      </c>
      <c r="I2360" s="334"/>
    </row>
    <row r="2361" spans="2:9" x14ac:dyDescent="0.3">
      <c r="B2361" s="332" t="s">
        <v>645</v>
      </c>
      <c r="C2361" s="333"/>
      <c r="D2361" s="332"/>
      <c r="E2361" s="337">
        <v>168000</v>
      </c>
      <c r="F2361" s="334">
        <v>1.8</v>
      </c>
      <c r="G2361" s="338">
        <v>131.42112051016397</v>
      </c>
      <c r="H2361" s="334">
        <f>E2361*F2361/G2361</f>
        <v>2301.0000129820282</v>
      </c>
      <c r="I2361" s="334"/>
    </row>
    <row r="2362" spans="2:9" x14ac:dyDescent="0.3">
      <c r="B2362" s="332"/>
      <c r="C2362" s="333"/>
      <c r="D2362" s="332"/>
      <c r="E2362" s="333"/>
      <c r="F2362" s="334"/>
      <c r="G2362" s="332"/>
      <c r="H2362" s="334" t="s">
        <v>628</v>
      </c>
      <c r="I2362" s="334">
        <f>H2361</f>
        <v>2301.0000129820282</v>
      </c>
    </row>
    <row r="2363" spans="2:9" x14ac:dyDescent="0.3">
      <c r="B2363" s="332"/>
      <c r="C2363" s="333"/>
      <c r="D2363" s="332"/>
      <c r="E2363" s="333"/>
      <c r="F2363" s="334"/>
      <c r="G2363" s="332"/>
      <c r="H2363" s="330" t="s">
        <v>640</v>
      </c>
      <c r="I2363" s="330">
        <f>I2362+I2354+I2347+I2358</f>
        <v>14301.000012982029</v>
      </c>
    </row>
    <row r="2365" spans="2:9" ht="100.8" x14ac:dyDescent="0.3">
      <c r="B2365" s="339" t="s">
        <v>648</v>
      </c>
      <c r="C2365" s="339" t="s">
        <v>621</v>
      </c>
      <c r="D2365" s="341" t="s">
        <v>574</v>
      </c>
      <c r="E2365" s="339"/>
      <c r="F2365" s="340"/>
      <c r="G2365" s="340" t="s">
        <v>622</v>
      </c>
      <c r="H2365" s="340" t="s">
        <v>93</v>
      </c>
      <c r="I2365" s="340">
        <f>+ROUND(I2387,0)</f>
        <v>25000</v>
      </c>
    </row>
    <row r="2366" spans="2:9" x14ac:dyDescent="0.3">
      <c r="B2366" s="332" t="s">
        <v>623</v>
      </c>
      <c r="C2366" s="333"/>
      <c r="D2366" s="332"/>
      <c r="E2366" s="333"/>
      <c r="F2366" s="334"/>
      <c r="G2366" s="332"/>
      <c r="H2366" s="334"/>
      <c r="I2366" s="334"/>
    </row>
    <row r="2367" spans="2:9" x14ac:dyDescent="0.3">
      <c r="B2367" s="332" t="s">
        <v>271</v>
      </c>
      <c r="C2367" s="333"/>
      <c r="D2367" s="332"/>
      <c r="E2367" s="333" t="s">
        <v>624</v>
      </c>
      <c r="F2367" s="334" t="s">
        <v>625</v>
      </c>
      <c r="G2367" s="332" t="s">
        <v>626</v>
      </c>
      <c r="H2367" s="334" t="s">
        <v>627</v>
      </c>
      <c r="I2367" s="334"/>
    </row>
    <row r="2368" spans="2:9" x14ac:dyDescent="0.3">
      <c r="B2368" s="332" t="s">
        <v>642</v>
      </c>
      <c r="C2368" s="333"/>
      <c r="D2368" s="332"/>
      <c r="E2368" s="333" t="s">
        <v>644</v>
      </c>
      <c r="F2368" s="334">
        <v>1500</v>
      </c>
      <c r="G2368" s="335">
        <v>8</v>
      </c>
      <c r="H2368" s="334">
        <f>F2368*G2368</f>
        <v>12000</v>
      </c>
      <c r="I2368" s="334"/>
    </row>
    <row r="2369" spans="2:9" x14ac:dyDescent="0.3">
      <c r="B2369" s="332"/>
      <c r="C2369" s="333"/>
      <c r="D2369" s="332"/>
      <c r="E2369" s="333"/>
      <c r="F2369" s="334"/>
      <c r="G2369" s="335"/>
      <c r="H2369" s="334"/>
      <c r="I2369" s="334"/>
    </row>
    <row r="2370" spans="2:9" x14ac:dyDescent="0.3">
      <c r="B2370" s="332"/>
      <c r="C2370" s="333"/>
      <c r="D2370" s="332"/>
      <c r="E2370" s="333"/>
      <c r="F2370" s="334"/>
      <c r="G2370" s="335"/>
      <c r="H2370" s="334"/>
      <c r="I2370" s="334"/>
    </row>
    <row r="2371" spans="2:9" x14ac:dyDescent="0.3">
      <c r="B2371" s="332"/>
      <c r="C2371" s="333"/>
      <c r="D2371" s="332"/>
      <c r="E2371" s="333"/>
      <c r="F2371" s="334"/>
      <c r="G2371" s="332"/>
      <c r="H2371" s="334" t="s">
        <v>628</v>
      </c>
      <c r="I2371" s="334">
        <f>SUM(H2368:H2370)</f>
        <v>12000</v>
      </c>
    </row>
    <row r="2372" spans="2:9" x14ac:dyDescent="0.3">
      <c r="B2372" s="332" t="s">
        <v>629</v>
      </c>
      <c r="C2372" s="333"/>
      <c r="D2372" s="332"/>
      <c r="E2372" s="333"/>
      <c r="F2372" s="334"/>
      <c r="G2372" s="332"/>
      <c r="H2372" s="334"/>
      <c r="I2372" s="334"/>
    </row>
    <row r="2373" spans="2:9" x14ac:dyDescent="0.3">
      <c r="B2373" s="332" t="s">
        <v>271</v>
      </c>
      <c r="C2373" s="333"/>
      <c r="D2373" s="332"/>
      <c r="E2373" s="333" t="s">
        <v>624</v>
      </c>
      <c r="F2373" s="334" t="s">
        <v>630</v>
      </c>
      <c r="G2373" s="332" t="s">
        <v>631</v>
      </c>
      <c r="H2373" s="334" t="s">
        <v>627</v>
      </c>
      <c r="I2373" s="334"/>
    </row>
    <row r="2374" spans="2:9" x14ac:dyDescent="0.3">
      <c r="B2374" s="332" t="s">
        <v>654</v>
      </c>
      <c r="C2374" s="333"/>
      <c r="D2374" s="332"/>
      <c r="E2374" s="333" t="s">
        <v>159</v>
      </c>
      <c r="F2374" s="334">
        <v>250</v>
      </c>
      <c r="G2374" s="332">
        <v>1.1000000000000001</v>
      </c>
      <c r="H2374" s="334">
        <f>F2374*G2374</f>
        <v>275</v>
      </c>
      <c r="I2374" s="334"/>
    </row>
    <row r="2375" spans="2:9" x14ac:dyDescent="0.3">
      <c r="B2375" s="332" t="s">
        <v>650</v>
      </c>
      <c r="C2375" s="333"/>
      <c r="D2375" s="332"/>
      <c r="E2375" s="333" t="s">
        <v>651</v>
      </c>
      <c r="F2375" s="334">
        <v>46800</v>
      </c>
      <c r="G2375" s="332">
        <v>8.4000000000000012E-3</v>
      </c>
      <c r="H2375" s="334">
        <f t="shared" ref="H2375:H2377" si="1">F2375*G2375</f>
        <v>393.12000000000006</v>
      </c>
      <c r="I2375" s="334"/>
    </row>
    <row r="2376" spans="2:9" x14ac:dyDescent="0.3">
      <c r="B2376" s="332" t="s">
        <v>652</v>
      </c>
      <c r="C2376" s="333"/>
      <c r="D2376" s="332"/>
      <c r="E2376" s="333" t="s">
        <v>653</v>
      </c>
      <c r="F2376" s="334">
        <v>2500</v>
      </c>
      <c r="G2376" s="332">
        <v>0.5</v>
      </c>
      <c r="H2376" s="334">
        <f t="shared" si="1"/>
        <v>1250</v>
      </c>
      <c r="I2376" s="334"/>
    </row>
    <row r="2377" spans="2:9" x14ac:dyDescent="0.3">
      <c r="B2377" s="354" t="s">
        <v>750</v>
      </c>
      <c r="C2377" s="333"/>
      <c r="D2377" s="332"/>
      <c r="E2377" s="355" t="s">
        <v>93</v>
      </c>
      <c r="F2377" s="334">
        <v>109000</v>
      </c>
      <c r="G2377" s="332">
        <v>7.0000000000000007E-2</v>
      </c>
      <c r="H2377" s="334">
        <f t="shared" si="1"/>
        <v>7630.0000000000009</v>
      </c>
      <c r="I2377" s="334"/>
    </row>
    <row r="2378" spans="2:9" x14ac:dyDescent="0.3">
      <c r="B2378" s="332"/>
      <c r="C2378" s="333"/>
      <c r="D2378" s="332"/>
      <c r="E2378" s="333"/>
      <c r="F2378" s="334"/>
      <c r="G2378" s="332"/>
      <c r="H2378" s="334" t="s">
        <v>628</v>
      </c>
      <c r="I2378" s="334">
        <f>SUM(H2374:H2377)</f>
        <v>9548.1200000000008</v>
      </c>
    </row>
    <row r="2379" spans="2:9" x14ac:dyDescent="0.3">
      <c r="B2379" s="332" t="s">
        <v>632</v>
      </c>
      <c r="C2379" s="333"/>
      <c r="D2379" s="332"/>
      <c r="E2379" s="333" t="s">
        <v>624</v>
      </c>
      <c r="F2379" s="334" t="s">
        <v>633</v>
      </c>
      <c r="G2379" s="332" t="s">
        <v>634</v>
      </c>
      <c r="H2379" s="334" t="s">
        <v>627</v>
      </c>
      <c r="I2379" s="334"/>
    </row>
    <row r="2380" spans="2:9" x14ac:dyDescent="0.3">
      <c r="B2380" s="332"/>
      <c r="C2380" s="333"/>
      <c r="D2380" s="332"/>
      <c r="E2380" s="332"/>
      <c r="F2380" s="332"/>
      <c r="G2380" s="332"/>
      <c r="H2380" s="332"/>
      <c r="I2380" s="332"/>
    </row>
    <row r="2381" spans="2:9" x14ac:dyDescent="0.3">
      <c r="B2381" s="332"/>
      <c r="C2381" s="333"/>
      <c r="D2381" s="332"/>
      <c r="E2381" s="333"/>
      <c r="F2381" s="336"/>
      <c r="G2381" s="334"/>
      <c r="H2381" s="334"/>
      <c r="I2381" s="334"/>
    </row>
    <row r="2382" spans="2:9" x14ac:dyDescent="0.3">
      <c r="B2382" s="332"/>
      <c r="C2382" s="333"/>
      <c r="D2382" s="332"/>
      <c r="E2382" s="333"/>
      <c r="F2382" s="334"/>
      <c r="G2382" s="332"/>
      <c r="H2382" s="334" t="s">
        <v>628</v>
      </c>
      <c r="I2382" s="334">
        <f>SUM(H2381)</f>
        <v>0</v>
      </c>
    </row>
    <row r="2383" spans="2:9" x14ac:dyDescent="0.3">
      <c r="B2383" s="332" t="s">
        <v>635</v>
      </c>
      <c r="C2383" s="333"/>
      <c r="D2383" s="332"/>
      <c r="E2383" s="333"/>
      <c r="F2383" s="334"/>
      <c r="G2383" s="332"/>
      <c r="H2383" s="334"/>
      <c r="I2383" s="334"/>
    </row>
    <row r="2384" spans="2:9" x14ac:dyDescent="0.3">
      <c r="B2384" s="332" t="s">
        <v>636</v>
      </c>
      <c r="C2384" s="333"/>
      <c r="D2384" s="332"/>
      <c r="E2384" s="333" t="s">
        <v>637</v>
      </c>
      <c r="F2384" s="334" t="s">
        <v>638</v>
      </c>
      <c r="G2384" s="332" t="s">
        <v>639</v>
      </c>
      <c r="H2384" s="334" t="s">
        <v>627</v>
      </c>
      <c r="I2384" s="334"/>
    </row>
    <row r="2385" spans="2:9" x14ac:dyDescent="0.3">
      <c r="B2385" s="332" t="s">
        <v>645</v>
      </c>
      <c r="C2385" s="333"/>
      <c r="D2385" s="332"/>
      <c r="E2385" s="337">
        <v>168000</v>
      </c>
      <c r="F2385" s="334">
        <v>1.8</v>
      </c>
      <c r="G2385" s="338">
        <v>87.604435840702877</v>
      </c>
      <c r="H2385" s="334">
        <f>E2385*F2385/G2385</f>
        <v>3451.8800001163704</v>
      </c>
      <c r="I2385" s="334"/>
    </row>
    <row r="2386" spans="2:9" x14ac:dyDescent="0.3">
      <c r="B2386" s="332"/>
      <c r="C2386" s="333"/>
      <c r="D2386" s="332"/>
      <c r="E2386" s="333"/>
      <c r="F2386" s="334"/>
      <c r="G2386" s="332"/>
      <c r="H2386" s="334" t="s">
        <v>628</v>
      </c>
      <c r="I2386" s="334">
        <f>H2385</f>
        <v>3451.8800001163704</v>
      </c>
    </row>
    <row r="2387" spans="2:9" x14ac:dyDescent="0.3">
      <c r="B2387" s="332"/>
      <c r="C2387" s="333"/>
      <c r="D2387" s="332"/>
      <c r="E2387" s="333"/>
      <c r="F2387" s="334"/>
      <c r="G2387" s="332"/>
      <c r="H2387" s="330" t="s">
        <v>640</v>
      </c>
      <c r="I2387" s="330">
        <f>I2386+I2378+I2371+I2382</f>
        <v>25000.000000116372</v>
      </c>
    </row>
    <row r="2389" spans="2:9" ht="100.8" x14ac:dyDescent="0.3">
      <c r="B2389" s="339" t="s">
        <v>664</v>
      </c>
      <c r="C2389" s="339" t="s">
        <v>621</v>
      </c>
      <c r="D2389" s="341" t="s">
        <v>596</v>
      </c>
      <c r="E2389" s="339"/>
      <c r="F2389" s="340"/>
      <c r="G2389" s="340" t="s">
        <v>622</v>
      </c>
      <c r="H2389" s="340" t="s">
        <v>60</v>
      </c>
      <c r="I2389" s="340">
        <f>+ROUND(I2411,0)</f>
        <v>180503</v>
      </c>
    </row>
    <row r="2390" spans="2:9" x14ac:dyDescent="0.3">
      <c r="B2390" s="332" t="s">
        <v>623</v>
      </c>
      <c r="C2390" s="333"/>
      <c r="D2390" s="332"/>
      <c r="E2390" s="333"/>
      <c r="F2390" s="334"/>
      <c r="G2390" s="332"/>
      <c r="H2390" s="334"/>
      <c r="I2390" s="334"/>
    </row>
    <row r="2391" spans="2:9" x14ac:dyDescent="0.3">
      <c r="B2391" s="332" t="s">
        <v>271</v>
      </c>
      <c r="C2391" s="333"/>
      <c r="D2391" s="332"/>
      <c r="E2391" s="333" t="s">
        <v>624</v>
      </c>
      <c r="F2391" s="334" t="s">
        <v>625</v>
      </c>
      <c r="G2391" s="332" t="s">
        <v>626</v>
      </c>
      <c r="H2391" s="334" t="s">
        <v>627</v>
      </c>
      <c r="I2391" s="334"/>
    </row>
    <row r="2392" spans="2:9" x14ac:dyDescent="0.3">
      <c r="B2392" s="332" t="s">
        <v>642</v>
      </c>
      <c r="C2392" s="333"/>
      <c r="D2392" s="332"/>
      <c r="E2392" s="333" t="s">
        <v>644</v>
      </c>
      <c r="F2392" s="334">
        <v>1500</v>
      </c>
      <c r="G2392" s="335">
        <v>4</v>
      </c>
      <c r="H2392" s="334">
        <f>F2392*G2392</f>
        <v>6000</v>
      </c>
      <c r="I2392" s="334"/>
    </row>
    <row r="2393" spans="2:9" x14ac:dyDescent="0.3">
      <c r="B2393" s="332"/>
      <c r="C2393" s="333"/>
      <c r="D2393" s="332"/>
      <c r="E2393" s="333"/>
      <c r="F2393" s="334"/>
      <c r="G2393" s="335"/>
      <c r="H2393" s="334"/>
      <c r="I2393" s="334"/>
    </row>
    <row r="2394" spans="2:9" x14ac:dyDescent="0.3">
      <c r="B2394" s="332"/>
      <c r="C2394" s="333"/>
      <c r="D2394" s="332"/>
      <c r="E2394" s="333"/>
      <c r="F2394" s="334"/>
      <c r="G2394" s="335"/>
      <c r="H2394" s="334"/>
      <c r="I2394" s="334"/>
    </row>
    <row r="2395" spans="2:9" x14ac:dyDescent="0.3">
      <c r="B2395" s="332"/>
      <c r="C2395" s="333"/>
      <c r="D2395" s="332"/>
      <c r="E2395" s="333"/>
      <c r="F2395" s="334"/>
      <c r="G2395" s="332"/>
      <c r="H2395" s="334" t="s">
        <v>628</v>
      </c>
      <c r="I2395" s="334">
        <f>SUM(H2392:H2394)</f>
        <v>6000</v>
      </c>
    </row>
    <row r="2396" spans="2:9" x14ac:dyDescent="0.3">
      <c r="B2396" s="332" t="s">
        <v>629</v>
      </c>
      <c r="C2396" s="333"/>
      <c r="D2396" s="332"/>
      <c r="E2396" s="333"/>
      <c r="F2396" s="334"/>
      <c r="G2396" s="332"/>
      <c r="H2396" s="334"/>
      <c r="I2396" s="334"/>
    </row>
    <row r="2397" spans="2:9" x14ac:dyDescent="0.3">
      <c r="B2397" s="332" t="s">
        <v>271</v>
      </c>
      <c r="C2397" s="333"/>
      <c r="D2397" s="332"/>
      <c r="E2397" s="333" t="s">
        <v>624</v>
      </c>
      <c r="F2397" s="334" t="s">
        <v>630</v>
      </c>
      <c r="G2397" s="332" t="s">
        <v>631</v>
      </c>
      <c r="H2397" s="334" t="s">
        <v>627</v>
      </c>
      <c r="I2397" s="334"/>
    </row>
    <row r="2398" spans="2:9" x14ac:dyDescent="0.3">
      <c r="B2398" s="332" t="s">
        <v>665</v>
      </c>
      <c r="C2398" s="333"/>
      <c r="D2398" s="332"/>
      <c r="E2398" s="333" t="s">
        <v>656</v>
      </c>
      <c r="F2398" s="334">
        <v>25000</v>
      </c>
      <c r="G2398" s="335">
        <v>0.67038250160133539</v>
      </c>
      <c r="H2398" s="334">
        <f>F2398*G2398</f>
        <v>16759.562540033385</v>
      </c>
      <c r="I2398" s="334"/>
    </row>
    <row r="2399" spans="2:9" x14ac:dyDescent="0.3">
      <c r="B2399" s="332" t="s">
        <v>666</v>
      </c>
      <c r="C2399" s="333"/>
      <c r="D2399" s="332"/>
      <c r="E2399" s="333" t="s">
        <v>60</v>
      </c>
      <c r="F2399" s="334">
        <v>51000</v>
      </c>
      <c r="G2399" s="332">
        <v>1.1000000000000001</v>
      </c>
      <c r="H2399" s="334">
        <f>F2399*G2399</f>
        <v>56100.000000000007</v>
      </c>
      <c r="I2399" s="334"/>
    </row>
    <row r="2400" spans="2:9" x14ac:dyDescent="0.3">
      <c r="B2400" s="332"/>
      <c r="C2400" s="333"/>
      <c r="D2400" s="332"/>
      <c r="E2400" s="333"/>
      <c r="F2400" s="334"/>
      <c r="G2400" s="332"/>
      <c r="H2400" s="334"/>
      <c r="I2400" s="334"/>
    </row>
    <row r="2401" spans="2:9" x14ac:dyDescent="0.3">
      <c r="B2401" s="332"/>
      <c r="C2401" s="333"/>
      <c r="D2401" s="332"/>
      <c r="E2401" s="333"/>
      <c r="F2401" s="334"/>
      <c r="G2401" s="332"/>
      <c r="H2401" s="334"/>
      <c r="I2401" s="334"/>
    </row>
    <row r="2402" spans="2:9" x14ac:dyDescent="0.3">
      <c r="B2402" s="332"/>
      <c r="C2402" s="333"/>
      <c r="D2402" s="332"/>
      <c r="E2402" s="333"/>
      <c r="F2402" s="334"/>
      <c r="G2402" s="332"/>
      <c r="H2402" s="334" t="s">
        <v>628</v>
      </c>
      <c r="I2402" s="334">
        <f>SUM(H2398:H2401)</f>
        <v>72859.562540033396</v>
      </c>
    </row>
    <row r="2403" spans="2:9" x14ac:dyDescent="0.3">
      <c r="B2403" s="332" t="s">
        <v>632</v>
      </c>
      <c r="C2403" s="333"/>
      <c r="D2403" s="332"/>
      <c r="E2403" s="333" t="s">
        <v>624</v>
      </c>
      <c r="F2403" s="334" t="s">
        <v>633</v>
      </c>
      <c r="G2403" s="332" t="s">
        <v>634</v>
      </c>
      <c r="H2403" s="334" t="s">
        <v>627</v>
      </c>
      <c r="I2403" s="334"/>
    </row>
    <row r="2404" spans="2:9" x14ac:dyDescent="0.3">
      <c r="B2404" s="332"/>
      <c r="C2404" s="333"/>
      <c r="D2404" s="332"/>
      <c r="E2404" s="332"/>
      <c r="F2404" s="332"/>
      <c r="G2404" s="332"/>
      <c r="H2404" s="332"/>
      <c r="I2404" s="332"/>
    </row>
    <row r="2405" spans="2:9" x14ac:dyDescent="0.3">
      <c r="B2405" s="332"/>
      <c r="C2405" s="333"/>
      <c r="D2405" s="332"/>
      <c r="E2405" s="333"/>
      <c r="F2405" s="336"/>
      <c r="G2405" s="334"/>
      <c r="H2405" s="334"/>
      <c r="I2405" s="334"/>
    </row>
    <row r="2406" spans="2:9" x14ac:dyDescent="0.3">
      <c r="B2406" s="332"/>
      <c r="C2406" s="333"/>
      <c r="D2406" s="332"/>
      <c r="E2406" s="333"/>
      <c r="F2406" s="334"/>
      <c r="G2406" s="332"/>
      <c r="H2406" s="334" t="s">
        <v>628</v>
      </c>
      <c r="I2406" s="334">
        <f>SUM(H2405)</f>
        <v>0</v>
      </c>
    </row>
    <row r="2407" spans="2:9" x14ac:dyDescent="0.3">
      <c r="B2407" s="332" t="s">
        <v>635</v>
      </c>
      <c r="C2407" s="333"/>
      <c r="D2407" s="332"/>
      <c r="E2407" s="333"/>
      <c r="F2407" s="334"/>
      <c r="G2407" s="332"/>
      <c r="H2407" s="334"/>
      <c r="I2407" s="334"/>
    </row>
    <row r="2408" spans="2:9" x14ac:dyDescent="0.3">
      <c r="B2408" s="332" t="s">
        <v>636</v>
      </c>
      <c r="C2408" s="333"/>
      <c r="D2408" s="332"/>
      <c r="E2408" s="333" t="s">
        <v>637</v>
      </c>
      <c r="F2408" s="334" t="s">
        <v>638</v>
      </c>
      <c r="G2408" s="332" t="s">
        <v>639</v>
      </c>
      <c r="H2408" s="334" t="s">
        <v>627</v>
      </c>
      <c r="I2408" s="334"/>
    </row>
    <row r="2409" spans="2:9" x14ac:dyDescent="0.3">
      <c r="B2409" s="332" t="s">
        <v>645</v>
      </c>
      <c r="C2409" s="333"/>
      <c r="D2409" s="332"/>
      <c r="E2409" s="337">
        <v>168000</v>
      </c>
      <c r="F2409" s="334">
        <v>1.8</v>
      </c>
      <c r="G2409" s="338">
        <v>2.9751059934979374</v>
      </c>
      <c r="H2409" s="334">
        <f>E2409*F2409/G2409</f>
        <v>101643.43746437674</v>
      </c>
      <c r="I2409" s="334"/>
    </row>
    <row r="2410" spans="2:9" x14ac:dyDescent="0.3">
      <c r="B2410" s="332"/>
      <c r="C2410" s="333"/>
      <c r="D2410" s="332"/>
      <c r="E2410" s="333"/>
      <c r="F2410" s="334"/>
      <c r="G2410" s="332"/>
      <c r="H2410" s="334" t="s">
        <v>628</v>
      </c>
      <c r="I2410" s="334">
        <f>H2409</f>
        <v>101643.43746437674</v>
      </c>
    </row>
    <row r="2411" spans="2:9" x14ac:dyDescent="0.3">
      <c r="B2411" s="332"/>
      <c r="C2411" s="333"/>
      <c r="D2411" s="332"/>
      <c r="E2411" s="333"/>
      <c r="F2411" s="334"/>
      <c r="G2411" s="332"/>
      <c r="H2411" s="330" t="s">
        <v>640</v>
      </c>
      <c r="I2411" s="330">
        <f>I2410+I2402+I2395+I2406</f>
        <v>180503.00000441013</v>
      </c>
    </row>
    <row r="2413" spans="2:9" ht="43.2" x14ac:dyDescent="0.3">
      <c r="B2413" s="339" t="s">
        <v>751</v>
      </c>
      <c r="C2413" s="339" t="s">
        <v>621</v>
      </c>
      <c r="D2413" s="341" t="s">
        <v>520</v>
      </c>
      <c r="E2413" s="339"/>
      <c r="F2413" s="340"/>
      <c r="G2413" s="340" t="s">
        <v>622</v>
      </c>
      <c r="H2413" s="340" t="s">
        <v>33</v>
      </c>
      <c r="I2413" s="340">
        <f>+ROUND(I2435,0)</f>
        <v>691616</v>
      </c>
    </row>
    <row r="2414" spans="2:9" x14ac:dyDescent="0.3">
      <c r="B2414" s="332" t="s">
        <v>623</v>
      </c>
      <c r="C2414" s="333"/>
      <c r="D2414" s="332"/>
      <c r="E2414" s="333"/>
      <c r="F2414" s="334"/>
      <c r="G2414" s="332"/>
      <c r="H2414" s="334"/>
      <c r="I2414" s="334"/>
    </row>
    <row r="2415" spans="2:9" x14ac:dyDescent="0.3">
      <c r="B2415" s="332" t="s">
        <v>271</v>
      </c>
      <c r="C2415" s="333"/>
      <c r="D2415" s="332"/>
      <c r="E2415" s="333" t="s">
        <v>624</v>
      </c>
      <c r="F2415" s="334" t="s">
        <v>625</v>
      </c>
      <c r="G2415" s="332" t="s">
        <v>626</v>
      </c>
      <c r="H2415" s="334" t="s">
        <v>627</v>
      </c>
      <c r="I2415" s="334"/>
    </row>
    <row r="2416" spans="2:9" x14ac:dyDescent="0.3">
      <c r="B2416" s="332" t="s">
        <v>642</v>
      </c>
      <c r="C2416" s="333"/>
      <c r="D2416" s="332"/>
      <c r="E2416" s="333" t="s">
        <v>644</v>
      </c>
      <c r="F2416" s="334">
        <v>1500</v>
      </c>
      <c r="G2416" s="335">
        <v>4</v>
      </c>
      <c r="H2416" s="334">
        <f>F2416*G2416</f>
        <v>6000</v>
      </c>
      <c r="I2416" s="334"/>
    </row>
    <row r="2417" spans="2:9" x14ac:dyDescent="0.3">
      <c r="B2417" s="332"/>
      <c r="C2417" s="333"/>
      <c r="D2417" s="332"/>
      <c r="E2417" s="333"/>
      <c r="F2417" s="334"/>
      <c r="G2417" s="335"/>
      <c r="H2417" s="334"/>
      <c r="I2417" s="334"/>
    </row>
    <row r="2418" spans="2:9" x14ac:dyDescent="0.3">
      <c r="B2418" s="332"/>
      <c r="C2418" s="333"/>
      <c r="D2418" s="332"/>
      <c r="E2418" s="333"/>
      <c r="F2418" s="334"/>
      <c r="G2418" s="335"/>
      <c r="H2418" s="334"/>
      <c r="I2418" s="334"/>
    </row>
    <row r="2419" spans="2:9" x14ac:dyDescent="0.3">
      <c r="B2419" s="332"/>
      <c r="C2419" s="333"/>
      <c r="D2419" s="332"/>
      <c r="E2419" s="333"/>
      <c r="F2419" s="334"/>
      <c r="G2419" s="332"/>
      <c r="H2419" s="334" t="s">
        <v>628</v>
      </c>
      <c r="I2419" s="334">
        <f>SUM(H2416:H2418)</f>
        <v>6000</v>
      </c>
    </row>
    <row r="2420" spans="2:9" x14ac:dyDescent="0.3">
      <c r="B2420" s="332" t="s">
        <v>629</v>
      </c>
      <c r="C2420" s="333"/>
      <c r="D2420" s="332"/>
      <c r="E2420" s="333"/>
      <c r="F2420" s="334"/>
      <c r="G2420" s="332"/>
      <c r="H2420" s="334"/>
      <c r="I2420" s="334"/>
    </row>
    <row r="2421" spans="2:9" x14ac:dyDescent="0.3">
      <c r="B2421" s="332" t="s">
        <v>271</v>
      </c>
      <c r="C2421" s="333"/>
      <c r="D2421" s="332"/>
      <c r="E2421" s="333" t="s">
        <v>624</v>
      </c>
      <c r="F2421" s="334" t="s">
        <v>630</v>
      </c>
      <c r="G2421" s="332" t="s">
        <v>631</v>
      </c>
      <c r="H2421" s="334" t="s">
        <v>627</v>
      </c>
      <c r="I2421" s="334"/>
    </row>
    <row r="2422" spans="2:9" ht="43.2" x14ac:dyDescent="0.3">
      <c r="B2422" s="356" t="s">
        <v>752</v>
      </c>
      <c r="C2422" s="333"/>
      <c r="D2422" s="332"/>
      <c r="E2422" s="357" t="s">
        <v>33</v>
      </c>
      <c r="F2422" s="344">
        <v>655000</v>
      </c>
      <c r="G2422" s="345">
        <v>1</v>
      </c>
      <c r="H2422" s="344">
        <f>F2422*G2422</f>
        <v>655000</v>
      </c>
      <c r="I2422" s="344"/>
    </row>
    <row r="2423" spans="2:9" x14ac:dyDescent="0.3">
      <c r="B2423" s="332"/>
      <c r="C2423" s="333"/>
      <c r="D2423" s="332"/>
      <c r="E2423" s="333"/>
      <c r="F2423" s="334"/>
      <c r="G2423" s="332"/>
      <c r="H2423" s="334">
        <f>F2423*G2423</f>
        <v>0</v>
      </c>
      <c r="I2423" s="334"/>
    </row>
    <row r="2424" spans="2:9" x14ac:dyDescent="0.3">
      <c r="B2424" s="332"/>
      <c r="C2424" s="333"/>
      <c r="D2424" s="332"/>
      <c r="E2424" s="333"/>
      <c r="F2424" s="334"/>
      <c r="G2424" s="332"/>
      <c r="H2424" s="334"/>
      <c r="I2424" s="334"/>
    </row>
    <row r="2425" spans="2:9" x14ac:dyDescent="0.3">
      <c r="B2425" s="332"/>
      <c r="C2425" s="333"/>
      <c r="D2425" s="332"/>
      <c r="E2425" s="333"/>
      <c r="F2425" s="334"/>
      <c r="G2425" s="332"/>
      <c r="H2425" s="334"/>
      <c r="I2425" s="334"/>
    </row>
    <row r="2426" spans="2:9" x14ac:dyDescent="0.3">
      <c r="B2426" s="332"/>
      <c r="C2426" s="333"/>
      <c r="D2426" s="332"/>
      <c r="E2426" s="333"/>
      <c r="F2426" s="334"/>
      <c r="G2426" s="332"/>
      <c r="H2426" s="334" t="s">
        <v>628</v>
      </c>
      <c r="I2426" s="334">
        <f>SUM(H2422:H2425)</f>
        <v>655000</v>
      </c>
    </row>
    <row r="2427" spans="2:9" x14ac:dyDescent="0.3">
      <c r="B2427" s="332" t="s">
        <v>632</v>
      </c>
      <c r="C2427" s="333"/>
      <c r="D2427" s="332"/>
      <c r="E2427" s="333" t="s">
        <v>624</v>
      </c>
      <c r="F2427" s="334" t="s">
        <v>633</v>
      </c>
      <c r="G2427" s="332" t="s">
        <v>634</v>
      </c>
      <c r="H2427" s="334" t="s">
        <v>627</v>
      </c>
      <c r="I2427" s="334"/>
    </row>
    <row r="2428" spans="2:9" x14ac:dyDescent="0.3">
      <c r="B2428" s="332"/>
      <c r="C2428" s="333"/>
      <c r="D2428" s="332"/>
      <c r="E2428" s="332"/>
      <c r="F2428" s="332"/>
      <c r="G2428" s="332"/>
      <c r="H2428" s="332"/>
      <c r="I2428" s="332"/>
    </row>
    <row r="2429" spans="2:9" x14ac:dyDescent="0.3">
      <c r="B2429" s="332"/>
      <c r="C2429" s="333"/>
      <c r="D2429" s="332"/>
      <c r="E2429" s="333"/>
      <c r="F2429" s="336"/>
      <c r="G2429" s="334"/>
      <c r="H2429" s="334"/>
      <c r="I2429" s="334"/>
    </row>
    <row r="2430" spans="2:9" x14ac:dyDescent="0.3">
      <c r="B2430" s="332"/>
      <c r="C2430" s="333"/>
      <c r="D2430" s="332"/>
      <c r="E2430" s="333"/>
      <c r="F2430" s="334"/>
      <c r="G2430" s="332"/>
      <c r="H2430" s="334" t="s">
        <v>628</v>
      </c>
      <c r="I2430" s="334">
        <f>SUM(H2429)</f>
        <v>0</v>
      </c>
    </row>
    <row r="2431" spans="2:9" x14ac:dyDescent="0.3">
      <c r="B2431" s="332" t="s">
        <v>635</v>
      </c>
      <c r="C2431" s="333"/>
      <c r="D2431" s="332"/>
      <c r="E2431" s="333"/>
      <c r="F2431" s="334"/>
      <c r="G2431" s="332"/>
      <c r="H2431" s="334"/>
      <c r="I2431" s="334"/>
    </row>
    <row r="2432" spans="2:9" x14ac:dyDescent="0.3">
      <c r="B2432" s="332" t="s">
        <v>636</v>
      </c>
      <c r="C2432" s="333"/>
      <c r="D2432" s="332"/>
      <c r="E2432" s="333" t="s">
        <v>637</v>
      </c>
      <c r="F2432" s="334" t="s">
        <v>638</v>
      </c>
      <c r="G2432" s="332" t="s">
        <v>639</v>
      </c>
      <c r="H2432" s="334" t="s">
        <v>627</v>
      </c>
      <c r="I2432" s="334"/>
    </row>
    <row r="2433" spans="2:9" x14ac:dyDescent="0.3">
      <c r="B2433" s="332" t="s">
        <v>645</v>
      </c>
      <c r="C2433" s="333"/>
      <c r="D2433" s="332"/>
      <c r="E2433" s="337">
        <v>168000</v>
      </c>
      <c r="F2433" s="334">
        <v>1.8</v>
      </c>
      <c r="G2433" s="338">
        <v>9.8771884094756874</v>
      </c>
      <c r="H2433" s="334">
        <f>E2433*F2433/G2433</f>
        <v>30615.999965120878</v>
      </c>
      <c r="I2433" s="334"/>
    </row>
    <row r="2434" spans="2:9" x14ac:dyDescent="0.3">
      <c r="B2434" s="332"/>
      <c r="C2434" s="333"/>
      <c r="D2434" s="332"/>
      <c r="E2434" s="333"/>
      <c r="F2434" s="334"/>
      <c r="G2434" s="332"/>
      <c r="H2434" s="334" t="s">
        <v>628</v>
      </c>
      <c r="I2434" s="334">
        <f>H2433</f>
        <v>30615.999965120878</v>
      </c>
    </row>
    <row r="2435" spans="2:9" x14ac:dyDescent="0.3">
      <c r="B2435" s="332"/>
      <c r="C2435" s="333"/>
      <c r="D2435" s="332"/>
      <c r="E2435" s="333"/>
      <c r="F2435" s="334"/>
      <c r="G2435" s="332"/>
      <c r="H2435" s="330" t="s">
        <v>640</v>
      </c>
      <c r="I2435" s="330">
        <f>I2434+I2426+I2419+I2430</f>
        <v>691615.99996512092</v>
      </c>
    </row>
    <row r="2437" spans="2:9" ht="28.8" x14ac:dyDescent="0.3">
      <c r="B2437" s="339" t="s">
        <v>667</v>
      </c>
      <c r="C2437" s="339" t="s">
        <v>621</v>
      </c>
      <c r="D2437" s="341" t="s">
        <v>495</v>
      </c>
      <c r="E2437" s="339"/>
      <c r="F2437" s="340"/>
      <c r="G2437" s="340" t="s">
        <v>622</v>
      </c>
      <c r="H2437" s="340" t="s">
        <v>60</v>
      </c>
      <c r="I2437" s="340">
        <f>+ROUND(I2459,0)</f>
        <v>28111</v>
      </c>
    </row>
    <row r="2438" spans="2:9" x14ac:dyDescent="0.3">
      <c r="B2438" s="332" t="s">
        <v>623</v>
      </c>
      <c r="C2438" s="333"/>
      <c r="D2438" s="332"/>
      <c r="E2438" s="333"/>
      <c r="F2438" s="334"/>
      <c r="G2438" s="332"/>
      <c r="H2438" s="334"/>
      <c r="I2438" s="334"/>
    </row>
    <row r="2439" spans="2:9" x14ac:dyDescent="0.3">
      <c r="B2439" s="332" t="s">
        <v>271</v>
      </c>
      <c r="C2439" s="333"/>
      <c r="D2439" s="332"/>
      <c r="E2439" s="333" t="s">
        <v>624</v>
      </c>
      <c r="F2439" s="334" t="s">
        <v>625</v>
      </c>
      <c r="G2439" s="332" t="s">
        <v>626</v>
      </c>
      <c r="H2439" s="334" t="s">
        <v>627</v>
      </c>
      <c r="I2439" s="334"/>
    </row>
    <row r="2440" spans="2:9" x14ac:dyDescent="0.3">
      <c r="B2440" s="332" t="s">
        <v>642</v>
      </c>
      <c r="C2440" s="333"/>
      <c r="D2440" s="332"/>
      <c r="E2440" s="333" t="s">
        <v>644</v>
      </c>
      <c r="F2440" s="334">
        <v>1500</v>
      </c>
      <c r="G2440" s="335">
        <v>4</v>
      </c>
      <c r="H2440" s="334">
        <f>F2440*G2440</f>
        <v>6000</v>
      </c>
      <c r="I2440" s="334"/>
    </row>
    <row r="2441" spans="2:9" x14ac:dyDescent="0.3">
      <c r="B2441" s="332"/>
      <c r="C2441" s="333"/>
      <c r="D2441" s="332"/>
      <c r="E2441" s="333"/>
      <c r="F2441" s="334"/>
      <c r="G2441" s="335"/>
      <c r="H2441" s="334"/>
      <c r="I2441" s="334"/>
    </row>
    <row r="2442" spans="2:9" x14ac:dyDescent="0.3">
      <c r="B2442" s="332"/>
      <c r="C2442" s="333"/>
      <c r="D2442" s="332"/>
      <c r="E2442" s="333"/>
      <c r="F2442" s="334"/>
      <c r="G2442" s="335"/>
      <c r="H2442" s="334"/>
      <c r="I2442" s="334"/>
    </row>
    <row r="2443" spans="2:9" x14ac:dyDescent="0.3">
      <c r="B2443" s="332"/>
      <c r="C2443" s="333"/>
      <c r="D2443" s="332"/>
      <c r="E2443" s="333"/>
      <c r="F2443" s="334"/>
      <c r="G2443" s="332"/>
      <c r="H2443" s="334" t="s">
        <v>628</v>
      </c>
      <c r="I2443" s="334">
        <f>SUM(H2440:H2442)</f>
        <v>6000</v>
      </c>
    </row>
    <row r="2444" spans="2:9" x14ac:dyDescent="0.3">
      <c r="B2444" s="332" t="s">
        <v>629</v>
      </c>
      <c r="C2444" s="333"/>
      <c r="D2444" s="332"/>
      <c r="E2444" s="333"/>
      <c r="F2444" s="334"/>
      <c r="G2444" s="332"/>
      <c r="H2444" s="334"/>
      <c r="I2444" s="334"/>
    </row>
    <row r="2445" spans="2:9" x14ac:dyDescent="0.3">
      <c r="B2445" s="332" t="s">
        <v>271</v>
      </c>
      <c r="C2445" s="333"/>
      <c r="D2445" s="332"/>
      <c r="E2445" s="333" t="s">
        <v>624</v>
      </c>
      <c r="F2445" s="334" t="s">
        <v>630</v>
      </c>
      <c r="G2445" s="332" t="s">
        <v>631</v>
      </c>
      <c r="H2445" s="334" t="s">
        <v>627</v>
      </c>
      <c r="I2445" s="334"/>
    </row>
    <row r="2446" spans="2:9" ht="28.8" x14ac:dyDescent="0.3">
      <c r="B2446" s="342" t="s">
        <v>668</v>
      </c>
      <c r="C2446" s="333"/>
      <c r="D2446" s="332"/>
      <c r="E2446" s="343" t="s">
        <v>60</v>
      </c>
      <c r="F2446" s="344">
        <v>16517</v>
      </c>
      <c r="G2446" s="345">
        <v>1</v>
      </c>
      <c r="H2446" s="344">
        <f>F2446*G2446</f>
        <v>16517</v>
      </c>
      <c r="I2446" s="344"/>
    </row>
    <row r="2447" spans="2:9" x14ac:dyDescent="0.3">
      <c r="B2447" s="332"/>
      <c r="C2447" s="333"/>
      <c r="D2447" s="332"/>
      <c r="E2447" s="333"/>
      <c r="F2447" s="334"/>
      <c r="G2447" s="332"/>
      <c r="H2447" s="334">
        <f>F2447*G2447</f>
        <v>0</v>
      </c>
      <c r="I2447" s="334"/>
    </row>
    <row r="2448" spans="2:9" x14ac:dyDescent="0.3">
      <c r="B2448" s="332"/>
      <c r="C2448" s="333"/>
      <c r="D2448" s="332"/>
      <c r="E2448" s="333"/>
      <c r="F2448" s="334"/>
      <c r="G2448" s="332"/>
      <c r="H2448" s="334"/>
      <c r="I2448" s="334"/>
    </row>
    <row r="2449" spans="2:9" x14ac:dyDescent="0.3">
      <c r="B2449" s="332"/>
      <c r="C2449" s="333"/>
      <c r="D2449" s="332"/>
      <c r="E2449" s="333"/>
      <c r="F2449" s="334"/>
      <c r="G2449" s="332"/>
      <c r="H2449" s="334"/>
      <c r="I2449" s="334"/>
    </row>
    <row r="2450" spans="2:9" x14ac:dyDescent="0.3">
      <c r="B2450" s="332"/>
      <c r="C2450" s="333"/>
      <c r="D2450" s="332"/>
      <c r="E2450" s="333"/>
      <c r="F2450" s="334"/>
      <c r="G2450" s="332"/>
      <c r="H2450" s="334" t="s">
        <v>628</v>
      </c>
      <c r="I2450" s="334">
        <f>SUM(H2446:H2449)</f>
        <v>16517</v>
      </c>
    </row>
    <row r="2451" spans="2:9" x14ac:dyDescent="0.3">
      <c r="B2451" s="332" t="s">
        <v>632</v>
      </c>
      <c r="C2451" s="333"/>
      <c r="D2451" s="332"/>
      <c r="E2451" s="333" t="s">
        <v>624</v>
      </c>
      <c r="F2451" s="334" t="s">
        <v>633</v>
      </c>
      <c r="G2451" s="332" t="s">
        <v>634</v>
      </c>
      <c r="H2451" s="334" t="s">
        <v>627</v>
      </c>
      <c r="I2451" s="334"/>
    </row>
    <row r="2452" spans="2:9" x14ac:dyDescent="0.3">
      <c r="B2452" s="332"/>
      <c r="C2452" s="333"/>
      <c r="D2452" s="332"/>
      <c r="E2452" s="332"/>
      <c r="F2452" s="332"/>
      <c r="G2452" s="332"/>
      <c r="H2452" s="332"/>
      <c r="I2452" s="332"/>
    </row>
    <row r="2453" spans="2:9" x14ac:dyDescent="0.3">
      <c r="B2453" s="332"/>
      <c r="C2453" s="333"/>
      <c r="D2453" s="332"/>
      <c r="E2453" s="333"/>
      <c r="F2453" s="336"/>
      <c r="G2453" s="334"/>
      <c r="H2453" s="334"/>
      <c r="I2453" s="334"/>
    </row>
    <row r="2454" spans="2:9" x14ac:dyDescent="0.3">
      <c r="B2454" s="332"/>
      <c r="C2454" s="333"/>
      <c r="D2454" s="332"/>
      <c r="E2454" s="333"/>
      <c r="F2454" s="334"/>
      <c r="G2454" s="332"/>
      <c r="H2454" s="334" t="s">
        <v>628</v>
      </c>
      <c r="I2454" s="334">
        <f>SUM(H2453)</f>
        <v>0</v>
      </c>
    </row>
    <row r="2455" spans="2:9" x14ac:dyDescent="0.3">
      <c r="B2455" s="332" t="s">
        <v>635</v>
      </c>
      <c r="C2455" s="333"/>
      <c r="D2455" s="332"/>
      <c r="E2455" s="333"/>
      <c r="F2455" s="334"/>
      <c r="G2455" s="332"/>
      <c r="H2455" s="334"/>
      <c r="I2455" s="334"/>
    </row>
    <row r="2456" spans="2:9" x14ac:dyDescent="0.3">
      <c r="B2456" s="332" t="s">
        <v>636</v>
      </c>
      <c r="C2456" s="333"/>
      <c r="D2456" s="332"/>
      <c r="E2456" s="333" t="s">
        <v>637</v>
      </c>
      <c r="F2456" s="334" t="s">
        <v>638</v>
      </c>
      <c r="G2456" s="332" t="s">
        <v>639</v>
      </c>
      <c r="H2456" s="334" t="s">
        <v>627</v>
      </c>
      <c r="I2456" s="334"/>
    </row>
    <row r="2457" spans="2:9" x14ac:dyDescent="0.3">
      <c r="B2457" s="332" t="s">
        <v>645</v>
      </c>
      <c r="C2457" s="333"/>
      <c r="D2457" s="332"/>
      <c r="E2457" s="337">
        <v>168000</v>
      </c>
      <c r="F2457" s="334">
        <v>1.8</v>
      </c>
      <c r="G2457" s="338">
        <v>54.057918992875031</v>
      </c>
      <c r="H2457" s="334">
        <f>E2457*F2457/G2457</f>
        <v>5594.0000213448293</v>
      </c>
      <c r="I2457" s="334"/>
    </row>
    <row r="2458" spans="2:9" x14ac:dyDescent="0.3">
      <c r="B2458" s="332"/>
      <c r="C2458" s="333"/>
      <c r="D2458" s="332"/>
      <c r="E2458" s="333"/>
      <c r="F2458" s="334"/>
      <c r="G2458" s="332"/>
      <c r="H2458" s="334" t="s">
        <v>628</v>
      </c>
      <c r="I2458" s="334">
        <f>H2457</f>
        <v>5594.0000213448293</v>
      </c>
    </row>
    <row r="2459" spans="2:9" x14ac:dyDescent="0.3">
      <c r="B2459" s="332"/>
      <c r="C2459" s="333"/>
      <c r="D2459" s="332"/>
      <c r="E2459" s="333"/>
      <c r="F2459" s="334"/>
      <c r="G2459" s="332"/>
      <c r="H2459" s="330" t="s">
        <v>640</v>
      </c>
      <c r="I2459" s="330">
        <f>I2458+I2450+I2443+I2454</f>
        <v>28111.000021344829</v>
      </c>
    </row>
    <row r="2461" spans="2:9" ht="86.4" x14ac:dyDescent="0.3">
      <c r="B2461" s="339" t="s">
        <v>669</v>
      </c>
      <c r="C2461" s="339" t="s">
        <v>621</v>
      </c>
      <c r="D2461" s="341" t="s">
        <v>552</v>
      </c>
      <c r="E2461" s="339"/>
      <c r="F2461" s="340"/>
      <c r="G2461" s="340" t="s">
        <v>622</v>
      </c>
      <c r="H2461" s="340" t="s">
        <v>60</v>
      </c>
      <c r="I2461" s="340">
        <f>+ROUND(I2483,0)</f>
        <v>30000</v>
      </c>
    </row>
    <row r="2462" spans="2:9" x14ac:dyDescent="0.3">
      <c r="B2462" s="332" t="s">
        <v>623</v>
      </c>
      <c r="C2462" s="333"/>
      <c r="D2462" s="332"/>
      <c r="E2462" s="333"/>
      <c r="F2462" s="334"/>
      <c r="G2462" s="332"/>
      <c r="H2462" s="334"/>
      <c r="I2462" s="334"/>
    </row>
    <row r="2463" spans="2:9" x14ac:dyDescent="0.3">
      <c r="B2463" s="332" t="s">
        <v>271</v>
      </c>
      <c r="C2463" s="333"/>
      <c r="D2463" s="332"/>
      <c r="E2463" s="333" t="s">
        <v>624</v>
      </c>
      <c r="F2463" s="334" t="s">
        <v>625</v>
      </c>
      <c r="G2463" s="332" t="s">
        <v>626</v>
      </c>
      <c r="H2463" s="334" t="s">
        <v>627</v>
      </c>
      <c r="I2463" s="334"/>
    </row>
    <row r="2464" spans="2:9" x14ac:dyDescent="0.3">
      <c r="B2464" s="332" t="s">
        <v>642</v>
      </c>
      <c r="C2464" s="333"/>
      <c r="D2464" s="332"/>
      <c r="E2464" s="333" t="s">
        <v>644</v>
      </c>
      <c r="F2464" s="334">
        <v>1500</v>
      </c>
      <c r="G2464" s="335">
        <v>2</v>
      </c>
      <c r="H2464" s="334">
        <f>F2464*G2464</f>
        <v>3000</v>
      </c>
      <c r="I2464" s="334"/>
    </row>
    <row r="2465" spans="2:9" x14ac:dyDescent="0.3">
      <c r="B2465" s="332"/>
      <c r="C2465" s="333"/>
      <c r="D2465" s="332"/>
      <c r="E2465" s="333"/>
      <c r="F2465" s="334"/>
      <c r="G2465" s="335"/>
      <c r="H2465" s="334"/>
      <c r="I2465" s="334"/>
    </row>
    <row r="2466" spans="2:9" x14ac:dyDescent="0.3">
      <c r="B2466" s="332"/>
      <c r="C2466" s="333"/>
      <c r="D2466" s="332"/>
      <c r="E2466" s="333"/>
      <c r="F2466" s="334"/>
      <c r="G2466" s="335"/>
      <c r="H2466" s="334"/>
      <c r="I2466" s="334"/>
    </row>
    <row r="2467" spans="2:9" x14ac:dyDescent="0.3">
      <c r="B2467" s="332"/>
      <c r="C2467" s="333"/>
      <c r="D2467" s="332"/>
      <c r="E2467" s="333"/>
      <c r="F2467" s="334"/>
      <c r="G2467" s="332"/>
      <c r="H2467" s="334" t="s">
        <v>628</v>
      </c>
      <c r="I2467" s="334">
        <f>SUM(H2464:H2466)</f>
        <v>3000</v>
      </c>
    </row>
    <row r="2468" spans="2:9" x14ac:dyDescent="0.3">
      <c r="B2468" s="332" t="s">
        <v>629</v>
      </c>
      <c r="C2468" s="333"/>
      <c r="D2468" s="332"/>
      <c r="E2468" s="333"/>
      <c r="F2468" s="334"/>
      <c r="G2468" s="332"/>
      <c r="H2468" s="334"/>
      <c r="I2468" s="334"/>
    </row>
    <row r="2469" spans="2:9" x14ac:dyDescent="0.3">
      <c r="B2469" s="332" t="s">
        <v>271</v>
      </c>
      <c r="C2469" s="333"/>
      <c r="D2469" s="332"/>
      <c r="E2469" s="333" t="s">
        <v>624</v>
      </c>
      <c r="F2469" s="334" t="s">
        <v>630</v>
      </c>
      <c r="G2469" s="332" t="s">
        <v>631</v>
      </c>
      <c r="H2469" s="334" t="s">
        <v>627</v>
      </c>
      <c r="I2469" s="334"/>
    </row>
    <row r="2470" spans="2:9" x14ac:dyDescent="0.3">
      <c r="B2470" s="342"/>
      <c r="C2470" s="333"/>
      <c r="D2470" s="332"/>
      <c r="E2470" s="343"/>
      <c r="F2470" s="344"/>
      <c r="G2470" s="345"/>
      <c r="H2470" s="344"/>
      <c r="I2470" s="344"/>
    </row>
    <row r="2471" spans="2:9" x14ac:dyDescent="0.3">
      <c r="B2471" s="332"/>
      <c r="C2471" s="333"/>
      <c r="D2471" s="332"/>
      <c r="E2471" s="333"/>
      <c r="F2471" s="334"/>
      <c r="G2471" s="332"/>
      <c r="H2471" s="334"/>
      <c r="I2471" s="334"/>
    </row>
    <row r="2472" spans="2:9" x14ac:dyDescent="0.3">
      <c r="B2472" s="332"/>
      <c r="C2472" s="333"/>
      <c r="D2472" s="332"/>
      <c r="E2472" s="333"/>
      <c r="F2472" s="334"/>
      <c r="G2472" s="332"/>
      <c r="H2472" s="334"/>
      <c r="I2472" s="334"/>
    </row>
    <row r="2473" spans="2:9" x14ac:dyDescent="0.3">
      <c r="B2473" s="332"/>
      <c r="C2473" s="333"/>
      <c r="D2473" s="332"/>
      <c r="E2473" s="333"/>
      <c r="F2473" s="334"/>
      <c r="G2473" s="332"/>
      <c r="H2473" s="334"/>
      <c r="I2473" s="334"/>
    </row>
    <row r="2474" spans="2:9" x14ac:dyDescent="0.3">
      <c r="B2474" s="332"/>
      <c r="C2474" s="333"/>
      <c r="D2474" s="332"/>
      <c r="E2474" s="333"/>
      <c r="F2474" s="334"/>
      <c r="G2474" s="332"/>
      <c r="H2474" s="334" t="s">
        <v>628</v>
      </c>
      <c r="I2474" s="334">
        <f>SUM(H2470:H2473)</f>
        <v>0</v>
      </c>
    </row>
    <row r="2475" spans="2:9" x14ac:dyDescent="0.3">
      <c r="B2475" s="332" t="s">
        <v>632</v>
      </c>
      <c r="C2475" s="333"/>
      <c r="D2475" s="332"/>
      <c r="E2475" s="333" t="s">
        <v>624</v>
      </c>
      <c r="F2475" s="334" t="s">
        <v>633</v>
      </c>
      <c r="G2475" s="332" t="s">
        <v>634</v>
      </c>
      <c r="H2475" s="334" t="s">
        <v>627</v>
      </c>
      <c r="I2475" s="334"/>
    </row>
    <row r="2476" spans="2:9" x14ac:dyDescent="0.3">
      <c r="B2476" s="332"/>
      <c r="C2476" s="333"/>
      <c r="D2476" s="332"/>
      <c r="E2476" s="332"/>
      <c r="F2476" s="332"/>
      <c r="G2476" s="332"/>
      <c r="H2476" s="332"/>
      <c r="I2476" s="332"/>
    </row>
    <row r="2477" spans="2:9" x14ac:dyDescent="0.3">
      <c r="B2477" s="332"/>
      <c r="C2477" s="333"/>
      <c r="D2477" s="332"/>
      <c r="E2477" s="333"/>
      <c r="F2477" s="336"/>
      <c r="G2477" s="334"/>
      <c r="H2477" s="334"/>
      <c r="I2477" s="334"/>
    </row>
    <row r="2478" spans="2:9" x14ac:dyDescent="0.3">
      <c r="B2478" s="332"/>
      <c r="C2478" s="333"/>
      <c r="D2478" s="332"/>
      <c r="E2478" s="333"/>
      <c r="F2478" s="334"/>
      <c r="G2478" s="332"/>
      <c r="H2478" s="334" t="s">
        <v>628</v>
      </c>
      <c r="I2478" s="334">
        <f>SUM(H2477)</f>
        <v>0</v>
      </c>
    </row>
    <row r="2479" spans="2:9" x14ac:dyDescent="0.3">
      <c r="B2479" s="332" t="s">
        <v>635</v>
      </c>
      <c r="C2479" s="333"/>
      <c r="D2479" s="332"/>
      <c r="E2479" s="333"/>
      <c r="F2479" s="334"/>
      <c r="G2479" s="332"/>
      <c r="H2479" s="334"/>
      <c r="I2479" s="334"/>
    </row>
    <row r="2480" spans="2:9" x14ac:dyDescent="0.3">
      <c r="B2480" s="332" t="s">
        <v>636</v>
      </c>
      <c r="C2480" s="333"/>
      <c r="D2480" s="332"/>
      <c r="E2480" s="333" t="s">
        <v>637</v>
      </c>
      <c r="F2480" s="334" t="s">
        <v>638</v>
      </c>
      <c r="G2480" s="332" t="s">
        <v>639</v>
      </c>
      <c r="H2480" s="334" t="s">
        <v>627</v>
      </c>
      <c r="I2480" s="334"/>
    </row>
    <row r="2481" spans="2:9" x14ac:dyDescent="0.3">
      <c r="B2481" s="332" t="s">
        <v>645</v>
      </c>
      <c r="C2481" s="333"/>
      <c r="D2481" s="332"/>
      <c r="E2481" s="337">
        <v>168000</v>
      </c>
      <c r="F2481" s="334">
        <v>1.8</v>
      </c>
      <c r="G2481" s="338">
        <v>11.199999874112965</v>
      </c>
      <c r="H2481" s="334">
        <f>E2481*F2481/G2481</f>
        <v>27000.000303477678</v>
      </c>
      <c r="I2481" s="334"/>
    </row>
    <row r="2482" spans="2:9" x14ac:dyDescent="0.3">
      <c r="B2482" s="332"/>
      <c r="C2482" s="333"/>
      <c r="D2482" s="332"/>
      <c r="E2482" s="333"/>
      <c r="F2482" s="334"/>
      <c r="G2482" s="332"/>
      <c r="H2482" s="334" t="s">
        <v>628</v>
      </c>
      <c r="I2482" s="334">
        <f>H2481</f>
        <v>27000.000303477678</v>
      </c>
    </row>
    <row r="2483" spans="2:9" x14ac:dyDescent="0.3">
      <c r="B2483" s="332"/>
      <c r="C2483" s="333"/>
      <c r="D2483" s="332"/>
      <c r="E2483" s="333"/>
      <c r="F2483" s="334"/>
      <c r="G2483" s="332"/>
      <c r="H2483" s="330" t="s">
        <v>640</v>
      </c>
      <c r="I2483" s="330">
        <f>I2482+I2474+I2467+I2478</f>
        <v>30000.000303477678</v>
      </c>
    </row>
    <row r="2485" spans="2:9" ht="28.8" x14ac:dyDescent="0.3">
      <c r="B2485" s="339" t="s">
        <v>754</v>
      </c>
      <c r="C2485" s="339" t="s">
        <v>621</v>
      </c>
      <c r="D2485" s="341" t="s">
        <v>572</v>
      </c>
      <c r="E2485" s="339"/>
      <c r="F2485" s="340"/>
      <c r="G2485" s="340" t="s">
        <v>622</v>
      </c>
      <c r="H2485" s="340" t="s">
        <v>93</v>
      </c>
      <c r="I2485" s="340">
        <f>+ROUND(I2507,0)</f>
        <v>72360</v>
      </c>
    </row>
    <row r="2486" spans="2:9" x14ac:dyDescent="0.3">
      <c r="B2486" s="332" t="s">
        <v>623</v>
      </c>
      <c r="C2486" s="333"/>
      <c r="D2486" s="332"/>
      <c r="E2486" s="333"/>
      <c r="F2486" s="334"/>
      <c r="G2486" s="332"/>
      <c r="H2486" s="334"/>
      <c r="I2486" s="334"/>
    </row>
    <row r="2487" spans="2:9" x14ac:dyDescent="0.3">
      <c r="B2487" s="332" t="s">
        <v>271</v>
      </c>
      <c r="C2487" s="333"/>
      <c r="D2487" s="332"/>
      <c r="E2487" s="333" t="s">
        <v>624</v>
      </c>
      <c r="F2487" s="334" t="s">
        <v>625</v>
      </c>
      <c r="G2487" s="332" t="s">
        <v>626</v>
      </c>
      <c r="H2487" s="334" t="s">
        <v>627</v>
      </c>
      <c r="I2487" s="334"/>
    </row>
    <row r="2488" spans="2:9" x14ac:dyDescent="0.3">
      <c r="B2488" s="332" t="s">
        <v>642</v>
      </c>
      <c r="C2488" s="333"/>
      <c r="D2488" s="332"/>
      <c r="E2488" s="333" t="s">
        <v>644</v>
      </c>
      <c r="F2488" s="334">
        <v>1500</v>
      </c>
      <c r="G2488" s="335">
        <v>2</v>
      </c>
      <c r="H2488" s="334">
        <f>F2488*G2488</f>
        <v>3000</v>
      </c>
      <c r="I2488" s="334"/>
    </row>
    <row r="2489" spans="2:9" x14ac:dyDescent="0.3">
      <c r="B2489" s="332"/>
      <c r="C2489" s="333"/>
      <c r="D2489" s="332"/>
      <c r="E2489" s="333"/>
      <c r="F2489" s="334"/>
      <c r="G2489" s="335"/>
      <c r="H2489" s="334"/>
      <c r="I2489" s="334"/>
    </row>
    <row r="2490" spans="2:9" x14ac:dyDescent="0.3">
      <c r="B2490" s="332"/>
      <c r="C2490" s="333"/>
      <c r="D2490" s="332"/>
      <c r="E2490" s="333"/>
      <c r="F2490" s="334"/>
      <c r="G2490" s="335"/>
      <c r="H2490" s="334"/>
      <c r="I2490" s="334"/>
    </row>
    <row r="2491" spans="2:9" x14ac:dyDescent="0.3">
      <c r="B2491" s="332"/>
      <c r="C2491" s="333"/>
      <c r="D2491" s="332"/>
      <c r="E2491" s="333"/>
      <c r="F2491" s="334"/>
      <c r="G2491" s="332"/>
      <c r="H2491" s="334" t="s">
        <v>628</v>
      </c>
      <c r="I2491" s="334">
        <f>SUM(H2488:H2490)</f>
        <v>3000</v>
      </c>
    </row>
    <row r="2492" spans="2:9" x14ac:dyDescent="0.3">
      <c r="B2492" s="332" t="s">
        <v>629</v>
      </c>
      <c r="C2492" s="333"/>
      <c r="D2492" s="332"/>
      <c r="E2492" s="333"/>
      <c r="F2492" s="334"/>
      <c r="G2492" s="332"/>
      <c r="H2492" s="334"/>
      <c r="I2492" s="334"/>
    </row>
    <row r="2493" spans="2:9" x14ac:dyDescent="0.3">
      <c r="B2493" s="332" t="s">
        <v>271</v>
      </c>
      <c r="C2493" s="333"/>
      <c r="D2493" s="332"/>
      <c r="E2493" s="333" t="s">
        <v>624</v>
      </c>
      <c r="F2493" s="334" t="s">
        <v>630</v>
      </c>
      <c r="G2493" s="332" t="s">
        <v>631</v>
      </c>
      <c r="H2493" s="334" t="s">
        <v>627</v>
      </c>
      <c r="I2493" s="334"/>
    </row>
    <row r="2494" spans="2:9" ht="28.8" x14ac:dyDescent="0.3">
      <c r="B2494" s="342" t="s">
        <v>683</v>
      </c>
      <c r="C2494" s="333"/>
      <c r="D2494" s="332"/>
      <c r="E2494" s="343" t="s">
        <v>93</v>
      </c>
      <c r="F2494" s="344">
        <v>22372</v>
      </c>
      <c r="G2494" s="345">
        <v>1.1000000000000001</v>
      </c>
      <c r="H2494" s="344">
        <f>F2494*G2494</f>
        <v>24609.200000000001</v>
      </c>
      <c r="I2494" s="344"/>
    </row>
    <row r="2495" spans="2:9" x14ac:dyDescent="0.3">
      <c r="B2495" s="332"/>
      <c r="C2495" s="333"/>
      <c r="D2495" s="332"/>
      <c r="E2495" s="333"/>
      <c r="F2495" s="334"/>
      <c r="G2495" s="332"/>
      <c r="H2495" s="334"/>
      <c r="I2495" s="334"/>
    </row>
    <row r="2496" spans="2:9" x14ac:dyDescent="0.3">
      <c r="B2496" s="332"/>
      <c r="C2496" s="333"/>
      <c r="D2496" s="332"/>
      <c r="E2496" s="333"/>
      <c r="F2496" s="334"/>
      <c r="G2496" s="332"/>
      <c r="H2496" s="334"/>
      <c r="I2496" s="334"/>
    </row>
    <row r="2497" spans="2:9" x14ac:dyDescent="0.3">
      <c r="B2497" s="332"/>
      <c r="C2497" s="333"/>
      <c r="D2497" s="332"/>
      <c r="E2497" s="333"/>
      <c r="F2497" s="334"/>
      <c r="G2497" s="332"/>
      <c r="H2497" s="334"/>
      <c r="I2497" s="334"/>
    </row>
    <row r="2498" spans="2:9" x14ac:dyDescent="0.3">
      <c r="B2498" s="332"/>
      <c r="C2498" s="333"/>
      <c r="D2498" s="332"/>
      <c r="E2498" s="333"/>
      <c r="F2498" s="334"/>
      <c r="G2498" s="332"/>
      <c r="H2498" s="334" t="s">
        <v>628</v>
      </c>
      <c r="I2498" s="334">
        <f>SUM(H2494:H2497)</f>
        <v>24609.200000000001</v>
      </c>
    </row>
    <row r="2499" spans="2:9" x14ac:dyDescent="0.3">
      <c r="B2499" s="332" t="s">
        <v>632</v>
      </c>
      <c r="C2499" s="333"/>
      <c r="D2499" s="332"/>
      <c r="E2499" s="333" t="s">
        <v>624</v>
      </c>
      <c r="F2499" s="334" t="s">
        <v>633</v>
      </c>
      <c r="G2499" s="332" t="s">
        <v>634</v>
      </c>
      <c r="H2499" s="334" t="s">
        <v>627</v>
      </c>
      <c r="I2499" s="334"/>
    </row>
    <row r="2500" spans="2:9" x14ac:dyDescent="0.3">
      <c r="B2500" s="332"/>
      <c r="C2500" s="333"/>
      <c r="D2500" s="332"/>
      <c r="E2500" s="332"/>
      <c r="F2500" s="332"/>
      <c r="G2500" s="332"/>
      <c r="H2500" s="332"/>
      <c r="I2500" s="332"/>
    </row>
    <row r="2501" spans="2:9" x14ac:dyDescent="0.3">
      <c r="B2501" s="332"/>
      <c r="C2501" s="333"/>
      <c r="D2501" s="332"/>
      <c r="E2501" s="333"/>
      <c r="F2501" s="336"/>
      <c r="G2501" s="334"/>
      <c r="H2501" s="334"/>
      <c r="I2501" s="334"/>
    </row>
    <row r="2502" spans="2:9" x14ac:dyDescent="0.3">
      <c r="B2502" s="332"/>
      <c r="C2502" s="333"/>
      <c r="D2502" s="332"/>
      <c r="E2502" s="333"/>
      <c r="F2502" s="334"/>
      <c r="G2502" s="332"/>
      <c r="H2502" s="334" t="s">
        <v>628</v>
      </c>
      <c r="I2502" s="334">
        <f>SUM(H2501)</f>
        <v>0</v>
      </c>
    </row>
    <row r="2503" spans="2:9" x14ac:dyDescent="0.3">
      <c r="B2503" s="332" t="s">
        <v>635</v>
      </c>
      <c r="C2503" s="333"/>
      <c r="D2503" s="332"/>
      <c r="E2503" s="333"/>
      <c r="F2503" s="334"/>
      <c r="G2503" s="332"/>
      <c r="H2503" s="334"/>
      <c r="I2503" s="334"/>
    </row>
    <row r="2504" spans="2:9" x14ac:dyDescent="0.3">
      <c r="B2504" s="332" t="s">
        <v>636</v>
      </c>
      <c r="C2504" s="333"/>
      <c r="D2504" s="332"/>
      <c r="E2504" s="333" t="s">
        <v>637</v>
      </c>
      <c r="F2504" s="334" t="s">
        <v>638</v>
      </c>
      <c r="G2504" s="332" t="s">
        <v>639</v>
      </c>
      <c r="H2504" s="334" t="s">
        <v>627</v>
      </c>
      <c r="I2504" s="334"/>
    </row>
    <row r="2505" spans="2:9" x14ac:dyDescent="0.3">
      <c r="B2505" s="332" t="s">
        <v>645</v>
      </c>
      <c r="C2505" s="333"/>
      <c r="D2505" s="332"/>
      <c r="E2505" s="337">
        <v>168000</v>
      </c>
      <c r="F2505" s="334">
        <v>1.8</v>
      </c>
      <c r="G2505" s="338">
        <v>6.7574211260167054</v>
      </c>
      <c r="H2505" s="334">
        <f>E2505*F2505/G2505</f>
        <v>44750.799803749338</v>
      </c>
      <c r="I2505" s="334"/>
    </row>
    <row r="2506" spans="2:9" x14ac:dyDescent="0.3">
      <c r="B2506" s="332"/>
      <c r="C2506" s="333"/>
      <c r="D2506" s="332"/>
      <c r="E2506" s="333"/>
      <c r="F2506" s="334"/>
      <c r="G2506" s="332"/>
      <c r="H2506" s="334" t="s">
        <v>628</v>
      </c>
      <c r="I2506" s="334">
        <f>H2505</f>
        <v>44750.799803749338</v>
      </c>
    </row>
    <row r="2507" spans="2:9" x14ac:dyDescent="0.3">
      <c r="B2507" s="332"/>
      <c r="C2507" s="333"/>
      <c r="D2507" s="332"/>
      <c r="E2507" s="333"/>
      <c r="F2507" s="334"/>
      <c r="G2507" s="332"/>
      <c r="H2507" s="330" t="s">
        <v>640</v>
      </c>
      <c r="I2507" s="330">
        <f>I2506+I2498+I2491+I2502</f>
        <v>72359.999803749335</v>
      </c>
    </row>
    <row r="2509" spans="2:9" ht="28.8" x14ac:dyDescent="0.3">
      <c r="B2509" s="339" t="s">
        <v>778</v>
      </c>
      <c r="C2509" s="339" t="s">
        <v>621</v>
      </c>
      <c r="D2509" s="341" t="s">
        <v>573</v>
      </c>
      <c r="E2509" s="339"/>
      <c r="F2509" s="340"/>
      <c r="G2509" s="340" t="s">
        <v>622</v>
      </c>
      <c r="H2509" s="340" t="s">
        <v>93</v>
      </c>
      <c r="I2509" s="340">
        <f>+ROUND(I2531,0)</f>
        <v>40000</v>
      </c>
    </row>
    <row r="2510" spans="2:9" x14ac:dyDescent="0.3">
      <c r="B2510" s="332" t="s">
        <v>623</v>
      </c>
      <c r="C2510" s="333"/>
      <c r="D2510" s="332"/>
      <c r="E2510" s="333"/>
      <c r="F2510" s="334"/>
      <c r="G2510" s="332"/>
      <c r="H2510" s="334"/>
      <c r="I2510" s="334"/>
    </row>
    <row r="2511" spans="2:9" x14ac:dyDescent="0.3">
      <c r="B2511" s="332" t="s">
        <v>271</v>
      </c>
      <c r="C2511" s="333"/>
      <c r="D2511" s="332"/>
      <c r="E2511" s="333" t="s">
        <v>624</v>
      </c>
      <c r="F2511" s="334" t="s">
        <v>625</v>
      </c>
      <c r="G2511" s="332" t="s">
        <v>626</v>
      </c>
      <c r="H2511" s="334" t="s">
        <v>627</v>
      </c>
      <c r="I2511" s="334"/>
    </row>
    <row r="2512" spans="2:9" x14ac:dyDescent="0.3">
      <c r="B2512" s="332" t="s">
        <v>642</v>
      </c>
      <c r="C2512" s="333"/>
      <c r="D2512" s="332"/>
      <c r="E2512" s="333" t="s">
        <v>644</v>
      </c>
      <c r="F2512" s="334">
        <v>1500</v>
      </c>
      <c r="G2512" s="335">
        <v>2</v>
      </c>
      <c r="H2512" s="334">
        <f>F2512*G2512</f>
        <v>3000</v>
      </c>
      <c r="I2512" s="334"/>
    </row>
    <row r="2513" spans="2:9" x14ac:dyDescent="0.3">
      <c r="B2513" s="332"/>
      <c r="C2513" s="333"/>
      <c r="D2513" s="332"/>
      <c r="E2513" s="333"/>
      <c r="F2513" s="334"/>
      <c r="G2513" s="335"/>
      <c r="H2513" s="334"/>
      <c r="I2513" s="334"/>
    </row>
    <row r="2514" spans="2:9" x14ac:dyDescent="0.3">
      <c r="B2514" s="332"/>
      <c r="C2514" s="333"/>
      <c r="D2514" s="332"/>
      <c r="E2514" s="333"/>
      <c r="F2514" s="334"/>
      <c r="G2514" s="335"/>
      <c r="H2514" s="334"/>
      <c r="I2514" s="334"/>
    </row>
    <row r="2515" spans="2:9" x14ac:dyDescent="0.3">
      <c r="B2515" s="332"/>
      <c r="C2515" s="333"/>
      <c r="D2515" s="332"/>
      <c r="E2515" s="333"/>
      <c r="F2515" s="334"/>
      <c r="G2515" s="332"/>
      <c r="H2515" s="334" t="s">
        <v>628</v>
      </c>
      <c r="I2515" s="334">
        <f>SUM(H2512:H2514)</f>
        <v>3000</v>
      </c>
    </row>
    <row r="2516" spans="2:9" x14ac:dyDescent="0.3">
      <c r="B2516" s="332" t="s">
        <v>629</v>
      </c>
      <c r="C2516" s="333"/>
      <c r="D2516" s="332"/>
      <c r="E2516" s="333"/>
      <c r="F2516" s="334"/>
      <c r="G2516" s="332"/>
      <c r="H2516" s="334"/>
      <c r="I2516" s="334"/>
    </row>
    <row r="2517" spans="2:9" x14ac:dyDescent="0.3">
      <c r="B2517" s="332" t="s">
        <v>271</v>
      </c>
      <c r="C2517" s="333"/>
      <c r="D2517" s="332"/>
      <c r="E2517" s="333" t="s">
        <v>624</v>
      </c>
      <c r="F2517" s="334" t="s">
        <v>630</v>
      </c>
      <c r="G2517" s="332" t="s">
        <v>631</v>
      </c>
      <c r="H2517" s="334" t="s">
        <v>627</v>
      </c>
      <c r="I2517" s="334"/>
    </row>
    <row r="2518" spans="2:9" ht="28.8" x14ac:dyDescent="0.3">
      <c r="B2518" s="342" t="s">
        <v>685</v>
      </c>
      <c r="C2518" s="333"/>
      <c r="D2518" s="332"/>
      <c r="E2518" s="343" t="s">
        <v>93</v>
      </c>
      <c r="F2518" s="344">
        <v>22372</v>
      </c>
      <c r="G2518" s="345">
        <v>1.5</v>
      </c>
      <c r="H2518" s="344">
        <f>F2518*G2518</f>
        <v>33558</v>
      </c>
      <c r="I2518" s="344"/>
    </row>
    <row r="2519" spans="2:9" x14ac:dyDescent="0.3">
      <c r="B2519" s="332"/>
      <c r="C2519" s="333"/>
      <c r="D2519" s="332"/>
      <c r="E2519" s="333"/>
      <c r="F2519" s="334"/>
      <c r="G2519" s="332"/>
      <c r="H2519" s="334"/>
      <c r="I2519" s="334"/>
    </row>
    <row r="2520" spans="2:9" x14ac:dyDescent="0.3">
      <c r="B2520" s="332"/>
      <c r="C2520" s="333"/>
      <c r="D2520" s="332"/>
      <c r="E2520" s="333"/>
      <c r="F2520" s="334"/>
      <c r="G2520" s="332"/>
      <c r="H2520" s="334"/>
      <c r="I2520" s="334"/>
    </row>
    <row r="2521" spans="2:9" x14ac:dyDescent="0.3">
      <c r="B2521" s="332"/>
      <c r="C2521" s="333"/>
      <c r="D2521" s="332"/>
      <c r="E2521" s="333"/>
      <c r="F2521" s="334"/>
      <c r="G2521" s="332"/>
      <c r="H2521" s="334"/>
      <c r="I2521" s="334"/>
    </row>
    <row r="2522" spans="2:9" x14ac:dyDescent="0.3">
      <c r="B2522" s="332"/>
      <c r="C2522" s="333"/>
      <c r="D2522" s="332"/>
      <c r="E2522" s="333"/>
      <c r="F2522" s="334"/>
      <c r="G2522" s="332"/>
      <c r="H2522" s="334" t="s">
        <v>628</v>
      </c>
      <c r="I2522" s="334">
        <f>SUM(H2518:H2521)</f>
        <v>33558</v>
      </c>
    </row>
    <row r="2523" spans="2:9" x14ac:dyDescent="0.3">
      <c r="B2523" s="332" t="s">
        <v>632</v>
      </c>
      <c r="C2523" s="333"/>
      <c r="D2523" s="332"/>
      <c r="E2523" s="333" t="s">
        <v>624</v>
      </c>
      <c r="F2523" s="334" t="s">
        <v>633</v>
      </c>
      <c r="G2523" s="332" t="s">
        <v>634</v>
      </c>
      <c r="H2523" s="334" t="s">
        <v>627</v>
      </c>
      <c r="I2523" s="334"/>
    </row>
    <row r="2524" spans="2:9" x14ac:dyDescent="0.3">
      <c r="B2524" s="332"/>
      <c r="C2524" s="333"/>
      <c r="D2524" s="332"/>
      <c r="E2524" s="332"/>
      <c r="F2524" s="332"/>
      <c r="G2524" s="332"/>
      <c r="H2524" s="332"/>
      <c r="I2524" s="332"/>
    </row>
    <row r="2525" spans="2:9" x14ac:dyDescent="0.3">
      <c r="B2525" s="332"/>
      <c r="C2525" s="333"/>
      <c r="D2525" s="332"/>
      <c r="E2525" s="333"/>
      <c r="F2525" s="336"/>
      <c r="G2525" s="334"/>
      <c r="H2525" s="334"/>
      <c r="I2525" s="334"/>
    </row>
    <row r="2526" spans="2:9" x14ac:dyDescent="0.3">
      <c r="B2526" s="332"/>
      <c r="C2526" s="333"/>
      <c r="D2526" s="332"/>
      <c r="E2526" s="333"/>
      <c r="F2526" s="334"/>
      <c r="G2526" s="332"/>
      <c r="H2526" s="334" t="s">
        <v>628</v>
      </c>
      <c r="I2526" s="334">
        <f>SUM(H2525)</f>
        <v>0</v>
      </c>
    </row>
    <row r="2527" spans="2:9" x14ac:dyDescent="0.3">
      <c r="B2527" s="332" t="s">
        <v>635</v>
      </c>
      <c r="C2527" s="333"/>
      <c r="D2527" s="332"/>
      <c r="E2527" s="333"/>
      <c r="F2527" s="334"/>
      <c r="G2527" s="332"/>
      <c r="H2527" s="334"/>
      <c r="I2527" s="334"/>
    </row>
    <row r="2528" spans="2:9" x14ac:dyDescent="0.3">
      <c r="B2528" s="332" t="s">
        <v>636</v>
      </c>
      <c r="C2528" s="333"/>
      <c r="D2528" s="332"/>
      <c r="E2528" s="333" t="s">
        <v>637</v>
      </c>
      <c r="F2528" s="334" t="s">
        <v>638</v>
      </c>
      <c r="G2528" s="332" t="s">
        <v>639</v>
      </c>
      <c r="H2528" s="334" t="s">
        <v>627</v>
      </c>
      <c r="I2528" s="334"/>
    </row>
    <row r="2529" spans="2:9" x14ac:dyDescent="0.3">
      <c r="B2529" s="332" t="s">
        <v>645</v>
      </c>
      <c r="C2529" s="333"/>
      <c r="D2529" s="332"/>
      <c r="E2529" s="337">
        <v>168000</v>
      </c>
      <c r="F2529" s="334">
        <v>1.8</v>
      </c>
      <c r="G2529" s="338">
        <v>87.855892264832818</v>
      </c>
      <c r="H2529" s="334">
        <f>E2529*F2529/G2529</f>
        <v>3442.0002142650305</v>
      </c>
      <c r="I2529" s="334"/>
    </row>
    <row r="2530" spans="2:9" x14ac:dyDescent="0.3">
      <c r="B2530" s="332"/>
      <c r="C2530" s="333"/>
      <c r="D2530" s="332"/>
      <c r="E2530" s="333"/>
      <c r="F2530" s="334"/>
      <c r="G2530" s="332"/>
      <c r="H2530" s="334" t="s">
        <v>628</v>
      </c>
      <c r="I2530" s="334">
        <f>H2529</f>
        <v>3442.0002142650305</v>
      </c>
    </row>
    <row r="2531" spans="2:9" x14ac:dyDescent="0.3">
      <c r="B2531" s="332"/>
      <c r="C2531" s="333"/>
      <c r="D2531" s="332"/>
      <c r="E2531" s="333"/>
      <c r="F2531" s="334"/>
      <c r="G2531" s="332"/>
      <c r="H2531" s="330" t="s">
        <v>640</v>
      </c>
      <c r="I2531" s="330">
        <f>I2530+I2522+I2515+I2526</f>
        <v>40000.000214265034</v>
      </c>
    </row>
    <row r="2534" spans="2:9" ht="43.2" x14ac:dyDescent="0.3">
      <c r="B2534" s="339" t="s">
        <v>672</v>
      </c>
      <c r="C2534" s="339" t="s">
        <v>621</v>
      </c>
      <c r="D2534" s="341" t="s">
        <v>584</v>
      </c>
      <c r="E2534" s="339"/>
      <c r="F2534" s="340"/>
      <c r="G2534" s="340" t="s">
        <v>622</v>
      </c>
      <c r="H2534" s="340" t="s">
        <v>60</v>
      </c>
      <c r="I2534" s="340">
        <f>+ROUND(I2556,0)</f>
        <v>12000</v>
      </c>
    </row>
    <row r="2535" spans="2:9" x14ac:dyDescent="0.3">
      <c r="B2535" s="332" t="s">
        <v>623</v>
      </c>
      <c r="C2535" s="333"/>
      <c r="D2535" s="332"/>
      <c r="E2535" s="333"/>
      <c r="F2535" s="334"/>
      <c r="G2535" s="332"/>
      <c r="H2535" s="334"/>
      <c r="I2535" s="334"/>
    </row>
    <row r="2536" spans="2:9" x14ac:dyDescent="0.3">
      <c r="B2536" s="332" t="s">
        <v>271</v>
      </c>
      <c r="C2536" s="333"/>
      <c r="D2536" s="332"/>
      <c r="E2536" s="333" t="s">
        <v>624</v>
      </c>
      <c r="F2536" s="334" t="s">
        <v>625</v>
      </c>
      <c r="G2536" s="332" t="s">
        <v>626</v>
      </c>
      <c r="H2536" s="334" t="s">
        <v>627</v>
      </c>
      <c r="I2536" s="334"/>
    </row>
    <row r="2537" spans="2:9" x14ac:dyDescent="0.3">
      <c r="B2537" s="332" t="s">
        <v>642</v>
      </c>
      <c r="C2537" s="333"/>
      <c r="D2537" s="332"/>
      <c r="E2537" s="333" t="s">
        <v>644</v>
      </c>
      <c r="F2537" s="334">
        <v>1500</v>
      </c>
      <c r="G2537" s="335">
        <v>1</v>
      </c>
      <c r="H2537" s="334">
        <f>F2537*G2537</f>
        <v>1500</v>
      </c>
      <c r="I2537" s="334"/>
    </row>
    <row r="2538" spans="2:9" x14ac:dyDescent="0.3">
      <c r="B2538" s="332"/>
      <c r="C2538" s="333"/>
      <c r="D2538" s="332"/>
      <c r="E2538" s="333"/>
      <c r="F2538" s="334"/>
      <c r="G2538" s="335"/>
      <c r="H2538" s="334"/>
      <c r="I2538" s="334"/>
    </row>
    <row r="2539" spans="2:9" x14ac:dyDescent="0.3">
      <c r="B2539" s="332"/>
      <c r="C2539" s="333"/>
      <c r="D2539" s="332"/>
      <c r="E2539" s="333"/>
      <c r="F2539" s="334"/>
      <c r="G2539" s="335"/>
      <c r="H2539" s="334"/>
      <c r="I2539" s="334"/>
    </row>
    <row r="2540" spans="2:9" x14ac:dyDescent="0.3">
      <c r="B2540" s="332"/>
      <c r="C2540" s="333"/>
      <c r="D2540" s="332"/>
      <c r="E2540" s="333"/>
      <c r="F2540" s="334"/>
      <c r="G2540" s="332"/>
      <c r="H2540" s="334" t="s">
        <v>628</v>
      </c>
      <c r="I2540" s="334">
        <f>SUM(H2537:H2539)</f>
        <v>1500</v>
      </c>
    </row>
    <row r="2541" spans="2:9" x14ac:dyDescent="0.3">
      <c r="B2541" s="332" t="s">
        <v>629</v>
      </c>
      <c r="C2541" s="333"/>
      <c r="D2541" s="332"/>
      <c r="E2541" s="333"/>
      <c r="F2541" s="334"/>
      <c r="G2541" s="332"/>
      <c r="H2541" s="334"/>
      <c r="I2541" s="334"/>
    </row>
    <row r="2542" spans="2:9" x14ac:dyDescent="0.3">
      <c r="B2542" s="332" t="s">
        <v>271</v>
      </c>
      <c r="C2542" s="333"/>
      <c r="D2542" s="332"/>
      <c r="E2542" s="333" t="s">
        <v>624</v>
      </c>
      <c r="F2542" s="334" t="s">
        <v>630</v>
      </c>
      <c r="G2542" s="332" t="s">
        <v>631</v>
      </c>
      <c r="H2542" s="334" t="s">
        <v>627</v>
      </c>
      <c r="I2542" s="334"/>
    </row>
    <row r="2543" spans="2:9" x14ac:dyDescent="0.3">
      <c r="B2543" s="342" t="s">
        <v>675</v>
      </c>
      <c r="C2543" s="333"/>
      <c r="D2543" s="332"/>
      <c r="E2543" s="343" t="s">
        <v>102</v>
      </c>
      <c r="F2543" s="344">
        <v>97380</v>
      </c>
      <c r="G2543" s="345">
        <v>0.04</v>
      </c>
      <c r="H2543" s="344">
        <f>F2543*G2543</f>
        <v>3895.2000000000003</v>
      </c>
      <c r="I2543" s="344"/>
    </row>
    <row r="2544" spans="2:9" x14ac:dyDescent="0.3">
      <c r="B2544" s="332" t="s">
        <v>680</v>
      </c>
      <c r="C2544" s="333"/>
      <c r="D2544" s="332"/>
      <c r="E2544" s="333" t="s">
        <v>677</v>
      </c>
      <c r="F2544" s="334">
        <v>66599</v>
      </c>
      <c r="G2544" s="332">
        <v>0.03</v>
      </c>
      <c r="H2544" s="334">
        <f>F2544*G2544</f>
        <v>1997.97</v>
      </c>
      <c r="I2544" s="334"/>
    </row>
    <row r="2545" spans="2:9" x14ac:dyDescent="0.3">
      <c r="B2545" s="332" t="s">
        <v>676</v>
      </c>
      <c r="C2545" s="333"/>
      <c r="D2545" s="332"/>
      <c r="E2545" s="333" t="s">
        <v>33</v>
      </c>
      <c r="F2545" s="334">
        <v>2604</v>
      </c>
      <c r="G2545" s="332">
        <v>0.04</v>
      </c>
      <c r="H2545" s="334">
        <f>F2545*G2545</f>
        <v>104.16</v>
      </c>
      <c r="I2545" s="334"/>
    </row>
    <row r="2546" spans="2:9" x14ac:dyDescent="0.3">
      <c r="B2546" s="332"/>
      <c r="C2546" s="333"/>
      <c r="D2546" s="332"/>
      <c r="E2546" s="333"/>
      <c r="F2546" s="334"/>
      <c r="G2546" s="332"/>
      <c r="H2546" s="334"/>
      <c r="I2546" s="334"/>
    </row>
    <row r="2547" spans="2:9" x14ac:dyDescent="0.3">
      <c r="B2547" s="332"/>
      <c r="C2547" s="333"/>
      <c r="D2547" s="332"/>
      <c r="E2547" s="333"/>
      <c r="F2547" s="334"/>
      <c r="G2547" s="332"/>
      <c r="H2547" s="334" t="s">
        <v>628</v>
      </c>
      <c r="I2547" s="334">
        <f>SUM(H2543:H2546)</f>
        <v>5997.33</v>
      </c>
    </row>
    <row r="2548" spans="2:9" x14ac:dyDescent="0.3">
      <c r="B2548" s="332" t="s">
        <v>632</v>
      </c>
      <c r="C2548" s="333"/>
      <c r="D2548" s="332"/>
      <c r="E2548" s="333" t="s">
        <v>624</v>
      </c>
      <c r="F2548" s="334" t="s">
        <v>633</v>
      </c>
      <c r="G2548" s="332" t="s">
        <v>634</v>
      </c>
      <c r="H2548" s="334" t="s">
        <v>627</v>
      </c>
      <c r="I2548" s="334"/>
    </row>
    <row r="2549" spans="2:9" x14ac:dyDescent="0.3">
      <c r="B2549" s="332"/>
      <c r="C2549" s="333"/>
      <c r="D2549" s="332"/>
      <c r="E2549" s="332"/>
      <c r="F2549" s="332"/>
      <c r="G2549" s="332"/>
      <c r="H2549" s="332"/>
      <c r="I2549" s="332"/>
    </row>
    <row r="2550" spans="2:9" x14ac:dyDescent="0.3">
      <c r="B2550" s="332"/>
      <c r="C2550" s="333"/>
      <c r="D2550" s="332"/>
      <c r="E2550" s="333"/>
      <c r="F2550" s="336"/>
      <c r="G2550" s="334"/>
      <c r="H2550" s="334"/>
      <c r="I2550" s="334"/>
    </row>
    <row r="2551" spans="2:9" x14ac:dyDescent="0.3">
      <c r="B2551" s="332"/>
      <c r="C2551" s="333"/>
      <c r="D2551" s="332"/>
      <c r="E2551" s="333"/>
      <c r="F2551" s="334"/>
      <c r="G2551" s="332"/>
      <c r="H2551" s="334" t="s">
        <v>628</v>
      </c>
      <c r="I2551" s="334">
        <f>SUM(H2550)</f>
        <v>0</v>
      </c>
    </row>
    <row r="2552" spans="2:9" x14ac:dyDescent="0.3">
      <c r="B2552" s="332" t="s">
        <v>635</v>
      </c>
      <c r="C2552" s="333"/>
      <c r="D2552" s="332"/>
      <c r="E2552" s="333"/>
      <c r="F2552" s="334"/>
      <c r="G2552" s="332"/>
      <c r="H2552" s="334"/>
      <c r="I2552" s="334"/>
    </row>
    <row r="2553" spans="2:9" x14ac:dyDescent="0.3">
      <c r="B2553" s="332" t="s">
        <v>636</v>
      </c>
      <c r="C2553" s="333"/>
      <c r="D2553" s="332"/>
      <c r="E2553" s="333" t="s">
        <v>637</v>
      </c>
      <c r="F2553" s="334" t="s">
        <v>638</v>
      </c>
      <c r="G2553" s="332" t="s">
        <v>639</v>
      </c>
      <c r="H2553" s="334" t="s">
        <v>627</v>
      </c>
      <c r="I2553" s="334"/>
    </row>
    <row r="2554" spans="2:9" x14ac:dyDescent="0.3">
      <c r="B2554" s="332" t="s">
        <v>645</v>
      </c>
      <c r="C2554" s="333"/>
      <c r="D2554" s="332"/>
      <c r="E2554" s="337">
        <v>168000</v>
      </c>
      <c r="F2554" s="334">
        <v>1.8</v>
      </c>
      <c r="G2554" s="338">
        <v>67.160151641378178</v>
      </c>
      <c r="H2554" s="334">
        <f>E2554*F2554/G2554</f>
        <v>4502.6700001327536</v>
      </c>
      <c r="I2554" s="334"/>
    </row>
    <row r="2555" spans="2:9" x14ac:dyDescent="0.3">
      <c r="B2555" s="332"/>
      <c r="C2555" s="333"/>
      <c r="D2555" s="332"/>
      <c r="E2555" s="333"/>
      <c r="F2555" s="334"/>
      <c r="G2555" s="332"/>
      <c r="H2555" s="334" t="s">
        <v>628</v>
      </c>
      <c r="I2555" s="334">
        <f>H2554</f>
        <v>4502.6700001327536</v>
      </c>
    </row>
    <row r="2556" spans="2:9" x14ac:dyDescent="0.3">
      <c r="B2556" s="332"/>
      <c r="C2556" s="333"/>
      <c r="D2556" s="332"/>
      <c r="E2556" s="333"/>
      <c r="F2556" s="334"/>
      <c r="G2556" s="332"/>
      <c r="H2556" s="330" t="s">
        <v>640</v>
      </c>
      <c r="I2556" s="330">
        <f>I2555+I2547+I2540+I2551</f>
        <v>12000.000000132753</v>
      </c>
    </row>
    <row r="2558" spans="2:9" ht="57.6" x14ac:dyDescent="0.3">
      <c r="B2558" s="339" t="s">
        <v>674</v>
      </c>
      <c r="C2558" s="339" t="s">
        <v>621</v>
      </c>
      <c r="D2558" s="341" t="s">
        <v>567</v>
      </c>
      <c r="E2558" s="339"/>
      <c r="F2558" s="340"/>
      <c r="G2558" s="340" t="s">
        <v>622</v>
      </c>
      <c r="H2558" s="340" t="s">
        <v>33</v>
      </c>
      <c r="I2558" s="340">
        <f>+ROUND(I2580,0)</f>
        <v>35000</v>
      </c>
    </row>
    <row r="2559" spans="2:9" x14ac:dyDescent="0.3">
      <c r="B2559" s="332" t="s">
        <v>623</v>
      </c>
      <c r="C2559" s="333"/>
      <c r="D2559" s="332"/>
      <c r="E2559" s="333"/>
      <c r="F2559" s="334"/>
      <c r="G2559" s="332"/>
      <c r="H2559" s="334"/>
      <c r="I2559" s="334"/>
    </row>
    <row r="2560" spans="2:9" x14ac:dyDescent="0.3">
      <c r="B2560" s="332" t="s">
        <v>271</v>
      </c>
      <c r="C2560" s="333"/>
      <c r="D2560" s="332"/>
      <c r="E2560" s="333" t="s">
        <v>624</v>
      </c>
      <c r="F2560" s="334" t="s">
        <v>625</v>
      </c>
      <c r="G2560" s="332" t="s">
        <v>626</v>
      </c>
      <c r="H2560" s="334" t="s">
        <v>627</v>
      </c>
      <c r="I2560" s="334"/>
    </row>
    <row r="2561" spans="2:9" x14ac:dyDescent="0.3">
      <c r="B2561" s="332" t="s">
        <v>701</v>
      </c>
      <c r="C2561" s="333"/>
      <c r="D2561" s="332"/>
      <c r="E2561" s="333" t="s">
        <v>644</v>
      </c>
      <c r="F2561" s="334">
        <v>1500</v>
      </c>
      <c r="G2561" s="335">
        <v>2</v>
      </c>
      <c r="H2561" s="334">
        <f>F2561*G2561</f>
        <v>3000</v>
      </c>
      <c r="I2561" s="334"/>
    </row>
    <row r="2562" spans="2:9" x14ac:dyDescent="0.3">
      <c r="B2562" s="332"/>
      <c r="C2562" s="333"/>
      <c r="D2562" s="332"/>
      <c r="E2562" s="333"/>
      <c r="F2562" s="334"/>
      <c r="G2562" s="335"/>
      <c r="H2562" s="334"/>
      <c r="I2562" s="334"/>
    </row>
    <row r="2563" spans="2:9" x14ac:dyDescent="0.3">
      <c r="B2563" s="332"/>
      <c r="C2563" s="333"/>
      <c r="D2563" s="332"/>
      <c r="E2563" s="333"/>
      <c r="F2563" s="334"/>
      <c r="G2563" s="335"/>
      <c r="H2563" s="334"/>
      <c r="I2563" s="334"/>
    </row>
    <row r="2564" spans="2:9" x14ac:dyDescent="0.3">
      <c r="B2564" s="332"/>
      <c r="C2564" s="333"/>
      <c r="D2564" s="332"/>
      <c r="E2564" s="333"/>
      <c r="F2564" s="334"/>
      <c r="G2564" s="332"/>
      <c r="H2564" s="334" t="s">
        <v>628</v>
      </c>
      <c r="I2564" s="334">
        <f>SUM(H2561:H2563)</f>
        <v>3000</v>
      </c>
    </row>
    <row r="2565" spans="2:9" x14ac:dyDescent="0.3">
      <c r="B2565" s="332" t="s">
        <v>629</v>
      </c>
      <c r="C2565" s="333"/>
      <c r="D2565" s="332"/>
      <c r="E2565" s="333"/>
      <c r="F2565" s="334"/>
      <c r="G2565" s="332"/>
      <c r="H2565" s="334"/>
      <c r="I2565" s="334"/>
    </row>
    <row r="2566" spans="2:9" x14ac:dyDescent="0.3">
      <c r="B2566" s="332" t="s">
        <v>271</v>
      </c>
      <c r="C2566" s="333"/>
      <c r="D2566" s="332"/>
      <c r="E2566" s="333" t="s">
        <v>624</v>
      </c>
      <c r="F2566" s="334" t="s">
        <v>630</v>
      </c>
      <c r="G2566" s="332" t="s">
        <v>631</v>
      </c>
      <c r="H2566" s="334" t="s">
        <v>627</v>
      </c>
      <c r="I2566" s="334"/>
    </row>
    <row r="2567" spans="2:9" x14ac:dyDescent="0.3">
      <c r="B2567" s="342"/>
      <c r="C2567" s="333"/>
      <c r="D2567" s="332"/>
      <c r="E2567" s="343"/>
      <c r="F2567" s="344"/>
      <c r="G2567" s="345"/>
      <c r="H2567" s="344"/>
      <c r="I2567" s="344"/>
    </row>
    <row r="2568" spans="2:9" x14ac:dyDescent="0.3">
      <c r="B2568" s="332"/>
      <c r="C2568" s="333"/>
      <c r="D2568" s="332"/>
      <c r="E2568" s="333"/>
      <c r="F2568" s="334"/>
      <c r="G2568" s="332"/>
      <c r="H2568" s="334"/>
      <c r="I2568" s="334"/>
    </row>
    <row r="2569" spans="2:9" x14ac:dyDescent="0.3">
      <c r="B2569" s="332"/>
      <c r="C2569" s="333"/>
      <c r="D2569" s="332"/>
      <c r="E2569" s="333"/>
      <c r="F2569" s="334"/>
      <c r="G2569" s="332"/>
      <c r="H2569" s="334"/>
      <c r="I2569" s="334"/>
    </row>
    <row r="2570" spans="2:9" x14ac:dyDescent="0.3">
      <c r="B2570" s="332"/>
      <c r="C2570" s="333"/>
      <c r="D2570" s="332"/>
      <c r="E2570" s="333"/>
      <c r="F2570" s="334"/>
      <c r="G2570" s="332"/>
      <c r="H2570" s="334"/>
      <c r="I2570" s="334"/>
    </row>
    <row r="2571" spans="2:9" x14ac:dyDescent="0.3">
      <c r="B2571" s="332"/>
      <c r="C2571" s="333"/>
      <c r="D2571" s="332"/>
      <c r="E2571" s="333"/>
      <c r="F2571" s="334"/>
      <c r="G2571" s="332"/>
      <c r="H2571" s="334" t="s">
        <v>628</v>
      </c>
      <c r="I2571" s="334">
        <f>SUM(H2567:H2570)</f>
        <v>0</v>
      </c>
    </row>
    <row r="2572" spans="2:9" x14ac:dyDescent="0.3">
      <c r="B2572" s="332" t="s">
        <v>632</v>
      </c>
      <c r="C2572" s="333"/>
      <c r="D2572" s="332"/>
      <c r="E2572" s="333" t="s">
        <v>624</v>
      </c>
      <c r="F2572" s="334" t="s">
        <v>633</v>
      </c>
      <c r="G2572" s="332" t="s">
        <v>634</v>
      </c>
      <c r="H2572" s="334" t="s">
        <v>627</v>
      </c>
      <c r="I2572" s="334"/>
    </row>
    <row r="2573" spans="2:9" x14ac:dyDescent="0.3">
      <c r="B2573" s="332"/>
      <c r="C2573" s="333"/>
      <c r="D2573" s="332"/>
      <c r="E2573" s="332"/>
      <c r="F2573" s="332"/>
      <c r="G2573" s="332"/>
      <c r="H2573" s="332"/>
      <c r="I2573" s="332"/>
    </row>
    <row r="2574" spans="2:9" x14ac:dyDescent="0.3">
      <c r="B2574" s="332"/>
      <c r="C2574" s="333"/>
      <c r="D2574" s="332"/>
      <c r="E2574" s="333"/>
      <c r="F2574" s="336"/>
      <c r="G2574" s="334"/>
      <c r="H2574" s="334"/>
      <c r="I2574" s="334"/>
    </row>
    <row r="2575" spans="2:9" x14ac:dyDescent="0.3">
      <c r="B2575" s="332"/>
      <c r="C2575" s="333"/>
      <c r="D2575" s="332"/>
      <c r="E2575" s="333"/>
      <c r="F2575" s="334"/>
      <c r="G2575" s="332"/>
      <c r="H2575" s="334" t="s">
        <v>628</v>
      </c>
      <c r="I2575" s="334">
        <f>SUM(H2574)</f>
        <v>0</v>
      </c>
    </row>
    <row r="2576" spans="2:9" x14ac:dyDescent="0.3">
      <c r="B2576" s="332" t="s">
        <v>635</v>
      </c>
      <c r="C2576" s="333"/>
      <c r="D2576" s="332"/>
      <c r="E2576" s="333"/>
      <c r="F2576" s="334"/>
      <c r="G2576" s="332"/>
      <c r="H2576" s="334"/>
      <c r="I2576" s="334"/>
    </row>
    <row r="2577" spans="2:9" x14ac:dyDescent="0.3">
      <c r="B2577" s="332" t="s">
        <v>636</v>
      </c>
      <c r="C2577" s="333"/>
      <c r="D2577" s="332"/>
      <c r="E2577" s="333" t="s">
        <v>637</v>
      </c>
      <c r="F2577" s="334" t="s">
        <v>638</v>
      </c>
      <c r="G2577" s="332" t="s">
        <v>626</v>
      </c>
      <c r="H2577" s="334" t="s">
        <v>627</v>
      </c>
      <c r="I2577" s="334"/>
    </row>
    <row r="2578" spans="2:9" ht="28.8" x14ac:dyDescent="0.3">
      <c r="B2578" s="342" t="s">
        <v>702</v>
      </c>
      <c r="C2578" s="333"/>
      <c r="D2578" s="332"/>
      <c r="E2578" s="346">
        <v>168000</v>
      </c>
      <c r="F2578" s="344">
        <v>1.8</v>
      </c>
      <c r="G2578" s="347">
        <v>9.4499999999725102</v>
      </c>
      <c r="H2578" s="344">
        <f>E2578*F2578/G2578</f>
        <v>32000.000000093089</v>
      </c>
      <c r="I2578" s="344"/>
    </row>
    <row r="2579" spans="2:9" x14ac:dyDescent="0.3">
      <c r="B2579" s="332"/>
      <c r="C2579" s="333"/>
      <c r="D2579" s="332"/>
      <c r="E2579" s="333"/>
      <c r="F2579" s="334"/>
      <c r="G2579" s="332"/>
      <c r="H2579" s="334" t="s">
        <v>628</v>
      </c>
      <c r="I2579" s="334">
        <f>H2578</f>
        <v>32000.000000093089</v>
      </c>
    </row>
    <row r="2580" spans="2:9" x14ac:dyDescent="0.3">
      <c r="B2580" s="332"/>
      <c r="C2580" s="333"/>
      <c r="D2580" s="332"/>
      <c r="E2580" s="333"/>
      <c r="F2580" s="334"/>
      <c r="G2580" s="332"/>
      <c r="H2580" s="330" t="s">
        <v>640</v>
      </c>
      <c r="I2580" s="330">
        <f>I2579+I2571+I2564+I2575</f>
        <v>35000.000000093089</v>
      </c>
    </row>
    <row r="2582" spans="2:9" ht="144" x14ac:dyDescent="0.3">
      <c r="B2582" s="339" t="s">
        <v>682</v>
      </c>
      <c r="C2582" s="339" t="s">
        <v>621</v>
      </c>
      <c r="D2582" s="341" t="s">
        <v>565</v>
      </c>
      <c r="E2582" s="339"/>
      <c r="F2582" s="340"/>
      <c r="G2582" s="340" t="s">
        <v>622</v>
      </c>
      <c r="H2582" s="340" t="s">
        <v>33</v>
      </c>
      <c r="I2582" s="340">
        <f>+ROUND(I2604,0)</f>
        <v>20000</v>
      </c>
    </row>
    <row r="2583" spans="2:9" x14ac:dyDescent="0.3">
      <c r="B2583" s="332" t="s">
        <v>623</v>
      </c>
      <c r="C2583" s="333"/>
      <c r="D2583" s="332"/>
      <c r="E2583" s="333"/>
      <c r="F2583" s="334"/>
      <c r="G2583" s="332"/>
      <c r="H2583" s="334"/>
      <c r="I2583" s="334"/>
    </row>
    <row r="2584" spans="2:9" x14ac:dyDescent="0.3">
      <c r="B2584" s="332" t="s">
        <v>271</v>
      </c>
      <c r="C2584" s="333"/>
      <c r="D2584" s="332"/>
      <c r="E2584" s="333" t="s">
        <v>624</v>
      </c>
      <c r="F2584" s="334" t="s">
        <v>625</v>
      </c>
      <c r="G2584" s="332" t="s">
        <v>626</v>
      </c>
      <c r="H2584" s="334" t="s">
        <v>627</v>
      </c>
      <c r="I2584" s="334"/>
    </row>
    <row r="2585" spans="2:9" x14ac:dyDescent="0.3">
      <c r="B2585" s="332" t="s">
        <v>701</v>
      </c>
      <c r="C2585" s="333"/>
      <c r="D2585" s="332"/>
      <c r="E2585" s="333" t="s">
        <v>644</v>
      </c>
      <c r="F2585" s="334">
        <v>1500</v>
      </c>
      <c r="G2585" s="335">
        <v>2</v>
      </c>
      <c r="H2585" s="334">
        <f>F2585*G2585</f>
        <v>3000</v>
      </c>
      <c r="I2585" s="334"/>
    </row>
    <row r="2586" spans="2:9" x14ac:dyDescent="0.3">
      <c r="B2586" s="332"/>
      <c r="C2586" s="333"/>
      <c r="D2586" s="332"/>
      <c r="E2586" s="333"/>
      <c r="F2586" s="334"/>
      <c r="G2586" s="335"/>
      <c r="H2586" s="334"/>
      <c r="I2586" s="334"/>
    </row>
    <row r="2587" spans="2:9" x14ac:dyDescent="0.3">
      <c r="B2587" s="332"/>
      <c r="C2587" s="333"/>
      <c r="D2587" s="332"/>
      <c r="E2587" s="333"/>
      <c r="F2587" s="334"/>
      <c r="G2587" s="335"/>
      <c r="H2587" s="334"/>
      <c r="I2587" s="334"/>
    </row>
    <row r="2588" spans="2:9" x14ac:dyDescent="0.3">
      <c r="B2588" s="332"/>
      <c r="C2588" s="333"/>
      <c r="D2588" s="332"/>
      <c r="E2588" s="333"/>
      <c r="F2588" s="334"/>
      <c r="G2588" s="332"/>
      <c r="H2588" s="334" t="s">
        <v>628</v>
      </c>
      <c r="I2588" s="334">
        <f>SUM(H2585:H2587)</f>
        <v>3000</v>
      </c>
    </row>
    <row r="2589" spans="2:9" x14ac:dyDescent="0.3">
      <c r="B2589" s="332" t="s">
        <v>629</v>
      </c>
      <c r="C2589" s="333"/>
      <c r="D2589" s="332"/>
      <c r="E2589" s="333"/>
      <c r="F2589" s="334"/>
      <c r="G2589" s="332"/>
      <c r="H2589" s="334"/>
      <c r="I2589" s="334"/>
    </row>
    <row r="2590" spans="2:9" x14ac:dyDescent="0.3">
      <c r="B2590" s="332" t="s">
        <v>271</v>
      </c>
      <c r="C2590" s="333"/>
      <c r="D2590" s="332"/>
      <c r="E2590" s="333" t="s">
        <v>624</v>
      </c>
      <c r="F2590" s="334" t="s">
        <v>630</v>
      </c>
      <c r="G2590" s="332" t="s">
        <v>631</v>
      </c>
      <c r="H2590" s="334" t="s">
        <v>627</v>
      </c>
      <c r="I2590" s="334"/>
    </row>
    <row r="2591" spans="2:9" x14ac:dyDescent="0.3">
      <c r="B2591" s="342"/>
      <c r="C2591" s="333"/>
      <c r="D2591" s="332"/>
      <c r="E2591" s="343"/>
      <c r="F2591" s="344"/>
      <c r="G2591" s="345"/>
      <c r="H2591" s="344"/>
      <c r="I2591" s="344"/>
    </row>
    <row r="2592" spans="2:9" x14ac:dyDescent="0.3">
      <c r="B2592" s="332"/>
      <c r="C2592" s="333"/>
      <c r="D2592" s="332"/>
      <c r="E2592" s="333"/>
      <c r="F2592" s="334"/>
      <c r="G2592" s="332"/>
      <c r="H2592" s="334"/>
      <c r="I2592" s="334"/>
    </row>
    <row r="2593" spans="2:9" x14ac:dyDescent="0.3">
      <c r="B2593" s="332"/>
      <c r="C2593" s="333"/>
      <c r="D2593" s="332"/>
      <c r="E2593" s="333"/>
      <c r="F2593" s="334"/>
      <c r="G2593" s="332"/>
      <c r="H2593" s="334"/>
      <c r="I2593" s="334"/>
    </row>
    <row r="2594" spans="2:9" x14ac:dyDescent="0.3">
      <c r="B2594" s="332"/>
      <c r="C2594" s="333"/>
      <c r="D2594" s="332"/>
      <c r="E2594" s="333"/>
      <c r="F2594" s="334"/>
      <c r="G2594" s="332"/>
      <c r="H2594" s="334"/>
      <c r="I2594" s="334"/>
    </row>
    <row r="2595" spans="2:9" x14ac:dyDescent="0.3">
      <c r="B2595" s="332"/>
      <c r="C2595" s="333"/>
      <c r="D2595" s="332"/>
      <c r="E2595" s="333"/>
      <c r="F2595" s="334"/>
      <c r="G2595" s="332"/>
      <c r="H2595" s="334" t="s">
        <v>628</v>
      </c>
      <c r="I2595" s="334">
        <f>SUM(H2591:H2594)</f>
        <v>0</v>
      </c>
    </row>
    <row r="2596" spans="2:9" x14ac:dyDescent="0.3">
      <c r="B2596" s="332" t="s">
        <v>632</v>
      </c>
      <c r="C2596" s="333"/>
      <c r="D2596" s="332"/>
      <c r="E2596" s="333" t="s">
        <v>624</v>
      </c>
      <c r="F2596" s="334" t="s">
        <v>633</v>
      </c>
      <c r="G2596" s="332" t="s">
        <v>634</v>
      </c>
      <c r="H2596" s="334" t="s">
        <v>627</v>
      </c>
      <c r="I2596" s="334"/>
    </row>
    <row r="2597" spans="2:9" x14ac:dyDescent="0.3">
      <c r="B2597" s="332"/>
      <c r="C2597" s="333"/>
      <c r="D2597" s="332"/>
      <c r="E2597" s="332"/>
      <c r="F2597" s="332"/>
      <c r="G2597" s="332"/>
      <c r="H2597" s="332"/>
      <c r="I2597" s="332"/>
    </row>
    <row r="2598" spans="2:9" x14ac:dyDescent="0.3">
      <c r="B2598" s="332"/>
      <c r="C2598" s="333"/>
      <c r="D2598" s="332"/>
      <c r="E2598" s="333"/>
      <c r="F2598" s="336"/>
      <c r="G2598" s="334"/>
      <c r="H2598" s="334"/>
      <c r="I2598" s="334"/>
    </row>
    <row r="2599" spans="2:9" x14ac:dyDescent="0.3">
      <c r="B2599" s="332"/>
      <c r="C2599" s="333"/>
      <c r="D2599" s="332"/>
      <c r="E2599" s="333"/>
      <c r="F2599" s="334"/>
      <c r="G2599" s="332"/>
      <c r="H2599" s="334" t="s">
        <v>628</v>
      </c>
      <c r="I2599" s="334">
        <f>SUM(H2598)</f>
        <v>0</v>
      </c>
    </row>
    <row r="2600" spans="2:9" x14ac:dyDescent="0.3">
      <c r="B2600" s="332" t="s">
        <v>635</v>
      </c>
      <c r="C2600" s="333"/>
      <c r="D2600" s="332"/>
      <c r="E2600" s="333"/>
      <c r="F2600" s="334"/>
      <c r="G2600" s="332"/>
      <c r="H2600" s="334"/>
      <c r="I2600" s="334"/>
    </row>
    <row r="2601" spans="2:9" x14ac:dyDescent="0.3">
      <c r="B2601" s="332" t="s">
        <v>636</v>
      </c>
      <c r="C2601" s="333"/>
      <c r="D2601" s="332"/>
      <c r="E2601" s="333" t="s">
        <v>637</v>
      </c>
      <c r="F2601" s="334" t="s">
        <v>638</v>
      </c>
      <c r="G2601" s="332" t="s">
        <v>626</v>
      </c>
      <c r="H2601" s="334" t="s">
        <v>627</v>
      </c>
      <c r="I2601" s="334"/>
    </row>
    <row r="2602" spans="2:9" ht="28.8" x14ac:dyDescent="0.3">
      <c r="B2602" s="342" t="s">
        <v>702</v>
      </c>
      <c r="C2602" s="333"/>
      <c r="D2602" s="332"/>
      <c r="E2602" s="346">
        <v>168000</v>
      </c>
      <c r="F2602" s="344">
        <v>1.8</v>
      </c>
      <c r="G2602" s="347">
        <v>17.788235291403911</v>
      </c>
      <c r="H2602" s="344">
        <f>E2602*F2602/G2602</f>
        <v>17000.000002593486</v>
      </c>
      <c r="I2602" s="344"/>
    </row>
    <row r="2603" spans="2:9" x14ac:dyDescent="0.3">
      <c r="B2603" s="332"/>
      <c r="C2603" s="333"/>
      <c r="D2603" s="332"/>
      <c r="E2603" s="333"/>
      <c r="F2603" s="334"/>
      <c r="G2603" s="332"/>
      <c r="H2603" s="334" t="s">
        <v>628</v>
      </c>
      <c r="I2603" s="334">
        <f>H2602</f>
        <v>17000.000002593486</v>
      </c>
    </row>
    <row r="2604" spans="2:9" x14ac:dyDescent="0.3">
      <c r="B2604" s="332"/>
      <c r="C2604" s="333"/>
      <c r="D2604" s="332"/>
      <c r="E2604" s="333"/>
      <c r="F2604" s="334"/>
      <c r="G2604" s="332"/>
      <c r="H2604" s="330" t="s">
        <v>640</v>
      </c>
      <c r="I2604" s="330">
        <f>I2603+I2595+I2588+I2599</f>
        <v>20000.000002593486</v>
      </c>
    </row>
    <row r="2606" spans="2:9" ht="129.6" x14ac:dyDescent="0.3">
      <c r="B2606" s="339" t="s">
        <v>763</v>
      </c>
      <c r="C2606" s="339" t="s">
        <v>621</v>
      </c>
      <c r="D2606" s="341" t="s">
        <v>564</v>
      </c>
      <c r="E2606" s="339"/>
      <c r="F2606" s="340"/>
      <c r="G2606" s="340" t="s">
        <v>622</v>
      </c>
      <c r="H2606" s="340" t="s">
        <v>33</v>
      </c>
      <c r="I2606" s="340">
        <f>+ROUND(I2628,0)</f>
        <v>20000</v>
      </c>
    </row>
    <row r="2607" spans="2:9" x14ac:dyDescent="0.3">
      <c r="B2607" s="332" t="s">
        <v>623</v>
      </c>
      <c r="C2607" s="333"/>
      <c r="D2607" s="332"/>
      <c r="E2607" s="333"/>
      <c r="F2607" s="334"/>
      <c r="G2607" s="332"/>
      <c r="H2607" s="334"/>
      <c r="I2607" s="334"/>
    </row>
    <row r="2608" spans="2:9" x14ac:dyDescent="0.3">
      <c r="B2608" s="332" t="s">
        <v>271</v>
      </c>
      <c r="C2608" s="333"/>
      <c r="D2608" s="332"/>
      <c r="E2608" s="333" t="s">
        <v>624</v>
      </c>
      <c r="F2608" s="334" t="s">
        <v>625</v>
      </c>
      <c r="G2608" s="332" t="s">
        <v>626</v>
      </c>
      <c r="H2608" s="334" t="s">
        <v>627</v>
      </c>
      <c r="I2608" s="334"/>
    </row>
    <row r="2609" spans="2:9" x14ac:dyDescent="0.3">
      <c r="B2609" s="332" t="s">
        <v>701</v>
      </c>
      <c r="C2609" s="333"/>
      <c r="D2609" s="332"/>
      <c r="E2609" s="333" t="s">
        <v>644</v>
      </c>
      <c r="F2609" s="334">
        <v>1500</v>
      </c>
      <c r="G2609" s="335">
        <v>2</v>
      </c>
      <c r="H2609" s="334">
        <f>F2609*G2609</f>
        <v>3000</v>
      </c>
      <c r="I2609" s="334"/>
    </row>
    <row r="2610" spans="2:9" x14ac:dyDescent="0.3">
      <c r="B2610" s="332"/>
      <c r="C2610" s="333"/>
      <c r="D2610" s="332"/>
      <c r="E2610" s="333"/>
      <c r="F2610" s="334"/>
      <c r="G2610" s="335"/>
      <c r="H2610" s="334"/>
      <c r="I2610" s="334"/>
    </row>
    <row r="2611" spans="2:9" x14ac:dyDescent="0.3">
      <c r="B2611" s="332"/>
      <c r="C2611" s="333"/>
      <c r="D2611" s="332"/>
      <c r="E2611" s="333"/>
      <c r="F2611" s="334"/>
      <c r="G2611" s="335"/>
      <c r="H2611" s="334"/>
      <c r="I2611" s="334"/>
    </row>
    <row r="2612" spans="2:9" x14ac:dyDescent="0.3">
      <c r="B2612" s="332"/>
      <c r="C2612" s="333"/>
      <c r="D2612" s="332"/>
      <c r="E2612" s="333"/>
      <c r="F2612" s="334"/>
      <c r="G2612" s="332"/>
      <c r="H2612" s="334" t="s">
        <v>628</v>
      </c>
      <c r="I2612" s="334">
        <f>SUM(H2609:H2611)</f>
        <v>3000</v>
      </c>
    </row>
    <row r="2613" spans="2:9" x14ac:dyDescent="0.3">
      <c r="B2613" s="332" t="s">
        <v>629</v>
      </c>
      <c r="C2613" s="333"/>
      <c r="D2613" s="332"/>
      <c r="E2613" s="333"/>
      <c r="F2613" s="334"/>
      <c r="G2613" s="332"/>
      <c r="H2613" s="334"/>
      <c r="I2613" s="334"/>
    </row>
    <row r="2614" spans="2:9" x14ac:dyDescent="0.3">
      <c r="B2614" s="332" t="s">
        <v>271</v>
      </c>
      <c r="C2614" s="333"/>
      <c r="D2614" s="332"/>
      <c r="E2614" s="333" t="s">
        <v>624</v>
      </c>
      <c r="F2614" s="334" t="s">
        <v>630</v>
      </c>
      <c r="G2614" s="332" t="s">
        <v>631</v>
      </c>
      <c r="H2614" s="334" t="s">
        <v>627</v>
      </c>
      <c r="I2614" s="334"/>
    </row>
    <row r="2615" spans="2:9" x14ac:dyDescent="0.3">
      <c r="B2615" s="342"/>
      <c r="C2615" s="333"/>
      <c r="D2615" s="332"/>
      <c r="E2615" s="343"/>
      <c r="F2615" s="344"/>
      <c r="G2615" s="345"/>
      <c r="H2615" s="344"/>
      <c r="I2615" s="344"/>
    </row>
    <row r="2616" spans="2:9" x14ac:dyDescent="0.3">
      <c r="B2616" s="332"/>
      <c r="C2616" s="333"/>
      <c r="D2616" s="332"/>
      <c r="E2616" s="333"/>
      <c r="F2616" s="334"/>
      <c r="G2616" s="332"/>
      <c r="H2616" s="334"/>
      <c r="I2616" s="334"/>
    </row>
    <row r="2617" spans="2:9" x14ac:dyDescent="0.3">
      <c r="B2617" s="332"/>
      <c r="C2617" s="333"/>
      <c r="D2617" s="332"/>
      <c r="E2617" s="333"/>
      <c r="F2617" s="334"/>
      <c r="G2617" s="332"/>
      <c r="H2617" s="334"/>
      <c r="I2617" s="334"/>
    </row>
    <row r="2618" spans="2:9" x14ac:dyDescent="0.3">
      <c r="B2618" s="332"/>
      <c r="C2618" s="333"/>
      <c r="D2618" s="332"/>
      <c r="E2618" s="333"/>
      <c r="F2618" s="334"/>
      <c r="G2618" s="332"/>
      <c r="H2618" s="334"/>
      <c r="I2618" s="334"/>
    </row>
    <row r="2619" spans="2:9" x14ac:dyDescent="0.3">
      <c r="B2619" s="332"/>
      <c r="C2619" s="333"/>
      <c r="D2619" s="332"/>
      <c r="E2619" s="333"/>
      <c r="F2619" s="334"/>
      <c r="G2619" s="332"/>
      <c r="H2619" s="334" t="s">
        <v>628</v>
      </c>
      <c r="I2619" s="334">
        <f>SUM(H2615:H2618)</f>
        <v>0</v>
      </c>
    </row>
    <row r="2620" spans="2:9" x14ac:dyDescent="0.3">
      <c r="B2620" s="332" t="s">
        <v>632</v>
      </c>
      <c r="C2620" s="333"/>
      <c r="D2620" s="332"/>
      <c r="E2620" s="333" t="s">
        <v>624</v>
      </c>
      <c r="F2620" s="334" t="s">
        <v>633</v>
      </c>
      <c r="G2620" s="332" t="s">
        <v>634</v>
      </c>
      <c r="H2620" s="334" t="s">
        <v>627</v>
      </c>
      <c r="I2620" s="334"/>
    </row>
    <row r="2621" spans="2:9" x14ac:dyDescent="0.3">
      <c r="B2621" s="332"/>
      <c r="C2621" s="333"/>
      <c r="D2621" s="332"/>
      <c r="E2621" s="332"/>
      <c r="F2621" s="332"/>
      <c r="G2621" s="332"/>
      <c r="H2621" s="332"/>
      <c r="I2621" s="332"/>
    </row>
    <row r="2622" spans="2:9" x14ac:dyDescent="0.3">
      <c r="B2622" s="332"/>
      <c r="C2622" s="333"/>
      <c r="D2622" s="332"/>
      <c r="E2622" s="333"/>
      <c r="F2622" s="336"/>
      <c r="G2622" s="334"/>
      <c r="H2622" s="334"/>
      <c r="I2622" s="334"/>
    </row>
    <row r="2623" spans="2:9" x14ac:dyDescent="0.3">
      <c r="B2623" s="332"/>
      <c r="C2623" s="333"/>
      <c r="D2623" s="332"/>
      <c r="E2623" s="333"/>
      <c r="F2623" s="334"/>
      <c r="G2623" s="332"/>
      <c r="H2623" s="334" t="s">
        <v>628</v>
      </c>
      <c r="I2623" s="334">
        <f>SUM(H2622)</f>
        <v>0</v>
      </c>
    </row>
    <row r="2624" spans="2:9" x14ac:dyDescent="0.3">
      <c r="B2624" s="332" t="s">
        <v>635</v>
      </c>
      <c r="C2624" s="333"/>
      <c r="D2624" s="332"/>
      <c r="E2624" s="333"/>
      <c r="F2624" s="334"/>
      <c r="G2624" s="332"/>
      <c r="H2624" s="334"/>
      <c r="I2624" s="334"/>
    </row>
    <row r="2625" spans="2:9" x14ac:dyDescent="0.3">
      <c r="B2625" s="332" t="s">
        <v>636</v>
      </c>
      <c r="C2625" s="333"/>
      <c r="D2625" s="332"/>
      <c r="E2625" s="333" t="s">
        <v>637</v>
      </c>
      <c r="F2625" s="334" t="s">
        <v>638</v>
      </c>
      <c r="G2625" s="332" t="s">
        <v>626</v>
      </c>
      <c r="H2625" s="334" t="s">
        <v>627</v>
      </c>
      <c r="I2625" s="334"/>
    </row>
    <row r="2626" spans="2:9" ht="28.8" x14ac:dyDescent="0.3">
      <c r="B2626" s="342" t="s">
        <v>702</v>
      </c>
      <c r="C2626" s="333"/>
      <c r="D2626" s="332"/>
      <c r="E2626" s="346">
        <v>168000</v>
      </c>
      <c r="F2626" s="344">
        <v>1.8</v>
      </c>
      <c r="G2626" s="347">
        <v>17.788235291403911</v>
      </c>
      <c r="H2626" s="344">
        <f>E2626*F2626/G2626</f>
        <v>17000.000002593486</v>
      </c>
      <c r="I2626" s="344"/>
    </row>
    <row r="2627" spans="2:9" x14ac:dyDescent="0.3">
      <c r="B2627" s="332"/>
      <c r="C2627" s="333"/>
      <c r="D2627" s="332"/>
      <c r="E2627" s="333"/>
      <c r="F2627" s="334"/>
      <c r="G2627" s="332"/>
      <c r="H2627" s="334" t="s">
        <v>628</v>
      </c>
      <c r="I2627" s="334">
        <f>H2626</f>
        <v>17000.000002593486</v>
      </c>
    </row>
    <row r="2628" spans="2:9" x14ac:dyDescent="0.3">
      <c r="B2628" s="332"/>
      <c r="C2628" s="333"/>
      <c r="D2628" s="332"/>
      <c r="E2628" s="333"/>
      <c r="F2628" s="334"/>
      <c r="G2628" s="332"/>
      <c r="H2628" s="330" t="s">
        <v>640</v>
      </c>
      <c r="I2628" s="330">
        <f>I2627+I2619+I2612+I2623</f>
        <v>20000.000002593486</v>
      </c>
    </row>
    <row r="2630" spans="2:9" ht="129.6" x14ac:dyDescent="0.3">
      <c r="B2630" s="339" t="s">
        <v>779</v>
      </c>
      <c r="C2630" s="339" t="s">
        <v>621</v>
      </c>
      <c r="D2630" s="341" t="s">
        <v>568</v>
      </c>
      <c r="E2630" s="339"/>
      <c r="F2630" s="340"/>
      <c r="G2630" s="340" t="s">
        <v>622</v>
      </c>
      <c r="H2630" s="340" t="s">
        <v>33</v>
      </c>
      <c r="I2630" s="340">
        <f>+ROUND(I2652,0)</f>
        <v>20000</v>
      </c>
    </row>
    <row r="2631" spans="2:9" x14ac:dyDescent="0.3">
      <c r="B2631" s="332" t="s">
        <v>623</v>
      </c>
      <c r="C2631" s="333"/>
      <c r="D2631" s="332"/>
      <c r="E2631" s="333"/>
      <c r="F2631" s="334"/>
      <c r="G2631" s="332"/>
      <c r="H2631" s="334"/>
      <c r="I2631" s="334"/>
    </row>
    <row r="2632" spans="2:9" x14ac:dyDescent="0.3">
      <c r="B2632" s="332" t="s">
        <v>271</v>
      </c>
      <c r="C2632" s="333"/>
      <c r="D2632" s="332"/>
      <c r="E2632" s="333" t="s">
        <v>624</v>
      </c>
      <c r="F2632" s="334" t="s">
        <v>625</v>
      </c>
      <c r="G2632" s="332" t="s">
        <v>626</v>
      </c>
      <c r="H2632" s="334" t="s">
        <v>627</v>
      </c>
      <c r="I2632" s="334"/>
    </row>
    <row r="2633" spans="2:9" x14ac:dyDescent="0.3">
      <c r="B2633" s="332" t="s">
        <v>701</v>
      </c>
      <c r="C2633" s="333"/>
      <c r="D2633" s="332"/>
      <c r="E2633" s="333" t="s">
        <v>644</v>
      </c>
      <c r="F2633" s="334">
        <v>1500</v>
      </c>
      <c r="G2633" s="335">
        <v>2</v>
      </c>
      <c r="H2633" s="334">
        <f>F2633*G2633</f>
        <v>3000</v>
      </c>
      <c r="I2633" s="334"/>
    </row>
    <row r="2634" spans="2:9" x14ac:dyDescent="0.3">
      <c r="B2634" s="332"/>
      <c r="C2634" s="333"/>
      <c r="D2634" s="332"/>
      <c r="E2634" s="333"/>
      <c r="F2634" s="334"/>
      <c r="G2634" s="335"/>
      <c r="H2634" s="334"/>
      <c r="I2634" s="334"/>
    </row>
    <row r="2635" spans="2:9" x14ac:dyDescent="0.3">
      <c r="B2635" s="332"/>
      <c r="C2635" s="333"/>
      <c r="D2635" s="332"/>
      <c r="E2635" s="333"/>
      <c r="F2635" s="334"/>
      <c r="G2635" s="335"/>
      <c r="H2635" s="334"/>
      <c r="I2635" s="334"/>
    </row>
    <row r="2636" spans="2:9" x14ac:dyDescent="0.3">
      <c r="B2636" s="332"/>
      <c r="C2636" s="333"/>
      <c r="D2636" s="332"/>
      <c r="E2636" s="333"/>
      <c r="F2636" s="334"/>
      <c r="G2636" s="332"/>
      <c r="H2636" s="334" t="s">
        <v>628</v>
      </c>
      <c r="I2636" s="334">
        <f>SUM(H2633:H2635)</f>
        <v>3000</v>
      </c>
    </row>
    <row r="2637" spans="2:9" x14ac:dyDescent="0.3">
      <c r="B2637" s="332" t="s">
        <v>629</v>
      </c>
      <c r="C2637" s="333"/>
      <c r="D2637" s="332"/>
      <c r="E2637" s="333"/>
      <c r="F2637" s="334"/>
      <c r="G2637" s="332"/>
      <c r="H2637" s="334"/>
      <c r="I2637" s="334"/>
    </row>
    <row r="2638" spans="2:9" x14ac:dyDescent="0.3">
      <c r="B2638" s="332" t="s">
        <v>271</v>
      </c>
      <c r="C2638" s="333"/>
      <c r="D2638" s="332"/>
      <c r="E2638" s="333" t="s">
        <v>624</v>
      </c>
      <c r="F2638" s="334" t="s">
        <v>630</v>
      </c>
      <c r="G2638" s="332" t="s">
        <v>631</v>
      </c>
      <c r="H2638" s="334" t="s">
        <v>627</v>
      </c>
      <c r="I2638" s="334"/>
    </row>
    <row r="2639" spans="2:9" x14ac:dyDescent="0.3">
      <c r="B2639" s="342"/>
      <c r="C2639" s="333"/>
      <c r="D2639" s="332"/>
      <c r="E2639" s="343"/>
      <c r="F2639" s="344"/>
      <c r="G2639" s="345"/>
      <c r="H2639" s="344"/>
      <c r="I2639" s="344"/>
    </row>
    <row r="2640" spans="2:9" x14ac:dyDescent="0.3">
      <c r="B2640" s="332"/>
      <c r="C2640" s="333"/>
      <c r="D2640" s="332"/>
      <c r="E2640" s="333"/>
      <c r="F2640" s="334"/>
      <c r="G2640" s="332"/>
      <c r="H2640" s="334"/>
      <c r="I2640" s="334"/>
    </row>
    <row r="2641" spans="2:9" x14ac:dyDescent="0.3">
      <c r="B2641" s="332"/>
      <c r="C2641" s="333"/>
      <c r="D2641" s="332"/>
      <c r="E2641" s="333"/>
      <c r="F2641" s="334"/>
      <c r="G2641" s="332"/>
      <c r="H2641" s="334"/>
      <c r="I2641" s="334"/>
    </row>
    <row r="2642" spans="2:9" x14ac:dyDescent="0.3">
      <c r="B2642" s="332"/>
      <c r="C2642" s="333"/>
      <c r="D2642" s="332"/>
      <c r="E2642" s="333"/>
      <c r="F2642" s="334"/>
      <c r="G2642" s="332"/>
      <c r="H2642" s="334"/>
      <c r="I2642" s="334"/>
    </row>
    <row r="2643" spans="2:9" x14ac:dyDescent="0.3">
      <c r="B2643" s="332"/>
      <c r="C2643" s="333"/>
      <c r="D2643" s="332"/>
      <c r="E2643" s="333"/>
      <c r="F2643" s="334"/>
      <c r="G2643" s="332"/>
      <c r="H2643" s="334" t="s">
        <v>628</v>
      </c>
      <c r="I2643" s="334">
        <f>SUM(H2639:H2642)</f>
        <v>0</v>
      </c>
    </row>
    <row r="2644" spans="2:9" x14ac:dyDescent="0.3">
      <c r="B2644" s="332" t="s">
        <v>632</v>
      </c>
      <c r="C2644" s="333"/>
      <c r="D2644" s="332"/>
      <c r="E2644" s="333" t="s">
        <v>624</v>
      </c>
      <c r="F2644" s="334" t="s">
        <v>633</v>
      </c>
      <c r="G2644" s="332" t="s">
        <v>634</v>
      </c>
      <c r="H2644" s="334" t="s">
        <v>627</v>
      </c>
      <c r="I2644" s="334"/>
    </row>
    <row r="2645" spans="2:9" x14ac:dyDescent="0.3">
      <c r="B2645" s="332"/>
      <c r="C2645" s="333"/>
      <c r="D2645" s="332"/>
      <c r="E2645" s="332"/>
      <c r="F2645" s="332"/>
      <c r="G2645" s="332"/>
      <c r="H2645" s="332"/>
      <c r="I2645" s="332"/>
    </row>
    <row r="2646" spans="2:9" x14ac:dyDescent="0.3">
      <c r="B2646" s="332"/>
      <c r="C2646" s="333"/>
      <c r="D2646" s="332"/>
      <c r="E2646" s="333"/>
      <c r="F2646" s="336"/>
      <c r="G2646" s="334"/>
      <c r="H2646" s="334"/>
      <c r="I2646" s="334"/>
    </row>
    <row r="2647" spans="2:9" x14ac:dyDescent="0.3">
      <c r="B2647" s="332"/>
      <c r="C2647" s="333"/>
      <c r="D2647" s="332"/>
      <c r="E2647" s="333"/>
      <c r="F2647" s="334"/>
      <c r="G2647" s="332"/>
      <c r="H2647" s="334" t="s">
        <v>628</v>
      </c>
      <c r="I2647" s="334">
        <f>SUM(H2646)</f>
        <v>0</v>
      </c>
    </row>
    <row r="2648" spans="2:9" x14ac:dyDescent="0.3">
      <c r="B2648" s="332" t="s">
        <v>635</v>
      </c>
      <c r="C2648" s="333"/>
      <c r="D2648" s="332"/>
      <c r="E2648" s="333"/>
      <c r="F2648" s="334"/>
      <c r="G2648" s="332"/>
      <c r="H2648" s="334"/>
      <c r="I2648" s="334"/>
    </row>
    <row r="2649" spans="2:9" x14ac:dyDescent="0.3">
      <c r="B2649" s="332" t="s">
        <v>636</v>
      </c>
      <c r="C2649" s="333"/>
      <c r="D2649" s="332"/>
      <c r="E2649" s="333" t="s">
        <v>637</v>
      </c>
      <c r="F2649" s="334" t="s">
        <v>638</v>
      </c>
      <c r="G2649" s="332" t="s">
        <v>626</v>
      </c>
      <c r="H2649" s="334" t="s">
        <v>627</v>
      </c>
      <c r="I2649" s="334"/>
    </row>
    <row r="2650" spans="2:9" ht="28.8" x14ac:dyDescent="0.3">
      <c r="B2650" s="342" t="s">
        <v>702</v>
      </c>
      <c r="C2650" s="333"/>
      <c r="D2650" s="332"/>
      <c r="E2650" s="346">
        <v>168000</v>
      </c>
      <c r="F2650" s="344">
        <v>1.8</v>
      </c>
      <c r="G2650" s="347">
        <v>17.788235291403911</v>
      </c>
      <c r="H2650" s="344">
        <f>E2650*F2650/G2650</f>
        <v>17000.000002593486</v>
      </c>
      <c r="I2650" s="344"/>
    </row>
    <row r="2651" spans="2:9" x14ac:dyDescent="0.3">
      <c r="B2651" s="332"/>
      <c r="C2651" s="333"/>
      <c r="D2651" s="332"/>
      <c r="E2651" s="333"/>
      <c r="F2651" s="334"/>
      <c r="G2651" s="332"/>
      <c r="H2651" s="334" t="s">
        <v>628</v>
      </c>
      <c r="I2651" s="334">
        <f>H2650</f>
        <v>17000.000002593486</v>
      </c>
    </row>
    <row r="2652" spans="2:9" x14ac:dyDescent="0.3">
      <c r="B2652" s="332"/>
      <c r="C2652" s="333"/>
      <c r="D2652" s="332"/>
      <c r="E2652" s="333"/>
      <c r="F2652" s="334"/>
      <c r="G2652" s="332"/>
      <c r="H2652" s="330" t="s">
        <v>640</v>
      </c>
      <c r="I2652" s="330">
        <f>I2651+I2643+I2636+I2647</f>
        <v>20000.000002593486</v>
      </c>
    </row>
    <row r="2654" spans="2:9" ht="129.6" x14ac:dyDescent="0.3">
      <c r="B2654" s="339" t="s">
        <v>780</v>
      </c>
      <c r="C2654" s="339" t="s">
        <v>621</v>
      </c>
      <c r="D2654" s="341" t="s">
        <v>562</v>
      </c>
      <c r="E2654" s="339"/>
      <c r="F2654" s="340"/>
      <c r="G2654" s="340" t="s">
        <v>622</v>
      </c>
      <c r="H2654" s="340" t="s">
        <v>33</v>
      </c>
      <c r="I2654" s="340">
        <f>+ROUND(I2674,0)</f>
        <v>100000</v>
      </c>
    </row>
    <row r="2655" spans="2:9" x14ac:dyDescent="0.3">
      <c r="B2655" s="332" t="s">
        <v>623</v>
      </c>
      <c r="C2655" s="333"/>
      <c r="D2655" s="332"/>
      <c r="E2655" s="333"/>
      <c r="F2655" s="334"/>
      <c r="G2655" s="332"/>
      <c r="H2655" s="334"/>
      <c r="I2655" s="334"/>
    </row>
    <row r="2656" spans="2:9" x14ac:dyDescent="0.3">
      <c r="B2656" s="332" t="s">
        <v>271</v>
      </c>
      <c r="C2656" s="333"/>
      <c r="D2656" s="332"/>
      <c r="E2656" s="333" t="s">
        <v>624</v>
      </c>
      <c r="F2656" s="334" t="s">
        <v>625</v>
      </c>
      <c r="G2656" s="332" t="s">
        <v>626</v>
      </c>
      <c r="H2656" s="334" t="s">
        <v>627</v>
      </c>
      <c r="I2656" s="334"/>
    </row>
    <row r="2657" spans="2:9" x14ac:dyDescent="0.3">
      <c r="B2657" s="332" t="s">
        <v>701</v>
      </c>
      <c r="C2657" s="333"/>
      <c r="D2657" s="332"/>
      <c r="E2657" s="333" t="s">
        <v>644</v>
      </c>
      <c r="F2657" s="334">
        <v>1500</v>
      </c>
      <c r="G2657" s="335">
        <v>2</v>
      </c>
      <c r="H2657" s="334">
        <f>F2657*G2657</f>
        <v>3000</v>
      </c>
      <c r="I2657" s="334"/>
    </row>
    <row r="2658" spans="2:9" x14ac:dyDescent="0.3">
      <c r="B2658" s="332"/>
      <c r="C2658" s="333"/>
      <c r="D2658" s="332"/>
      <c r="E2658" s="333"/>
      <c r="F2658" s="334"/>
      <c r="G2658" s="335"/>
      <c r="H2658" s="334"/>
      <c r="I2658" s="334"/>
    </row>
    <row r="2659" spans="2:9" x14ac:dyDescent="0.3">
      <c r="B2659" s="332"/>
      <c r="C2659" s="333"/>
      <c r="D2659" s="332"/>
      <c r="E2659" s="333"/>
      <c r="F2659" s="334"/>
      <c r="G2659" s="335"/>
      <c r="H2659" s="334"/>
      <c r="I2659" s="334"/>
    </row>
    <row r="2660" spans="2:9" x14ac:dyDescent="0.3">
      <c r="B2660" s="332"/>
      <c r="C2660" s="333"/>
      <c r="D2660" s="332"/>
      <c r="E2660" s="333"/>
      <c r="F2660" s="334"/>
      <c r="G2660" s="332"/>
      <c r="H2660" s="334" t="s">
        <v>628</v>
      </c>
      <c r="I2660" s="334">
        <f>SUM(H2657:H2659)</f>
        <v>3000</v>
      </c>
    </row>
    <row r="2661" spans="2:9" x14ac:dyDescent="0.3">
      <c r="B2661" s="332" t="s">
        <v>629</v>
      </c>
      <c r="C2661" s="333"/>
      <c r="D2661" s="332"/>
      <c r="E2661" s="333"/>
      <c r="F2661" s="334"/>
      <c r="G2661" s="332"/>
      <c r="H2661" s="334"/>
      <c r="I2661" s="334"/>
    </row>
    <row r="2662" spans="2:9" x14ac:dyDescent="0.3">
      <c r="B2662" s="332" t="s">
        <v>271</v>
      </c>
      <c r="C2662" s="333"/>
      <c r="D2662" s="332"/>
      <c r="E2662" s="333" t="s">
        <v>624</v>
      </c>
      <c r="F2662" s="334" t="s">
        <v>630</v>
      </c>
      <c r="G2662" s="332" t="s">
        <v>631</v>
      </c>
      <c r="H2662" s="334" t="s">
        <v>627</v>
      </c>
      <c r="I2662" s="334"/>
    </row>
    <row r="2663" spans="2:9" ht="28.8" x14ac:dyDescent="0.3">
      <c r="B2663" s="356" t="s">
        <v>775</v>
      </c>
      <c r="C2663" s="333"/>
      <c r="D2663" s="332"/>
      <c r="E2663" s="343">
        <v>1</v>
      </c>
      <c r="F2663" s="344">
        <v>20900</v>
      </c>
      <c r="G2663" s="345">
        <v>1</v>
      </c>
      <c r="H2663" s="344">
        <f>F2663*G2663</f>
        <v>20900</v>
      </c>
      <c r="I2663" s="344"/>
    </row>
    <row r="2664" spans="2:9" x14ac:dyDescent="0.3">
      <c r="B2664" s="332" t="s">
        <v>711</v>
      </c>
      <c r="C2664" s="333"/>
      <c r="D2664" s="332"/>
      <c r="E2664" s="333" t="s">
        <v>93</v>
      </c>
      <c r="F2664" s="334">
        <v>29900</v>
      </c>
      <c r="G2664" s="332">
        <v>2</v>
      </c>
      <c r="H2664" s="344">
        <f>F2664*G2664</f>
        <v>59800</v>
      </c>
      <c r="I2664" s="334"/>
    </row>
    <row r="2665" spans="2:9" x14ac:dyDescent="0.3">
      <c r="B2665" s="332"/>
      <c r="C2665" s="333"/>
      <c r="D2665" s="332"/>
      <c r="E2665" s="333"/>
      <c r="F2665" s="334"/>
      <c r="G2665" s="332"/>
      <c r="H2665" s="334" t="s">
        <v>628</v>
      </c>
      <c r="I2665" s="334">
        <f>SUM(H2663:H2664)</f>
        <v>80700</v>
      </c>
    </row>
    <row r="2666" spans="2:9" x14ac:dyDescent="0.3">
      <c r="B2666" s="332" t="s">
        <v>632</v>
      </c>
      <c r="C2666" s="333"/>
      <c r="D2666" s="332"/>
      <c r="E2666" s="333" t="s">
        <v>624</v>
      </c>
      <c r="F2666" s="334" t="s">
        <v>633</v>
      </c>
      <c r="G2666" s="332" t="s">
        <v>634</v>
      </c>
      <c r="H2666" s="334" t="s">
        <v>627</v>
      </c>
      <c r="I2666" s="334"/>
    </row>
    <row r="2667" spans="2:9" x14ac:dyDescent="0.3">
      <c r="B2667" s="332"/>
      <c r="C2667" s="333"/>
      <c r="D2667" s="332"/>
      <c r="E2667" s="332"/>
      <c r="F2667" s="332"/>
      <c r="G2667" s="332"/>
      <c r="H2667" s="332"/>
      <c r="I2667" s="332"/>
    </row>
    <row r="2668" spans="2:9" x14ac:dyDescent="0.3">
      <c r="B2668" s="332"/>
      <c r="C2668" s="333"/>
      <c r="D2668" s="332"/>
      <c r="E2668" s="333"/>
      <c r="F2668" s="336"/>
      <c r="G2668" s="334"/>
      <c r="H2668" s="334"/>
      <c r="I2668" s="334"/>
    </row>
    <row r="2669" spans="2:9" x14ac:dyDescent="0.3">
      <c r="B2669" s="332"/>
      <c r="C2669" s="333"/>
      <c r="D2669" s="332"/>
      <c r="E2669" s="333"/>
      <c r="F2669" s="334"/>
      <c r="G2669" s="332"/>
      <c r="H2669" s="334" t="s">
        <v>628</v>
      </c>
      <c r="I2669" s="334">
        <f>SUM(H2668)</f>
        <v>0</v>
      </c>
    </row>
    <row r="2670" spans="2:9" x14ac:dyDescent="0.3">
      <c r="B2670" s="332" t="s">
        <v>635</v>
      </c>
      <c r="C2670" s="333"/>
      <c r="D2670" s="332"/>
      <c r="E2670" s="333"/>
      <c r="F2670" s="334"/>
      <c r="G2670" s="332"/>
      <c r="H2670" s="334"/>
      <c r="I2670" s="334"/>
    </row>
    <row r="2671" spans="2:9" x14ac:dyDescent="0.3">
      <c r="B2671" s="332" t="s">
        <v>636</v>
      </c>
      <c r="C2671" s="333"/>
      <c r="D2671" s="332"/>
      <c r="E2671" s="333" t="s">
        <v>637</v>
      </c>
      <c r="F2671" s="334" t="s">
        <v>638</v>
      </c>
      <c r="G2671" s="332" t="s">
        <v>626</v>
      </c>
      <c r="H2671" s="334" t="s">
        <v>627</v>
      </c>
      <c r="I2671" s="334"/>
    </row>
    <row r="2672" spans="2:9" ht="28.8" x14ac:dyDescent="0.3">
      <c r="B2672" s="342" t="s">
        <v>702</v>
      </c>
      <c r="C2672" s="333"/>
      <c r="D2672" s="332"/>
      <c r="E2672" s="346">
        <v>168000</v>
      </c>
      <c r="F2672" s="344">
        <v>1.8</v>
      </c>
      <c r="G2672" s="347">
        <v>18.552146247819049</v>
      </c>
      <c r="H2672" s="344">
        <f>E2672*F2672/G2672</f>
        <v>16300.000871087866</v>
      </c>
      <c r="I2672" s="344"/>
    </row>
    <row r="2673" spans="2:9" x14ac:dyDescent="0.3">
      <c r="B2673" s="332"/>
      <c r="C2673" s="333"/>
      <c r="D2673" s="332"/>
      <c r="E2673" s="333"/>
      <c r="F2673" s="334"/>
      <c r="G2673" s="332"/>
      <c r="H2673" s="334" t="s">
        <v>628</v>
      </c>
      <c r="I2673" s="334">
        <f>H2672</f>
        <v>16300.000871087866</v>
      </c>
    </row>
    <row r="2674" spans="2:9" x14ac:dyDescent="0.3">
      <c r="B2674" s="332"/>
      <c r="C2674" s="333"/>
      <c r="D2674" s="332"/>
      <c r="E2674" s="333"/>
      <c r="F2674" s="334"/>
      <c r="G2674" s="332"/>
      <c r="H2674" s="330" t="s">
        <v>640</v>
      </c>
      <c r="I2674" s="330">
        <f>I2673+I2665+I2660+I2669</f>
        <v>100000.00087108786</v>
      </c>
    </row>
    <row r="2676" spans="2:9" ht="129.6" x14ac:dyDescent="0.3">
      <c r="B2676" s="339" t="s">
        <v>781</v>
      </c>
      <c r="C2676" s="339" t="s">
        <v>621</v>
      </c>
      <c r="D2676" s="341" t="s">
        <v>561</v>
      </c>
      <c r="E2676" s="339"/>
      <c r="F2676" s="340"/>
      <c r="G2676" s="340" t="s">
        <v>622</v>
      </c>
      <c r="H2676" s="340" t="s">
        <v>33</v>
      </c>
      <c r="I2676" s="340">
        <f>+ROUND(I2698,0)</f>
        <v>15000</v>
      </c>
    </row>
    <row r="2677" spans="2:9" x14ac:dyDescent="0.3">
      <c r="B2677" s="332" t="s">
        <v>623</v>
      </c>
      <c r="C2677" s="333"/>
      <c r="D2677" s="332"/>
      <c r="E2677" s="333"/>
      <c r="F2677" s="334"/>
      <c r="G2677" s="332"/>
      <c r="H2677" s="334"/>
      <c r="I2677" s="334"/>
    </row>
    <row r="2678" spans="2:9" x14ac:dyDescent="0.3">
      <c r="B2678" s="332" t="s">
        <v>271</v>
      </c>
      <c r="C2678" s="333"/>
      <c r="D2678" s="332"/>
      <c r="E2678" s="333" t="s">
        <v>624</v>
      </c>
      <c r="F2678" s="334" t="s">
        <v>625</v>
      </c>
      <c r="G2678" s="332" t="s">
        <v>626</v>
      </c>
      <c r="H2678" s="334" t="s">
        <v>627</v>
      </c>
      <c r="I2678" s="334"/>
    </row>
    <row r="2679" spans="2:9" x14ac:dyDescent="0.3">
      <c r="B2679" s="332" t="s">
        <v>701</v>
      </c>
      <c r="C2679" s="333"/>
      <c r="D2679" s="332"/>
      <c r="E2679" s="333" t="s">
        <v>644</v>
      </c>
      <c r="F2679" s="334">
        <v>1500</v>
      </c>
      <c r="G2679" s="335">
        <v>2</v>
      </c>
      <c r="H2679" s="334">
        <f>F2679*G2679</f>
        <v>3000</v>
      </c>
      <c r="I2679" s="334"/>
    </row>
    <row r="2680" spans="2:9" x14ac:dyDescent="0.3">
      <c r="B2680" s="332"/>
      <c r="C2680" s="333"/>
      <c r="D2680" s="332"/>
      <c r="E2680" s="333"/>
      <c r="F2680" s="334"/>
      <c r="G2680" s="335"/>
      <c r="H2680" s="334"/>
      <c r="I2680" s="334"/>
    </row>
    <row r="2681" spans="2:9" x14ac:dyDescent="0.3">
      <c r="B2681" s="332"/>
      <c r="C2681" s="333"/>
      <c r="D2681" s="332"/>
      <c r="E2681" s="333"/>
      <c r="F2681" s="334"/>
      <c r="G2681" s="335"/>
      <c r="H2681" s="334"/>
      <c r="I2681" s="334"/>
    </row>
    <row r="2682" spans="2:9" x14ac:dyDescent="0.3">
      <c r="B2682" s="332"/>
      <c r="C2682" s="333"/>
      <c r="D2682" s="332"/>
      <c r="E2682" s="333"/>
      <c r="F2682" s="334"/>
      <c r="G2682" s="332"/>
      <c r="H2682" s="334" t="s">
        <v>628</v>
      </c>
      <c r="I2682" s="334">
        <f>SUM(H2679:H2681)</f>
        <v>3000</v>
      </c>
    </row>
    <row r="2683" spans="2:9" x14ac:dyDescent="0.3">
      <c r="B2683" s="332" t="s">
        <v>629</v>
      </c>
      <c r="C2683" s="333"/>
      <c r="D2683" s="332"/>
      <c r="E2683" s="333"/>
      <c r="F2683" s="334"/>
      <c r="G2683" s="332"/>
      <c r="H2683" s="334"/>
      <c r="I2683" s="334"/>
    </row>
    <row r="2684" spans="2:9" x14ac:dyDescent="0.3">
      <c r="B2684" s="332" t="s">
        <v>271</v>
      </c>
      <c r="C2684" s="333"/>
      <c r="D2684" s="332"/>
      <c r="E2684" s="333" t="s">
        <v>624</v>
      </c>
      <c r="F2684" s="334" t="s">
        <v>630</v>
      </c>
      <c r="G2684" s="332" t="s">
        <v>631</v>
      </c>
      <c r="H2684" s="334" t="s">
        <v>627</v>
      </c>
      <c r="I2684" s="334"/>
    </row>
    <row r="2685" spans="2:9" x14ac:dyDescent="0.3">
      <c r="B2685" s="342"/>
      <c r="C2685" s="333"/>
      <c r="D2685" s="332"/>
      <c r="E2685" s="343"/>
      <c r="F2685" s="344"/>
      <c r="G2685" s="345"/>
      <c r="H2685" s="344"/>
      <c r="I2685" s="344"/>
    </row>
    <row r="2686" spans="2:9" x14ac:dyDescent="0.3">
      <c r="B2686" s="332"/>
      <c r="C2686" s="333"/>
      <c r="D2686" s="332"/>
      <c r="E2686" s="333"/>
      <c r="F2686" s="334"/>
      <c r="G2686" s="332"/>
      <c r="H2686" s="334"/>
      <c r="I2686" s="334"/>
    </row>
    <row r="2687" spans="2:9" x14ac:dyDescent="0.3">
      <c r="B2687" s="332"/>
      <c r="C2687" s="333"/>
      <c r="D2687" s="332"/>
      <c r="E2687" s="333"/>
      <c r="F2687" s="334"/>
      <c r="G2687" s="332"/>
      <c r="H2687" s="334"/>
      <c r="I2687" s="334"/>
    </row>
    <row r="2688" spans="2:9" x14ac:dyDescent="0.3">
      <c r="B2688" s="332"/>
      <c r="C2688" s="333"/>
      <c r="D2688" s="332"/>
      <c r="E2688" s="333"/>
      <c r="F2688" s="334"/>
      <c r="G2688" s="332"/>
      <c r="H2688" s="334"/>
      <c r="I2688" s="334"/>
    </row>
    <row r="2689" spans="2:9" x14ac:dyDescent="0.3">
      <c r="B2689" s="332"/>
      <c r="C2689" s="333"/>
      <c r="D2689" s="332"/>
      <c r="E2689" s="333"/>
      <c r="F2689" s="334"/>
      <c r="G2689" s="332"/>
      <c r="H2689" s="334" t="s">
        <v>628</v>
      </c>
      <c r="I2689" s="334">
        <f>SUM(H2685:H2688)</f>
        <v>0</v>
      </c>
    </row>
    <row r="2690" spans="2:9" x14ac:dyDescent="0.3">
      <c r="B2690" s="332" t="s">
        <v>632</v>
      </c>
      <c r="C2690" s="333"/>
      <c r="D2690" s="332"/>
      <c r="E2690" s="333" t="s">
        <v>624</v>
      </c>
      <c r="F2690" s="334" t="s">
        <v>633</v>
      </c>
      <c r="G2690" s="332" t="s">
        <v>634</v>
      </c>
      <c r="H2690" s="334" t="s">
        <v>627</v>
      </c>
      <c r="I2690" s="334"/>
    </row>
    <row r="2691" spans="2:9" x14ac:dyDescent="0.3">
      <c r="B2691" s="332"/>
      <c r="C2691" s="333"/>
      <c r="D2691" s="332"/>
      <c r="E2691" s="332"/>
      <c r="F2691" s="332"/>
      <c r="G2691" s="332"/>
      <c r="H2691" s="332"/>
      <c r="I2691" s="332"/>
    </row>
    <row r="2692" spans="2:9" x14ac:dyDescent="0.3">
      <c r="B2692" s="332"/>
      <c r="C2692" s="333"/>
      <c r="D2692" s="332"/>
      <c r="E2692" s="333"/>
      <c r="F2692" s="336"/>
      <c r="G2692" s="334"/>
      <c r="H2692" s="334"/>
      <c r="I2692" s="334"/>
    </row>
    <row r="2693" spans="2:9" x14ac:dyDescent="0.3">
      <c r="B2693" s="332"/>
      <c r="C2693" s="333"/>
      <c r="D2693" s="332"/>
      <c r="E2693" s="333"/>
      <c r="F2693" s="334"/>
      <c r="G2693" s="332"/>
      <c r="H2693" s="334" t="s">
        <v>628</v>
      </c>
      <c r="I2693" s="334">
        <f>SUM(H2692)</f>
        <v>0</v>
      </c>
    </row>
    <row r="2694" spans="2:9" x14ac:dyDescent="0.3">
      <c r="B2694" s="332" t="s">
        <v>635</v>
      </c>
      <c r="C2694" s="333"/>
      <c r="D2694" s="332"/>
      <c r="E2694" s="333"/>
      <c r="F2694" s="334"/>
      <c r="G2694" s="332"/>
      <c r="H2694" s="334"/>
      <c r="I2694" s="334"/>
    </row>
    <row r="2695" spans="2:9" x14ac:dyDescent="0.3">
      <c r="B2695" s="332" t="s">
        <v>636</v>
      </c>
      <c r="C2695" s="333"/>
      <c r="D2695" s="332"/>
      <c r="E2695" s="333" t="s">
        <v>637</v>
      </c>
      <c r="F2695" s="334" t="s">
        <v>638</v>
      </c>
      <c r="G2695" s="332" t="s">
        <v>626</v>
      </c>
      <c r="H2695" s="334" t="s">
        <v>627</v>
      </c>
      <c r="I2695" s="334"/>
    </row>
    <row r="2696" spans="2:9" ht="28.8" x14ac:dyDescent="0.3">
      <c r="B2696" s="342" t="s">
        <v>702</v>
      </c>
      <c r="C2696" s="333"/>
      <c r="D2696" s="332"/>
      <c r="E2696" s="346">
        <v>168000</v>
      </c>
      <c r="F2696" s="344">
        <v>1.8</v>
      </c>
      <c r="G2696" s="347">
        <v>25.199999381410596</v>
      </c>
      <c r="H2696" s="344">
        <f>E2696*F2696/G2696</f>
        <v>12000.000294566391</v>
      </c>
      <c r="I2696" s="344"/>
    </row>
    <row r="2697" spans="2:9" x14ac:dyDescent="0.3">
      <c r="B2697" s="332"/>
      <c r="C2697" s="333"/>
      <c r="D2697" s="332"/>
      <c r="E2697" s="333"/>
      <c r="F2697" s="334"/>
      <c r="G2697" s="332"/>
      <c r="H2697" s="334" t="s">
        <v>628</v>
      </c>
      <c r="I2697" s="334">
        <f>H2696</f>
        <v>12000.000294566391</v>
      </c>
    </row>
    <row r="2698" spans="2:9" x14ac:dyDescent="0.3">
      <c r="B2698" s="332"/>
      <c r="C2698" s="333"/>
      <c r="D2698" s="332"/>
      <c r="E2698" s="333"/>
      <c r="F2698" s="334"/>
      <c r="G2698" s="332"/>
      <c r="H2698" s="330" t="s">
        <v>640</v>
      </c>
      <c r="I2698" s="330">
        <f>I2697+I2689+I2682+I2693</f>
        <v>15000.000294566391</v>
      </c>
    </row>
    <row r="2700" spans="2:9" ht="129.6" x14ac:dyDescent="0.3">
      <c r="B2700" s="339" t="s">
        <v>782</v>
      </c>
      <c r="C2700" s="339" t="s">
        <v>621</v>
      </c>
      <c r="D2700" s="341" t="s">
        <v>560</v>
      </c>
      <c r="E2700" s="339"/>
      <c r="F2700" s="340"/>
      <c r="G2700" s="340" t="s">
        <v>622</v>
      </c>
      <c r="H2700" s="340" t="s">
        <v>33</v>
      </c>
      <c r="I2700" s="340">
        <f>+ROUND(I2722,0)</f>
        <v>20000</v>
      </c>
    </row>
    <row r="2701" spans="2:9" x14ac:dyDescent="0.3">
      <c r="B2701" s="332" t="s">
        <v>623</v>
      </c>
      <c r="C2701" s="333"/>
      <c r="D2701" s="332"/>
      <c r="E2701" s="333"/>
      <c r="F2701" s="334"/>
      <c r="G2701" s="332"/>
      <c r="H2701" s="334"/>
      <c r="I2701" s="334"/>
    </row>
    <row r="2702" spans="2:9" x14ac:dyDescent="0.3">
      <c r="B2702" s="332" t="s">
        <v>271</v>
      </c>
      <c r="C2702" s="333"/>
      <c r="D2702" s="332"/>
      <c r="E2702" s="333" t="s">
        <v>624</v>
      </c>
      <c r="F2702" s="334" t="s">
        <v>625</v>
      </c>
      <c r="G2702" s="332" t="s">
        <v>626</v>
      </c>
      <c r="H2702" s="334" t="s">
        <v>627</v>
      </c>
      <c r="I2702" s="334"/>
    </row>
    <row r="2703" spans="2:9" x14ac:dyDescent="0.3">
      <c r="B2703" s="332" t="s">
        <v>701</v>
      </c>
      <c r="C2703" s="333"/>
      <c r="D2703" s="332"/>
      <c r="E2703" s="333" t="s">
        <v>644</v>
      </c>
      <c r="F2703" s="334">
        <v>1500</v>
      </c>
      <c r="G2703" s="335">
        <v>2</v>
      </c>
      <c r="H2703" s="334">
        <f>F2703*G2703</f>
        <v>3000</v>
      </c>
      <c r="I2703" s="334"/>
    </row>
    <row r="2704" spans="2:9" x14ac:dyDescent="0.3">
      <c r="B2704" s="332"/>
      <c r="C2704" s="333"/>
      <c r="D2704" s="332"/>
      <c r="E2704" s="333"/>
      <c r="F2704" s="334"/>
      <c r="G2704" s="335"/>
      <c r="H2704" s="334"/>
      <c r="I2704" s="334"/>
    </row>
    <row r="2705" spans="2:9" x14ac:dyDescent="0.3">
      <c r="B2705" s="332"/>
      <c r="C2705" s="333"/>
      <c r="D2705" s="332"/>
      <c r="E2705" s="333"/>
      <c r="F2705" s="334"/>
      <c r="G2705" s="335"/>
      <c r="H2705" s="334"/>
      <c r="I2705" s="334"/>
    </row>
    <row r="2706" spans="2:9" x14ac:dyDescent="0.3">
      <c r="B2706" s="332"/>
      <c r="C2706" s="333"/>
      <c r="D2706" s="332"/>
      <c r="E2706" s="333"/>
      <c r="F2706" s="334"/>
      <c r="G2706" s="332"/>
      <c r="H2706" s="334" t="s">
        <v>628</v>
      </c>
      <c r="I2706" s="334">
        <f>SUM(H2703:H2705)</f>
        <v>3000</v>
      </c>
    </row>
    <row r="2707" spans="2:9" x14ac:dyDescent="0.3">
      <c r="B2707" s="332" t="s">
        <v>629</v>
      </c>
      <c r="C2707" s="333"/>
      <c r="D2707" s="332"/>
      <c r="E2707" s="333"/>
      <c r="F2707" s="334"/>
      <c r="G2707" s="332"/>
      <c r="H2707" s="334"/>
      <c r="I2707" s="334"/>
    </row>
    <row r="2708" spans="2:9" x14ac:dyDescent="0.3">
      <c r="B2708" s="332" t="s">
        <v>271</v>
      </c>
      <c r="C2708" s="333"/>
      <c r="D2708" s="332"/>
      <c r="E2708" s="333" t="s">
        <v>624</v>
      </c>
      <c r="F2708" s="334" t="s">
        <v>630</v>
      </c>
      <c r="G2708" s="332" t="s">
        <v>631</v>
      </c>
      <c r="H2708" s="334" t="s">
        <v>627</v>
      </c>
      <c r="I2708" s="334"/>
    </row>
    <row r="2709" spans="2:9" x14ac:dyDescent="0.3">
      <c r="B2709" s="342"/>
      <c r="C2709" s="333"/>
      <c r="D2709" s="332"/>
      <c r="E2709" s="343"/>
      <c r="F2709" s="344"/>
      <c r="G2709" s="345"/>
      <c r="H2709" s="344"/>
      <c r="I2709" s="344"/>
    </row>
    <row r="2710" spans="2:9" x14ac:dyDescent="0.3">
      <c r="B2710" s="332"/>
      <c r="C2710" s="333"/>
      <c r="D2710" s="332"/>
      <c r="E2710" s="333"/>
      <c r="F2710" s="334"/>
      <c r="G2710" s="332"/>
      <c r="H2710" s="334"/>
      <c r="I2710" s="334"/>
    </row>
    <row r="2711" spans="2:9" x14ac:dyDescent="0.3">
      <c r="B2711" s="332"/>
      <c r="C2711" s="333"/>
      <c r="D2711" s="332"/>
      <c r="E2711" s="333"/>
      <c r="F2711" s="334"/>
      <c r="G2711" s="332"/>
      <c r="H2711" s="334"/>
      <c r="I2711" s="334"/>
    </row>
    <row r="2712" spans="2:9" x14ac:dyDescent="0.3">
      <c r="B2712" s="332"/>
      <c r="C2712" s="333"/>
      <c r="D2712" s="332"/>
      <c r="E2712" s="333"/>
      <c r="F2712" s="334"/>
      <c r="G2712" s="332"/>
      <c r="H2712" s="334"/>
      <c r="I2712" s="334"/>
    </row>
    <row r="2713" spans="2:9" x14ac:dyDescent="0.3">
      <c r="B2713" s="332"/>
      <c r="C2713" s="333"/>
      <c r="D2713" s="332"/>
      <c r="E2713" s="333"/>
      <c r="F2713" s="334"/>
      <c r="G2713" s="332"/>
      <c r="H2713" s="334" t="s">
        <v>628</v>
      </c>
      <c r="I2713" s="334">
        <f>SUM(H2709:H2712)</f>
        <v>0</v>
      </c>
    </row>
    <row r="2714" spans="2:9" x14ac:dyDescent="0.3">
      <c r="B2714" s="332" t="s">
        <v>632</v>
      </c>
      <c r="C2714" s="333"/>
      <c r="D2714" s="332"/>
      <c r="E2714" s="333" t="s">
        <v>624</v>
      </c>
      <c r="F2714" s="334" t="s">
        <v>633</v>
      </c>
      <c r="G2714" s="332" t="s">
        <v>634</v>
      </c>
      <c r="H2714" s="334" t="s">
        <v>627</v>
      </c>
      <c r="I2714" s="334"/>
    </row>
    <row r="2715" spans="2:9" x14ac:dyDescent="0.3">
      <c r="B2715" s="332"/>
      <c r="C2715" s="333"/>
      <c r="D2715" s="332"/>
      <c r="E2715" s="332"/>
      <c r="F2715" s="332"/>
      <c r="G2715" s="332"/>
      <c r="H2715" s="332"/>
      <c r="I2715" s="332"/>
    </row>
    <row r="2716" spans="2:9" x14ac:dyDescent="0.3">
      <c r="B2716" s="332"/>
      <c r="C2716" s="333"/>
      <c r="D2716" s="332"/>
      <c r="E2716" s="333"/>
      <c r="F2716" s="336"/>
      <c r="G2716" s="334"/>
      <c r="H2716" s="334"/>
      <c r="I2716" s="334"/>
    </row>
    <row r="2717" spans="2:9" x14ac:dyDescent="0.3">
      <c r="B2717" s="332"/>
      <c r="C2717" s="333"/>
      <c r="D2717" s="332"/>
      <c r="E2717" s="333"/>
      <c r="F2717" s="334"/>
      <c r="G2717" s="332"/>
      <c r="H2717" s="334" t="s">
        <v>628</v>
      </c>
      <c r="I2717" s="334">
        <f>SUM(H2716)</f>
        <v>0</v>
      </c>
    </row>
    <row r="2718" spans="2:9" x14ac:dyDescent="0.3">
      <c r="B2718" s="332" t="s">
        <v>635</v>
      </c>
      <c r="C2718" s="333"/>
      <c r="D2718" s="332"/>
      <c r="E2718" s="333"/>
      <c r="F2718" s="334"/>
      <c r="G2718" s="332"/>
      <c r="H2718" s="334"/>
      <c r="I2718" s="334"/>
    </row>
    <row r="2719" spans="2:9" x14ac:dyDescent="0.3">
      <c r="B2719" s="332" t="s">
        <v>636</v>
      </c>
      <c r="C2719" s="333"/>
      <c r="D2719" s="332"/>
      <c r="E2719" s="333" t="s">
        <v>637</v>
      </c>
      <c r="F2719" s="334" t="s">
        <v>638</v>
      </c>
      <c r="G2719" s="332" t="s">
        <v>626</v>
      </c>
      <c r="H2719" s="334" t="s">
        <v>627</v>
      </c>
      <c r="I2719" s="334"/>
    </row>
    <row r="2720" spans="2:9" ht="28.8" x14ac:dyDescent="0.3">
      <c r="B2720" s="342" t="s">
        <v>702</v>
      </c>
      <c r="C2720" s="333"/>
      <c r="D2720" s="332"/>
      <c r="E2720" s="346">
        <v>168000</v>
      </c>
      <c r="F2720" s="344">
        <v>1.8</v>
      </c>
      <c r="G2720" s="347">
        <v>17.788235291403911</v>
      </c>
      <c r="H2720" s="344">
        <f>E2720*F2720/G2720</f>
        <v>17000.000002593486</v>
      </c>
      <c r="I2720" s="344"/>
    </row>
    <row r="2721" spans="2:9" x14ac:dyDescent="0.3">
      <c r="B2721" s="332"/>
      <c r="C2721" s="333"/>
      <c r="D2721" s="332"/>
      <c r="E2721" s="333"/>
      <c r="F2721" s="334"/>
      <c r="G2721" s="332"/>
      <c r="H2721" s="334" t="s">
        <v>628</v>
      </c>
      <c r="I2721" s="334">
        <f>H2720</f>
        <v>17000.000002593486</v>
      </c>
    </row>
    <row r="2722" spans="2:9" x14ac:dyDescent="0.3">
      <c r="B2722" s="332"/>
      <c r="C2722" s="333"/>
      <c r="D2722" s="332"/>
      <c r="E2722" s="333"/>
      <c r="F2722" s="334"/>
      <c r="G2722" s="332"/>
      <c r="H2722" s="330" t="s">
        <v>640</v>
      </c>
      <c r="I2722" s="330">
        <f>I2721+I2713+I2706+I2717</f>
        <v>20000.000002593486</v>
      </c>
    </row>
    <row r="2724" spans="2:9" ht="144" x14ac:dyDescent="0.3">
      <c r="B2724" s="339" t="s">
        <v>783</v>
      </c>
      <c r="C2724" s="339" t="s">
        <v>621</v>
      </c>
      <c r="D2724" s="341" t="s">
        <v>559</v>
      </c>
      <c r="E2724" s="339"/>
      <c r="F2724" s="340"/>
      <c r="G2724" s="340" t="s">
        <v>622</v>
      </c>
      <c r="H2724" s="340" t="s">
        <v>33</v>
      </c>
      <c r="I2724" s="340">
        <f>+ROUND(I2746,0)</f>
        <v>50000</v>
      </c>
    </row>
    <row r="2725" spans="2:9" x14ac:dyDescent="0.3">
      <c r="B2725" s="332" t="s">
        <v>623</v>
      </c>
      <c r="C2725" s="333"/>
      <c r="D2725" s="332"/>
      <c r="E2725" s="333"/>
      <c r="F2725" s="334"/>
      <c r="G2725" s="332"/>
      <c r="H2725" s="334"/>
      <c r="I2725" s="334"/>
    </row>
    <row r="2726" spans="2:9" x14ac:dyDescent="0.3">
      <c r="B2726" s="332" t="s">
        <v>271</v>
      </c>
      <c r="C2726" s="333"/>
      <c r="D2726" s="332"/>
      <c r="E2726" s="333" t="s">
        <v>624</v>
      </c>
      <c r="F2726" s="334" t="s">
        <v>625</v>
      </c>
      <c r="G2726" s="332" t="s">
        <v>626</v>
      </c>
      <c r="H2726" s="334" t="s">
        <v>627</v>
      </c>
      <c r="I2726" s="334"/>
    </row>
    <row r="2727" spans="2:9" x14ac:dyDescent="0.3">
      <c r="B2727" s="332" t="s">
        <v>701</v>
      </c>
      <c r="C2727" s="333"/>
      <c r="D2727" s="332"/>
      <c r="E2727" s="333" t="s">
        <v>644</v>
      </c>
      <c r="F2727" s="334">
        <v>1500</v>
      </c>
      <c r="G2727" s="335">
        <v>2</v>
      </c>
      <c r="H2727" s="334">
        <f>F2727*G2727</f>
        <v>3000</v>
      </c>
      <c r="I2727" s="334"/>
    </row>
    <row r="2728" spans="2:9" x14ac:dyDescent="0.3">
      <c r="B2728" s="332"/>
      <c r="C2728" s="333"/>
      <c r="D2728" s="332"/>
      <c r="E2728" s="333"/>
      <c r="F2728" s="334"/>
      <c r="G2728" s="335"/>
      <c r="H2728" s="334"/>
      <c r="I2728" s="334"/>
    </row>
    <row r="2729" spans="2:9" x14ac:dyDescent="0.3">
      <c r="B2729" s="332"/>
      <c r="C2729" s="333"/>
      <c r="D2729" s="332"/>
      <c r="E2729" s="333"/>
      <c r="F2729" s="334"/>
      <c r="G2729" s="335"/>
      <c r="H2729" s="334"/>
      <c r="I2729" s="334"/>
    </row>
    <row r="2730" spans="2:9" x14ac:dyDescent="0.3">
      <c r="B2730" s="332"/>
      <c r="C2730" s="333"/>
      <c r="D2730" s="332"/>
      <c r="E2730" s="333"/>
      <c r="F2730" s="334"/>
      <c r="G2730" s="332"/>
      <c r="H2730" s="334" t="s">
        <v>628</v>
      </c>
      <c r="I2730" s="334">
        <f>SUM(H2727:H2729)</f>
        <v>3000</v>
      </c>
    </row>
    <row r="2731" spans="2:9" x14ac:dyDescent="0.3">
      <c r="B2731" s="332" t="s">
        <v>629</v>
      </c>
      <c r="C2731" s="333"/>
      <c r="D2731" s="332"/>
      <c r="E2731" s="333"/>
      <c r="F2731" s="334"/>
      <c r="G2731" s="332"/>
      <c r="H2731" s="334"/>
      <c r="I2731" s="334"/>
    </row>
    <row r="2732" spans="2:9" x14ac:dyDescent="0.3">
      <c r="B2732" s="332" t="s">
        <v>271</v>
      </c>
      <c r="C2732" s="333"/>
      <c r="D2732" s="332"/>
      <c r="E2732" s="333" t="s">
        <v>624</v>
      </c>
      <c r="F2732" s="334" t="s">
        <v>630</v>
      </c>
      <c r="G2732" s="332" t="s">
        <v>631</v>
      </c>
      <c r="H2732" s="334" t="s">
        <v>627</v>
      </c>
      <c r="I2732" s="334"/>
    </row>
    <row r="2733" spans="2:9" x14ac:dyDescent="0.3">
      <c r="B2733" s="342"/>
      <c r="C2733" s="333"/>
      <c r="D2733" s="332"/>
      <c r="E2733" s="343"/>
      <c r="F2733" s="344"/>
      <c r="G2733" s="345"/>
      <c r="H2733" s="344"/>
      <c r="I2733" s="344"/>
    </row>
    <row r="2734" spans="2:9" x14ac:dyDescent="0.3">
      <c r="B2734" s="332"/>
      <c r="C2734" s="333"/>
      <c r="D2734" s="332"/>
      <c r="E2734" s="333"/>
      <c r="F2734" s="334"/>
      <c r="G2734" s="332"/>
      <c r="H2734" s="334"/>
      <c r="I2734" s="334"/>
    </row>
    <row r="2735" spans="2:9" x14ac:dyDescent="0.3">
      <c r="B2735" s="332"/>
      <c r="C2735" s="333"/>
      <c r="D2735" s="332"/>
      <c r="E2735" s="333"/>
      <c r="F2735" s="334"/>
      <c r="G2735" s="332"/>
      <c r="H2735" s="334"/>
      <c r="I2735" s="334"/>
    </row>
    <row r="2736" spans="2:9" x14ac:dyDescent="0.3">
      <c r="B2736" s="332"/>
      <c r="C2736" s="333"/>
      <c r="D2736" s="332"/>
      <c r="E2736" s="333"/>
      <c r="F2736" s="334"/>
      <c r="G2736" s="332"/>
      <c r="H2736" s="334"/>
      <c r="I2736" s="334"/>
    </row>
    <row r="2737" spans="2:9" x14ac:dyDescent="0.3">
      <c r="B2737" s="332"/>
      <c r="C2737" s="333"/>
      <c r="D2737" s="332"/>
      <c r="E2737" s="333"/>
      <c r="F2737" s="334"/>
      <c r="G2737" s="332"/>
      <c r="H2737" s="334" t="s">
        <v>628</v>
      </c>
      <c r="I2737" s="334">
        <f>SUM(H2733:H2736)</f>
        <v>0</v>
      </c>
    </row>
    <row r="2738" spans="2:9" x14ac:dyDescent="0.3">
      <c r="B2738" s="332" t="s">
        <v>632</v>
      </c>
      <c r="C2738" s="333"/>
      <c r="D2738" s="332"/>
      <c r="E2738" s="333" t="s">
        <v>624</v>
      </c>
      <c r="F2738" s="334" t="s">
        <v>633</v>
      </c>
      <c r="G2738" s="332" t="s">
        <v>634</v>
      </c>
      <c r="H2738" s="334" t="s">
        <v>627</v>
      </c>
      <c r="I2738" s="334"/>
    </row>
    <row r="2739" spans="2:9" x14ac:dyDescent="0.3">
      <c r="B2739" s="332"/>
      <c r="C2739" s="333"/>
      <c r="D2739" s="332"/>
      <c r="E2739" s="332"/>
      <c r="F2739" s="332"/>
      <c r="G2739" s="332"/>
      <c r="H2739" s="332"/>
      <c r="I2739" s="332"/>
    </row>
    <row r="2740" spans="2:9" x14ac:dyDescent="0.3">
      <c r="B2740" s="332"/>
      <c r="C2740" s="333"/>
      <c r="D2740" s="332"/>
      <c r="E2740" s="333"/>
      <c r="F2740" s="336"/>
      <c r="G2740" s="334"/>
      <c r="H2740" s="334"/>
      <c r="I2740" s="334"/>
    </row>
    <row r="2741" spans="2:9" x14ac:dyDescent="0.3">
      <c r="B2741" s="332"/>
      <c r="C2741" s="333"/>
      <c r="D2741" s="332"/>
      <c r="E2741" s="333"/>
      <c r="F2741" s="334"/>
      <c r="G2741" s="332"/>
      <c r="H2741" s="334" t="s">
        <v>628</v>
      </c>
      <c r="I2741" s="334">
        <f>SUM(H2740)</f>
        <v>0</v>
      </c>
    </row>
    <row r="2742" spans="2:9" x14ac:dyDescent="0.3">
      <c r="B2742" s="332" t="s">
        <v>635</v>
      </c>
      <c r="C2742" s="333"/>
      <c r="D2742" s="332"/>
      <c r="E2742" s="333"/>
      <c r="F2742" s="334"/>
      <c r="G2742" s="332"/>
      <c r="H2742" s="334"/>
      <c r="I2742" s="334"/>
    </row>
    <row r="2743" spans="2:9" x14ac:dyDescent="0.3">
      <c r="B2743" s="332" t="s">
        <v>636</v>
      </c>
      <c r="C2743" s="333"/>
      <c r="D2743" s="332"/>
      <c r="E2743" s="333" t="s">
        <v>637</v>
      </c>
      <c r="F2743" s="334" t="s">
        <v>638</v>
      </c>
      <c r="G2743" s="332" t="s">
        <v>626</v>
      </c>
      <c r="H2743" s="334" t="s">
        <v>627</v>
      </c>
      <c r="I2743" s="334"/>
    </row>
    <row r="2744" spans="2:9" ht="28.8" x14ac:dyDescent="0.3">
      <c r="B2744" s="342" t="s">
        <v>702</v>
      </c>
      <c r="C2744" s="333"/>
      <c r="D2744" s="332"/>
      <c r="E2744" s="346">
        <v>168000</v>
      </c>
      <c r="F2744" s="344">
        <v>1.8</v>
      </c>
      <c r="G2744" s="347">
        <v>6.4340425510279111</v>
      </c>
      <c r="H2744" s="344">
        <f>E2744*F2744/G2744</f>
        <v>47000.000015804711</v>
      </c>
      <c r="I2744" s="344"/>
    </row>
    <row r="2745" spans="2:9" x14ac:dyDescent="0.3">
      <c r="B2745" s="332"/>
      <c r="C2745" s="333"/>
      <c r="D2745" s="332"/>
      <c r="E2745" s="333"/>
      <c r="F2745" s="334"/>
      <c r="G2745" s="332"/>
      <c r="H2745" s="334" t="s">
        <v>628</v>
      </c>
      <c r="I2745" s="334">
        <f>H2744</f>
        <v>47000.000015804711</v>
      </c>
    </row>
    <row r="2746" spans="2:9" x14ac:dyDescent="0.3">
      <c r="B2746" s="332"/>
      <c r="C2746" s="333"/>
      <c r="D2746" s="332"/>
      <c r="E2746" s="333"/>
      <c r="F2746" s="334"/>
      <c r="G2746" s="332"/>
      <c r="H2746" s="330" t="s">
        <v>640</v>
      </c>
      <c r="I2746" s="330">
        <f>I2745+I2737+I2730+I2741</f>
        <v>50000.000015804711</v>
      </c>
    </row>
    <row r="2748" spans="2:9" ht="43.2" x14ac:dyDescent="0.3">
      <c r="B2748" s="339" t="s">
        <v>784</v>
      </c>
      <c r="C2748" s="339" t="s">
        <v>621</v>
      </c>
      <c r="D2748" s="341" t="s">
        <v>557</v>
      </c>
      <c r="E2748" s="339"/>
      <c r="F2748" s="340"/>
      <c r="G2748" s="340" t="s">
        <v>622</v>
      </c>
      <c r="H2748" s="340" t="s">
        <v>33</v>
      </c>
      <c r="I2748" s="340">
        <f>+ROUND(I2771,0)</f>
        <v>30000</v>
      </c>
    </row>
    <row r="2749" spans="2:9" x14ac:dyDescent="0.3">
      <c r="B2749" s="332" t="s">
        <v>623</v>
      </c>
      <c r="C2749" s="333"/>
      <c r="D2749" s="332"/>
      <c r="E2749" s="333"/>
      <c r="F2749" s="334"/>
      <c r="G2749" s="332"/>
      <c r="H2749" s="334"/>
      <c r="I2749" s="334"/>
    </row>
    <row r="2750" spans="2:9" x14ac:dyDescent="0.3">
      <c r="B2750" s="332" t="s">
        <v>271</v>
      </c>
      <c r="C2750" s="333"/>
      <c r="D2750" s="332"/>
      <c r="E2750" s="333" t="s">
        <v>624</v>
      </c>
      <c r="F2750" s="334" t="s">
        <v>625</v>
      </c>
      <c r="G2750" s="332" t="s">
        <v>626</v>
      </c>
      <c r="H2750" s="334" t="s">
        <v>627</v>
      </c>
      <c r="I2750" s="334"/>
    </row>
    <row r="2751" spans="2:9" x14ac:dyDescent="0.3">
      <c r="B2751" s="332" t="s">
        <v>701</v>
      </c>
      <c r="C2751" s="333"/>
      <c r="D2751" s="332"/>
      <c r="E2751" s="333" t="s">
        <v>644</v>
      </c>
      <c r="F2751" s="334">
        <v>1500</v>
      </c>
      <c r="G2751" s="335">
        <v>2</v>
      </c>
      <c r="H2751" s="334">
        <f>F2751*G2751</f>
        <v>3000</v>
      </c>
      <c r="I2751" s="334"/>
    </row>
    <row r="2752" spans="2:9" x14ac:dyDescent="0.3">
      <c r="B2752" s="332"/>
      <c r="C2752" s="333"/>
      <c r="D2752" s="332"/>
      <c r="E2752" s="333"/>
      <c r="F2752" s="334"/>
      <c r="G2752" s="335"/>
      <c r="H2752" s="334"/>
      <c r="I2752" s="334"/>
    </row>
    <row r="2753" spans="2:9" x14ac:dyDescent="0.3">
      <c r="B2753" s="332"/>
      <c r="C2753" s="333"/>
      <c r="D2753" s="332"/>
      <c r="E2753" s="333"/>
      <c r="F2753" s="334"/>
      <c r="G2753" s="335"/>
      <c r="H2753" s="334"/>
      <c r="I2753" s="334"/>
    </row>
    <row r="2754" spans="2:9" x14ac:dyDescent="0.3">
      <c r="B2754" s="332"/>
      <c r="C2754" s="333"/>
      <c r="D2754" s="332"/>
      <c r="E2754" s="333"/>
      <c r="F2754" s="334"/>
      <c r="G2754" s="332"/>
      <c r="H2754" s="334" t="s">
        <v>628</v>
      </c>
      <c r="I2754" s="334">
        <f>SUM(H2751:H2753)</f>
        <v>3000</v>
      </c>
    </row>
    <row r="2755" spans="2:9" x14ac:dyDescent="0.3">
      <c r="B2755" s="332" t="s">
        <v>629</v>
      </c>
      <c r="C2755" s="333"/>
      <c r="D2755" s="332"/>
      <c r="E2755" s="333"/>
      <c r="F2755" s="334"/>
      <c r="G2755" s="332"/>
      <c r="H2755" s="334"/>
      <c r="I2755" s="334"/>
    </row>
    <row r="2756" spans="2:9" x14ac:dyDescent="0.3">
      <c r="B2756" s="332" t="s">
        <v>271</v>
      </c>
      <c r="C2756" s="333"/>
      <c r="D2756" s="332"/>
      <c r="E2756" s="333" t="s">
        <v>624</v>
      </c>
      <c r="F2756" s="334" t="s">
        <v>630</v>
      </c>
      <c r="G2756" s="332" t="s">
        <v>631</v>
      </c>
      <c r="H2756" s="334" t="s">
        <v>627</v>
      </c>
      <c r="I2756" s="334"/>
    </row>
    <row r="2757" spans="2:9" x14ac:dyDescent="0.3">
      <c r="B2757" s="348" t="s">
        <v>716</v>
      </c>
      <c r="C2757" s="333"/>
      <c r="D2757" s="332"/>
      <c r="E2757" s="343" t="s">
        <v>33</v>
      </c>
      <c r="F2757" s="344">
        <v>16150</v>
      </c>
      <c r="G2757" s="345">
        <v>1</v>
      </c>
      <c r="H2757" s="344">
        <f>F2757*G2757</f>
        <v>16150</v>
      </c>
      <c r="I2757" s="344"/>
    </row>
    <row r="2758" spans="2:9" x14ac:dyDescent="0.3">
      <c r="B2758" s="332"/>
      <c r="C2758" s="333"/>
      <c r="D2758" s="332"/>
      <c r="E2758" s="333"/>
      <c r="F2758" s="334"/>
      <c r="G2758" s="332"/>
      <c r="H2758" s="344">
        <f>F2758*G2758</f>
        <v>0</v>
      </c>
      <c r="I2758" s="334"/>
    </row>
    <row r="2759" spans="2:9" x14ac:dyDescent="0.3">
      <c r="B2759" s="332"/>
      <c r="C2759" s="333"/>
      <c r="D2759" s="332"/>
      <c r="E2759" s="333"/>
      <c r="F2759" s="334"/>
      <c r="G2759" s="332"/>
      <c r="H2759" s="344">
        <f>F2759*G2759</f>
        <v>0</v>
      </c>
      <c r="I2759" s="334"/>
    </row>
    <row r="2760" spans="2:9" x14ac:dyDescent="0.3">
      <c r="B2760" s="332"/>
      <c r="C2760" s="333"/>
      <c r="D2760" s="332"/>
      <c r="E2760" s="333"/>
      <c r="F2760" s="334"/>
      <c r="G2760" s="332"/>
      <c r="H2760" s="344">
        <f>F2760*G2760</f>
        <v>0</v>
      </c>
      <c r="I2760" s="334"/>
    </row>
    <row r="2761" spans="2:9" x14ac:dyDescent="0.3">
      <c r="B2761" s="332"/>
      <c r="C2761" s="333"/>
      <c r="D2761" s="332"/>
      <c r="E2761" s="333"/>
      <c r="F2761" s="334"/>
      <c r="G2761" s="332"/>
      <c r="H2761" s="334"/>
      <c r="I2761" s="334"/>
    </row>
    <row r="2762" spans="2:9" x14ac:dyDescent="0.3">
      <c r="B2762" s="332"/>
      <c r="C2762" s="333"/>
      <c r="D2762" s="332"/>
      <c r="E2762" s="333"/>
      <c r="F2762" s="334"/>
      <c r="G2762" s="332"/>
      <c r="H2762" s="334" t="s">
        <v>628</v>
      </c>
      <c r="I2762" s="334">
        <f>SUM(H2757:H2761)</f>
        <v>16150</v>
      </c>
    </row>
    <row r="2763" spans="2:9" x14ac:dyDescent="0.3">
      <c r="B2763" s="332" t="s">
        <v>632</v>
      </c>
      <c r="C2763" s="333"/>
      <c r="D2763" s="332"/>
      <c r="E2763" s="333" t="s">
        <v>624</v>
      </c>
      <c r="F2763" s="334" t="s">
        <v>633</v>
      </c>
      <c r="G2763" s="332" t="s">
        <v>634</v>
      </c>
      <c r="H2763" s="334" t="s">
        <v>627</v>
      </c>
      <c r="I2763" s="334"/>
    </row>
    <row r="2764" spans="2:9" x14ac:dyDescent="0.3">
      <c r="B2764" s="332"/>
      <c r="C2764" s="333"/>
      <c r="D2764" s="332"/>
      <c r="E2764" s="332"/>
      <c r="F2764" s="332"/>
      <c r="G2764" s="332"/>
      <c r="H2764" s="332"/>
      <c r="I2764" s="332"/>
    </row>
    <row r="2765" spans="2:9" x14ac:dyDescent="0.3">
      <c r="B2765" s="332"/>
      <c r="C2765" s="333"/>
      <c r="D2765" s="332"/>
      <c r="E2765" s="333"/>
      <c r="F2765" s="336"/>
      <c r="G2765" s="334"/>
      <c r="H2765" s="334"/>
      <c r="I2765" s="334"/>
    </row>
    <row r="2766" spans="2:9" x14ac:dyDescent="0.3">
      <c r="B2766" s="332"/>
      <c r="C2766" s="333"/>
      <c r="D2766" s="332"/>
      <c r="E2766" s="333"/>
      <c r="F2766" s="334"/>
      <c r="G2766" s="332"/>
      <c r="H2766" s="334" t="s">
        <v>628</v>
      </c>
      <c r="I2766" s="334">
        <f>SUM(H2765)</f>
        <v>0</v>
      </c>
    </row>
    <row r="2767" spans="2:9" x14ac:dyDescent="0.3">
      <c r="B2767" s="332" t="s">
        <v>635</v>
      </c>
      <c r="C2767" s="333"/>
      <c r="D2767" s="332"/>
      <c r="E2767" s="333"/>
      <c r="F2767" s="334"/>
      <c r="G2767" s="332"/>
      <c r="H2767" s="334" t="s">
        <v>627</v>
      </c>
      <c r="I2767" s="334"/>
    </row>
    <row r="2768" spans="2:9" x14ac:dyDescent="0.3">
      <c r="B2768" s="332" t="s">
        <v>636</v>
      </c>
      <c r="C2768" s="333"/>
      <c r="D2768" s="332"/>
      <c r="E2768" s="333" t="s">
        <v>637</v>
      </c>
      <c r="F2768" s="334" t="s">
        <v>638</v>
      </c>
      <c r="G2768" s="332" t="s">
        <v>626</v>
      </c>
      <c r="I2768" s="334"/>
    </row>
    <row r="2769" spans="2:9" ht="28.8" x14ac:dyDescent="0.3">
      <c r="B2769" s="342" t="s">
        <v>702</v>
      </c>
      <c r="C2769" s="333"/>
      <c r="D2769" s="332"/>
      <c r="E2769" s="346">
        <v>168000</v>
      </c>
      <c r="F2769" s="344">
        <v>1.8</v>
      </c>
      <c r="G2769" s="347">
        <v>27.870967730580528</v>
      </c>
      <c r="H2769" s="344">
        <f>E2769*F2769/G2769</f>
        <v>10850.000004420415</v>
      </c>
      <c r="I2769" s="344"/>
    </row>
    <row r="2770" spans="2:9" x14ac:dyDescent="0.3">
      <c r="B2770" s="332"/>
      <c r="C2770" s="333"/>
      <c r="D2770" s="332"/>
      <c r="E2770" s="333"/>
      <c r="F2770" s="334"/>
      <c r="G2770" s="332"/>
      <c r="H2770" s="334" t="s">
        <v>628</v>
      </c>
      <c r="I2770" s="334">
        <f>H2769</f>
        <v>10850.000004420415</v>
      </c>
    </row>
    <row r="2771" spans="2:9" x14ac:dyDescent="0.3">
      <c r="B2771" s="332"/>
      <c r="C2771" s="333"/>
      <c r="D2771" s="332"/>
      <c r="E2771" s="333"/>
      <c r="F2771" s="334"/>
      <c r="G2771" s="332"/>
      <c r="H2771" s="330" t="s">
        <v>640</v>
      </c>
      <c r="I2771" s="330">
        <f>I2770+I2762+I2754+I2766</f>
        <v>30000.000004420413</v>
      </c>
    </row>
    <row r="2773" spans="2:9" ht="115.2" x14ac:dyDescent="0.3">
      <c r="B2773" s="339" t="s">
        <v>785</v>
      </c>
      <c r="C2773" s="339" t="s">
        <v>621</v>
      </c>
      <c r="D2773" s="341" t="s">
        <v>722</v>
      </c>
      <c r="E2773" s="339"/>
      <c r="F2773" s="340"/>
      <c r="G2773" s="340" t="s">
        <v>622</v>
      </c>
      <c r="H2773" s="340" t="s">
        <v>93</v>
      </c>
      <c r="I2773" s="340">
        <f>+ROUND(I2797,0)</f>
        <v>45000</v>
      </c>
    </row>
    <row r="2774" spans="2:9" x14ac:dyDescent="0.3">
      <c r="B2774" s="332" t="s">
        <v>623</v>
      </c>
      <c r="C2774" s="333"/>
      <c r="D2774" s="332"/>
      <c r="E2774" s="333"/>
      <c r="F2774" s="334"/>
      <c r="G2774" s="332"/>
      <c r="H2774" s="334"/>
      <c r="I2774" s="334"/>
    </row>
    <row r="2775" spans="2:9" x14ac:dyDescent="0.3">
      <c r="B2775" s="332" t="s">
        <v>271</v>
      </c>
      <c r="C2775" s="333"/>
      <c r="D2775" s="332"/>
      <c r="E2775" s="333" t="s">
        <v>624</v>
      </c>
      <c r="F2775" s="334" t="s">
        <v>625</v>
      </c>
      <c r="G2775" s="332" t="s">
        <v>626</v>
      </c>
      <c r="H2775" s="334" t="s">
        <v>627</v>
      </c>
      <c r="I2775" s="334"/>
    </row>
    <row r="2776" spans="2:9" x14ac:dyDescent="0.3">
      <c r="B2776" s="332" t="s">
        <v>701</v>
      </c>
      <c r="C2776" s="333"/>
      <c r="D2776" s="332"/>
      <c r="E2776" s="333" t="s">
        <v>644</v>
      </c>
      <c r="F2776" s="334">
        <v>1500</v>
      </c>
      <c r="G2776" s="335">
        <v>2</v>
      </c>
      <c r="H2776" s="334">
        <f>F2776*G2776</f>
        <v>3000</v>
      </c>
      <c r="I2776" s="334"/>
    </row>
    <row r="2777" spans="2:9" x14ac:dyDescent="0.3">
      <c r="B2777" s="332"/>
      <c r="C2777" s="333"/>
      <c r="D2777" s="332"/>
      <c r="E2777" s="333"/>
      <c r="F2777" s="334"/>
      <c r="G2777" s="335"/>
      <c r="H2777" s="334"/>
      <c r="I2777" s="334"/>
    </row>
    <row r="2778" spans="2:9" x14ac:dyDescent="0.3">
      <c r="B2778" s="332"/>
      <c r="C2778" s="333"/>
      <c r="D2778" s="332"/>
      <c r="E2778" s="333"/>
      <c r="F2778" s="334"/>
      <c r="G2778" s="335"/>
      <c r="H2778" s="334"/>
      <c r="I2778" s="334"/>
    </row>
    <row r="2779" spans="2:9" x14ac:dyDescent="0.3">
      <c r="B2779" s="332"/>
      <c r="C2779" s="333"/>
      <c r="D2779" s="332"/>
      <c r="E2779" s="333"/>
      <c r="F2779" s="334"/>
      <c r="G2779" s="332"/>
      <c r="H2779" s="334" t="s">
        <v>628</v>
      </c>
      <c r="I2779" s="334">
        <f>SUM(H2776:H2778)</f>
        <v>3000</v>
      </c>
    </row>
    <row r="2780" spans="2:9" x14ac:dyDescent="0.3">
      <c r="B2780" s="332" t="s">
        <v>629</v>
      </c>
      <c r="C2780" s="333"/>
      <c r="D2780" s="332"/>
      <c r="E2780" s="333"/>
      <c r="F2780" s="334"/>
      <c r="G2780" s="332"/>
      <c r="H2780" s="334"/>
      <c r="I2780" s="334"/>
    </row>
    <row r="2781" spans="2:9" x14ac:dyDescent="0.3">
      <c r="B2781" s="332" t="s">
        <v>271</v>
      </c>
      <c r="C2781" s="333"/>
      <c r="D2781" s="332"/>
      <c r="E2781" s="333" t="s">
        <v>624</v>
      </c>
      <c r="F2781" s="334" t="s">
        <v>630</v>
      </c>
      <c r="G2781" s="332" t="s">
        <v>631</v>
      </c>
      <c r="H2781" s="334" t="s">
        <v>627</v>
      </c>
      <c r="I2781" s="334"/>
    </row>
    <row r="2782" spans="2:9" x14ac:dyDescent="0.3">
      <c r="B2782" s="332" t="s">
        <v>723</v>
      </c>
      <c r="C2782" s="333"/>
      <c r="D2782" s="332"/>
      <c r="E2782" s="333" t="s">
        <v>93</v>
      </c>
      <c r="F2782" s="334">
        <v>10500</v>
      </c>
      <c r="G2782" s="332">
        <v>1.1000000000000001</v>
      </c>
      <c r="H2782" s="344">
        <f>F2782*G2782</f>
        <v>11550.000000000002</v>
      </c>
      <c r="I2782" s="344"/>
    </row>
    <row r="2783" spans="2:9" x14ac:dyDescent="0.3">
      <c r="B2783" s="332" t="s">
        <v>720</v>
      </c>
      <c r="C2783" s="333"/>
      <c r="D2783" s="332"/>
      <c r="E2783" s="333" t="s">
        <v>93</v>
      </c>
      <c r="F2783" s="334">
        <v>2500</v>
      </c>
      <c r="G2783" s="332">
        <v>2.2000000000000002</v>
      </c>
      <c r="H2783" s="344">
        <f>F2783*G2783</f>
        <v>5500</v>
      </c>
      <c r="I2783" s="334"/>
    </row>
    <row r="2784" spans="2:9" x14ac:dyDescent="0.3">
      <c r="B2784" s="332" t="s">
        <v>721</v>
      </c>
      <c r="C2784" s="333"/>
      <c r="D2784" s="332"/>
      <c r="E2784" s="333" t="s">
        <v>93</v>
      </c>
      <c r="F2784" s="334">
        <v>2500</v>
      </c>
      <c r="G2784" s="332">
        <v>1.1000000000000001</v>
      </c>
      <c r="H2784" s="344">
        <f>F2784*G2784</f>
        <v>2750</v>
      </c>
      <c r="I2784" s="334"/>
    </row>
    <row r="2785" spans="2:9" x14ac:dyDescent="0.3">
      <c r="B2785" s="332" t="s">
        <v>713</v>
      </c>
      <c r="C2785" s="333"/>
      <c r="D2785" s="332"/>
      <c r="E2785" s="333" t="s">
        <v>33</v>
      </c>
      <c r="F2785" s="334">
        <v>9900</v>
      </c>
      <c r="G2785" s="332">
        <v>0.05</v>
      </c>
      <c r="H2785" s="344">
        <f>F2785*G2785</f>
        <v>495</v>
      </c>
      <c r="I2785" s="334"/>
    </row>
    <row r="2786" spans="2:9" x14ac:dyDescent="0.3">
      <c r="B2786" s="332"/>
      <c r="C2786" s="333"/>
      <c r="D2786" s="332"/>
      <c r="E2786" s="333"/>
      <c r="F2786" s="334"/>
      <c r="G2786" s="332"/>
      <c r="H2786" s="344">
        <f>F2786*G2786</f>
        <v>0</v>
      </c>
      <c r="I2786" s="334"/>
    </row>
    <row r="2787" spans="2:9" x14ac:dyDescent="0.3">
      <c r="B2787" s="332"/>
      <c r="C2787" s="333"/>
      <c r="D2787" s="332"/>
      <c r="E2787" s="333"/>
      <c r="F2787" s="334"/>
      <c r="G2787" s="332"/>
      <c r="H2787" s="334"/>
      <c r="I2787" s="334"/>
    </row>
    <row r="2788" spans="2:9" x14ac:dyDescent="0.3">
      <c r="B2788" s="332"/>
      <c r="C2788" s="333"/>
      <c r="D2788" s="332"/>
      <c r="E2788" s="333"/>
      <c r="F2788" s="334"/>
      <c r="G2788" s="332"/>
      <c r="H2788" s="334" t="s">
        <v>628</v>
      </c>
      <c r="I2788" s="334">
        <f>SUM(H2782:H2787)</f>
        <v>20295</v>
      </c>
    </row>
    <row r="2789" spans="2:9" x14ac:dyDescent="0.3">
      <c r="B2789" s="332" t="s">
        <v>632</v>
      </c>
      <c r="C2789" s="333"/>
      <c r="D2789" s="332"/>
      <c r="E2789" s="333" t="s">
        <v>624</v>
      </c>
      <c r="F2789" s="334" t="s">
        <v>633</v>
      </c>
      <c r="G2789" s="332" t="s">
        <v>634</v>
      </c>
      <c r="H2789" s="334" t="s">
        <v>627</v>
      </c>
      <c r="I2789" s="334"/>
    </row>
    <row r="2790" spans="2:9" x14ac:dyDescent="0.3">
      <c r="B2790" s="332"/>
      <c r="C2790" s="333"/>
      <c r="D2790" s="332"/>
      <c r="E2790" s="332"/>
      <c r="F2790" s="332"/>
      <c r="G2790" s="332"/>
      <c r="H2790" s="332"/>
      <c r="I2790" s="332"/>
    </row>
    <row r="2791" spans="2:9" x14ac:dyDescent="0.3">
      <c r="B2791" s="332"/>
      <c r="C2791" s="333"/>
      <c r="D2791" s="332"/>
      <c r="E2791" s="333"/>
      <c r="F2791" s="336"/>
      <c r="G2791" s="334"/>
      <c r="H2791" s="334"/>
      <c r="I2791" s="334"/>
    </row>
    <row r="2792" spans="2:9" x14ac:dyDescent="0.3">
      <c r="B2792" s="332"/>
      <c r="C2792" s="333"/>
      <c r="D2792" s="332"/>
      <c r="E2792" s="333"/>
      <c r="F2792" s="334"/>
      <c r="G2792" s="332"/>
      <c r="H2792" s="334" t="s">
        <v>628</v>
      </c>
      <c r="I2792" s="334">
        <f>SUM(H2791)</f>
        <v>0</v>
      </c>
    </row>
    <row r="2793" spans="2:9" x14ac:dyDescent="0.3">
      <c r="B2793" s="332" t="s">
        <v>635</v>
      </c>
      <c r="C2793" s="333"/>
      <c r="D2793" s="332"/>
      <c r="E2793" s="333"/>
      <c r="F2793" s="334"/>
      <c r="G2793" s="332"/>
      <c r="H2793" s="334" t="s">
        <v>627</v>
      </c>
      <c r="I2793" s="334"/>
    </row>
    <row r="2794" spans="2:9" x14ac:dyDescent="0.3">
      <c r="B2794" s="332" t="s">
        <v>636</v>
      </c>
      <c r="C2794" s="333"/>
      <c r="D2794" s="332"/>
      <c r="E2794" s="333" t="s">
        <v>637</v>
      </c>
      <c r="F2794" s="334" t="s">
        <v>638</v>
      </c>
      <c r="G2794" s="332" t="s">
        <v>626</v>
      </c>
      <c r="I2794" s="334"/>
    </row>
    <row r="2795" spans="2:9" ht="28.8" x14ac:dyDescent="0.3">
      <c r="B2795" s="342" t="s">
        <v>702</v>
      </c>
      <c r="C2795" s="333"/>
      <c r="D2795" s="332"/>
      <c r="E2795" s="346">
        <v>168000</v>
      </c>
      <c r="F2795" s="344">
        <v>1.8</v>
      </c>
      <c r="G2795" s="347">
        <v>13.932273669712291</v>
      </c>
      <c r="H2795" s="344">
        <f>E2795*F2795/G2795</f>
        <v>21704.999999920667</v>
      </c>
      <c r="I2795" s="344"/>
    </row>
    <row r="2796" spans="2:9" x14ac:dyDescent="0.3">
      <c r="B2796" s="332"/>
      <c r="C2796" s="333"/>
      <c r="D2796" s="332"/>
      <c r="E2796" s="333"/>
      <c r="F2796" s="334"/>
      <c r="G2796" s="332"/>
      <c r="H2796" s="334" t="s">
        <v>628</v>
      </c>
      <c r="I2796" s="334">
        <f>H2795</f>
        <v>21704.999999920667</v>
      </c>
    </row>
    <row r="2797" spans="2:9" x14ac:dyDescent="0.3">
      <c r="B2797" s="332"/>
      <c r="C2797" s="333"/>
      <c r="D2797" s="332"/>
      <c r="E2797" s="333"/>
      <c r="F2797" s="334"/>
      <c r="G2797" s="332"/>
      <c r="H2797" s="330" t="s">
        <v>640</v>
      </c>
      <c r="I2797" s="330">
        <f>I2796+I2788+I2779+I2792</f>
        <v>44999.999999920663</v>
      </c>
    </row>
    <row r="2799" spans="2:9" ht="129.6" x14ac:dyDescent="0.3">
      <c r="B2799" s="339" t="s">
        <v>786</v>
      </c>
      <c r="C2799" s="339" t="s">
        <v>621</v>
      </c>
      <c r="D2799" s="341" t="s">
        <v>555</v>
      </c>
      <c r="E2799" s="339"/>
      <c r="F2799" s="340"/>
      <c r="G2799" s="340" t="s">
        <v>622</v>
      </c>
      <c r="H2799" s="340" t="s">
        <v>102</v>
      </c>
      <c r="I2799" s="340">
        <f>+ROUND(I2822,0)</f>
        <v>100000</v>
      </c>
    </row>
    <row r="2800" spans="2:9" x14ac:dyDescent="0.3">
      <c r="B2800" s="332" t="s">
        <v>623</v>
      </c>
      <c r="C2800" s="333"/>
      <c r="D2800" s="332"/>
      <c r="E2800" s="333"/>
      <c r="F2800" s="334"/>
      <c r="G2800" s="332"/>
      <c r="H2800" s="334"/>
      <c r="I2800" s="334"/>
    </row>
    <row r="2801" spans="2:9" x14ac:dyDescent="0.3">
      <c r="B2801" s="332" t="s">
        <v>271</v>
      </c>
      <c r="C2801" s="333"/>
      <c r="D2801" s="332"/>
      <c r="E2801" s="333" t="s">
        <v>624</v>
      </c>
      <c r="F2801" s="334" t="s">
        <v>625</v>
      </c>
      <c r="G2801" s="332" t="s">
        <v>626</v>
      </c>
      <c r="H2801" s="334" t="s">
        <v>627</v>
      </c>
      <c r="I2801" s="334"/>
    </row>
    <row r="2802" spans="2:9" x14ac:dyDescent="0.3">
      <c r="B2802" s="332" t="s">
        <v>701</v>
      </c>
      <c r="C2802" s="333"/>
      <c r="D2802" s="332"/>
      <c r="E2802" s="333" t="s">
        <v>644</v>
      </c>
      <c r="F2802" s="334">
        <v>1500</v>
      </c>
      <c r="G2802" s="335">
        <v>2</v>
      </c>
      <c r="H2802" s="334">
        <f>F2802*G2802</f>
        <v>3000</v>
      </c>
      <c r="I2802" s="334"/>
    </row>
    <row r="2803" spans="2:9" x14ac:dyDescent="0.3">
      <c r="B2803" s="332"/>
      <c r="C2803" s="333"/>
      <c r="D2803" s="332"/>
      <c r="E2803" s="333"/>
      <c r="F2803" s="334"/>
      <c r="G2803" s="335"/>
      <c r="H2803" s="334"/>
      <c r="I2803" s="334"/>
    </row>
    <row r="2804" spans="2:9" x14ac:dyDescent="0.3">
      <c r="B2804" s="332"/>
      <c r="C2804" s="333"/>
      <c r="D2804" s="332"/>
      <c r="E2804" s="333"/>
      <c r="F2804" s="334"/>
      <c r="G2804" s="335"/>
      <c r="H2804" s="334"/>
      <c r="I2804" s="334"/>
    </row>
    <row r="2805" spans="2:9" x14ac:dyDescent="0.3">
      <c r="B2805" s="332"/>
      <c r="C2805" s="333"/>
      <c r="D2805" s="332"/>
      <c r="E2805" s="333"/>
      <c r="F2805" s="334"/>
      <c r="G2805" s="332"/>
      <c r="H2805" s="334" t="s">
        <v>628</v>
      </c>
      <c r="I2805" s="334">
        <f>SUM(H2802:H2804)</f>
        <v>3000</v>
      </c>
    </row>
    <row r="2806" spans="2:9" x14ac:dyDescent="0.3">
      <c r="B2806" s="332" t="s">
        <v>629</v>
      </c>
      <c r="C2806" s="333"/>
      <c r="D2806" s="332"/>
      <c r="E2806" s="333"/>
      <c r="F2806" s="334"/>
      <c r="G2806" s="332"/>
      <c r="H2806" s="334"/>
      <c r="I2806" s="334"/>
    </row>
    <row r="2807" spans="2:9" x14ac:dyDescent="0.3">
      <c r="B2807" s="332" t="s">
        <v>271</v>
      </c>
      <c r="C2807" s="333"/>
      <c r="D2807" s="332"/>
      <c r="E2807" s="333" t="s">
        <v>624</v>
      </c>
      <c r="F2807" s="334" t="s">
        <v>630</v>
      </c>
      <c r="G2807" s="332" t="s">
        <v>631</v>
      </c>
      <c r="H2807" s="334" t="s">
        <v>627</v>
      </c>
      <c r="I2807" s="334"/>
    </row>
    <row r="2808" spans="2:9" x14ac:dyDescent="0.3">
      <c r="B2808" s="332" t="s">
        <v>723</v>
      </c>
      <c r="C2808" s="333"/>
      <c r="D2808" s="332"/>
      <c r="E2808" s="333" t="s">
        <v>93</v>
      </c>
      <c r="F2808" s="334">
        <v>10500</v>
      </c>
      <c r="G2808" s="332">
        <v>2</v>
      </c>
      <c r="H2808" s="344">
        <f>F2808*G2808</f>
        <v>21000</v>
      </c>
      <c r="I2808" s="344"/>
    </row>
    <row r="2809" spans="2:9" x14ac:dyDescent="0.3">
      <c r="B2809" s="332" t="s">
        <v>721</v>
      </c>
      <c r="C2809" s="333"/>
      <c r="D2809" s="332"/>
      <c r="E2809" s="333" t="s">
        <v>93</v>
      </c>
      <c r="F2809" s="334">
        <v>2500</v>
      </c>
      <c r="G2809" s="332">
        <v>5</v>
      </c>
      <c r="H2809" s="344">
        <f>F2809*G2809</f>
        <v>12500</v>
      </c>
      <c r="I2809" s="334"/>
    </row>
    <row r="2810" spans="2:9" x14ac:dyDescent="0.3">
      <c r="B2810" s="332" t="s">
        <v>713</v>
      </c>
      <c r="C2810" s="333"/>
      <c r="D2810" s="332"/>
      <c r="E2810" s="333" t="s">
        <v>33</v>
      </c>
      <c r="F2810" s="334">
        <v>9900</v>
      </c>
      <c r="G2810" s="332">
        <v>1</v>
      </c>
      <c r="H2810" s="344">
        <f>F2810*G2810</f>
        <v>9900</v>
      </c>
      <c r="I2810" s="334"/>
    </row>
    <row r="2811" spans="2:9" x14ac:dyDescent="0.3">
      <c r="B2811" s="332"/>
      <c r="C2811" s="333"/>
      <c r="D2811" s="332"/>
      <c r="E2811" s="333"/>
      <c r="F2811" s="334"/>
      <c r="G2811" s="332"/>
      <c r="H2811" s="344"/>
      <c r="I2811" s="334"/>
    </row>
    <row r="2812" spans="2:9" x14ac:dyDescent="0.3">
      <c r="B2812" s="332"/>
      <c r="C2812" s="333"/>
      <c r="D2812" s="332"/>
      <c r="E2812" s="333"/>
      <c r="F2812" s="334"/>
      <c r="G2812" s="332"/>
      <c r="H2812" s="334"/>
      <c r="I2812" s="334"/>
    </row>
    <row r="2813" spans="2:9" x14ac:dyDescent="0.3">
      <c r="B2813" s="332"/>
      <c r="C2813" s="333"/>
      <c r="D2813" s="332"/>
      <c r="E2813" s="333"/>
      <c r="F2813" s="334"/>
      <c r="G2813" s="332"/>
      <c r="H2813" s="334" t="s">
        <v>628</v>
      </c>
      <c r="I2813" s="334">
        <f>SUM(H2808:H2812)</f>
        <v>43400</v>
      </c>
    </row>
    <row r="2814" spans="2:9" x14ac:dyDescent="0.3">
      <c r="B2814" s="332" t="s">
        <v>632</v>
      </c>
      <c r="C2814" s="333"/>
      <c r="D2814" s="332"/>
      <c r="E2814" s="333" t="s">
        <v>624</v>
      </c>
      <c r="F2814" s="334" t="s">
        <v>633</v>
      </c>
      <c r="G2814" s="332" t="s">
        <v>634</v>
      </c>
      <c r="H2814" s="334" t="s">
        <v>627</v>
      </c>
      <c r="I2814" s="334"/>
    </row>
    <row r="2815" spans="2:9" x14ac:dyDescent="0.3">
      <c r="B2815" s="332"/>
      <c r="C2815" s="333"/>
      <c r="D2815" s="332"/>
      <c r="E2815" s="332"/>
      <c r="F2815" s="332"/>
      <c r="G2815" s="332"/>
      <c r="H2815" s="332"/>
      <c r="I2815" s="332"/>
    </row>
    <row r="2816" spans="2:9" x14ac:dyDescent="0.3">
      <c r="B2816" s="332"/>
      <c r="C2816" s="333"/>
      <c r="D2816" s="332"/>
      <c r="E2816" s="333"/>
      <c r="F2816" s="336"/>
      <c r="G2816" s="334"/>
      <c r="H2816" s="334"/>
      <c r="I2816" s="334"/>
    </row>
    <row r="2817" spans="2:9" x14ac:dyDescent="0.3">
      <c r="B2817" s="332"/>
      <c r="C2817" s="333"/>
      <c r="D2817" s="332"/>
      <c r="E2817" s="333"/>
      <c r="F2817" s="334"/>
      <c r="G2817" s="332"/>
      <c r="H2817" s="334" t="s">
        <v>628</v>
      </c>
      <c r="I2817" s="334">
        <f>SUM(H2816)</f>
        <v>0</v>
      </c>
    </row>
    <row r="2818" spans="2:9" x14ac:dyDescent="0.3">
      <c r="B2818" s="332" t="s">
        <v>635</v>
      </c>
      <c r="C2818" s="333"/>
      <c r="D2818" s="332"/>
      <c r="E2818" s="333"/>
      <c r="F2818" s="334"/>
      <c r="G2818" s="332"/>
      <c r="H2818" s="334" t="s">
        <v>627</v>
      </c>
      <c r="I2818" s="334"/>
    </row>
    <row r="2819" spans="2:9" x14ac:dyDescent="0.3">
      <c r="B2819" s="332" t="s">
        <v>636</v>
      </c>
      <c r="C2819" s="333"/>
      <c r="D2819" s="332"/>
      <c r="E2819" s="333" t="s">
        <v>637</v>
      </c>
      <c r="F2819" s="334" t="s">
        <v>638</v>
      </c>
      <c r="G2819" s="332" t="s">
        <v>626</v>
      </c>
      <c r="I2819" s="334"/>
    </row>
    <row r="2820" spans="2:9" ht="28.8" x14ac:dyDescent="0.3">
      <c r="B2820" s="342" t="s">
        <v>702</v>
      </c>
      <c r="C2820" s="333"/>
      <c r="D2820" s="332"/>
      <c r="E2820" s="346">
        <v>168000</v>
      </c>
      <c r="F2820" s="344">
        <v>1.8</v>
      </c>
      <c r="G2820" s="347">
        <v>5.6417910447686968</v>
      </c>
      <c r="H2820" s="344">
        <f>E2820*F2820/G2820</f>
        <v>53600.000000070519</v>
      </c>
      <c r="I2820" s="344"/>
    </row>
    <row r="2821" spans="2:9" x14ac:dyDescent="0.3">
      <c r="B2821" s="332"/>
      <c r="C2821" s="333"/>
      <c r="D2821" s="332"/>
      <c r="E2821" s="333"/>
      <c r="F2821" s="334"/>
      <c r="G2821" s="332"/>
      <c r="H2821" s="334" t="s">
        <v>628</v>
      </c>
      <c r="I2821" s="334">
        <f>H2820</f>
        <v>53600.000000070519</v>
      </c>
    </row>
    <row r="2822" spans="2:9" x14ac:dyDescent="0.3">
      <c r="B2822" s="332"/>
      <c r="C2822" s="333"/>
      <c r="D2822" s="332"/>
      <c r="E2822" s="333"/>
      <c r="F2822" s="334"/>
      <c r="G2822" s="332"/>
      <c r="H2822" s="330" t="s">
        <v>640</v>
      </c>
      <c r="I2822" s="330">
        <f>I2821+I2813+I2805+I2817</f>
        <v>100000.00000007052</v>
      </c>
    </row>
    <row r="2824" spans="2:9" x14ac:dyDescent="0.3">
      <c r="B2824" s="339" t="s">
        <v>681</v>
      </c>
      <c r="C2824" s="339" t="s">
        <v>621</v>
      </c>
      <c r="D2824" s="352" t="s">
        <v>503</v>
      </c>
      <c r="E2824" s="329"/>
      <c r="F2824" s="353"/>
      <c r="G2824" s="353" t="s">
        <v>622</v>
      </c>
      <c r="H2824" s="353" t="s">
        <v>641</v>
      </c>
      <c r="I2824" s="340">
        <f>+ROUND(I2846,0)</f>
        <v>600000</v>
      </c>
    </row>
    <row r="2825" spans="2:9" x14ac:dyDescent="0.3">
      <c r="B2825" s="332" t="s">
        <v>623</v>
      </c>
      <c r="C2825" s="333"/>
      <c r="D2825" s="332"/>
      <c r="E2825" s="333"/>
      <c r="F2825" s="334"/>
      <c r="G2825" s="332"/>
      <c r="H2825" s="334"/>
      <c r="I2825" s="334"/>
    </row>
    <row r="2826" spans="2:9" x14ac:dyDescent="0.3">
      <c r="B2826" s="332" t="s">
        <v>271</v>
      </c>
      <c r="C2826" s="333"/>
      <c r="D2826" s="332"/>
      <c r="E2826" s="333" t="s">
        <v>624</v>
      </c>
      <c r="F2826" s="334" t="s">
        <v>625</v>
      </c>
      <c r="G2826" s="332" t="s">
        <v>626</v>
      </c>
      <c r="H2826" s="334" t="s">
        <v>627</v>
      </c>
      <c r="I2826" s="334"/>
    </row>
    <row r="2827" spans="2:9" x14ac:dyDescent="0.3">
      <c r="B2827" s="332" t="s">
        <v>642</v>
      </c>
      <c r="C2827" s="333"/>
      <c r="D2827" s="332"/>
      <c r="E2827" s="333" t="s">
        <v>644</v>
      </c>
      <c r="F2827" s="334">
        <v>1500</v>
      </c>
      <c r="G2827" s="335">
        <v>8</v>
      </c>
      <c r="H2827" s="334">
        <f>F2827*G2827</f>
        <v>12000</v>
      </c>
      <c r="I2827" s="334"/>
    </row>
    <row r="2828" spans="2:9" x14ac:dyDescent="0.3">
      <c r="B2828" s="332"/>
      <c r="C2828" s="333"/>
      <c r="D2828" s="332"/>
      <c r="E2828" s="333"/>
      <c r="F2828" s="334"/>
      <c r="G2828" s="335"/>
      <c r="H2828" s="334"/>
      <c r="I2828" s="334"/>
    </row>
    <row r="2829" spans="2:9" x14ac:dyDescent="0.3">
      <c r="B2829" s="332"/>
      <c r="C2829" s="333"/>
      <c r="D2829" s="332"/>
      <c r="E2829" s="333"/>
      <c r="F2829" s="334"/>
      <c r="G2829" s="335"/>
      <c r="H2829" s="334"/>
      <c r="I2829" s="334"/>
    </row>
    <row r="2830" spans="2:9" x14ac:dyDescent="0.3">
      <c r="B2830" s="332"/>
      <c r="C2830" s="333"/>
      <c r="D2830" s="332"/>
      <c r="E2830" s="333"/>
      <c r="F2830" s="334"/>
      <c r="G2830" s="332"/>
      <c r="H2830" s="334" t="s">
        <v>628</v>
      </c>
      <c r="I2830" s="334">
        <f>SUM(H2827:H2829)</f>
        <v>12000</v>
      </c>
    </row>
    <row r="2831" spans="2:9" x14ac:dyDescent="0.3">
      <c r="B2831" s="332" t="s">
        <v>629</v>
      </c>
      <c r="C2831" s="333"/>
      <c r="D2831" s="332"/>
      <c r="E2831" s="333"/>
      <c r="F2831" s="334"/>
      <c r="G2831" s="332"/>
      <c r="H2831" s="334"/>
      <c r="I2831" s="334"/>
    </row>
    <row r="2832" spans="2:9" x14ac:dyDescent="0.3">
      <c r="B2832" s="332" t="s">
        <v>271</v>
      </c>
      <c r="C2832" s="333"/>
      <c r="D2832" s="332"/>
      <c r="E2832" s="333" t="s">
        <v>624</v>
      </c>
      <c r="F2832" s="334" t="s">
        <v>630</v>
      </c>
      <c r="G2832" s="332" t="s">
        <v>631</v>
      </c>
      <c r="H2832" s="334" t="s">
        <v>627</v>
      </c>
      <c r="I2832" s="334"/>
    </row>
    <row r="2833" spans="2:9" x14ac:dyDescent="0.3">
      <c r="B2833" s="332"/>
      <c r="C2833" s="333"/>
      <c r="D2833" s="332"/>
      <c r="E2833" s="333"/>
      <c r="F2833" s="334"/>
      <c r="G2833" s="332"/>
      <c r="H2833" s="334"/>
      <c r="I2833" s="334"/>
    </row>
    <row r="2834" spans="2:9" x14ac:dyDescent="0.3">
      <c r="B2834" s="332"/>
      <c r="C2834" s="333"/>
      <c r="D2834" s="332"/>
      <c r="E2834" s="333"/>
      <c r="F2834" s="334"/>
      <c r="G2834" s="332"/>
      <c r="H2834" s="334"/>
      <c r="I2834" s="334"/>
    </row>
    <row r="2835" spans="2:9" x14ac:dyDescent="0.3">
      <c r="B2835" s="332"/>
      <c r="C2835" s="333"/>
      <c r="D2835" s="332"/>
      <c r="E2835" s="333"/>
      <c r="F2835" s="334"/>
      <c r="G2835" s="332"/>
      <c r="H2835" s="334"/>
      <c r="I2835" s="334"/>
    </row>
    <row r="2836" spans="2:9" x14ac:dyDescent="0.3">
      <c r="B2836" s="332"/>
      <c r="C2836" s="333"/>
      <c r="D2836" s="332"/>
      <c r="E2836" s="333"/>
      <c r="F2836" s="334"/>
      <c r="G2836" s="332"/>
      <c r="H2836" s="334"/>
      <c r="I2836" s="334"/>
    </row>
    <row r="2837" spans="2:9" x14ac:dyDescent="0.3">
      <c r="B2837" s="332"/>
      <c r="C2837" s="333"/>
      <c r="D2837" s="332"/>
      <c r="E2837" s="333"/>
      <c r="F2837" s="334"/>
      <c r="G2837" s="332"/>
      <c r="H2837" s="334" t="s">
        <v>628</v>
      </c>
      <c r="I2837" s="334">
        <f>SUM(H2833:H2836)</f>
        <v>0</v>
      </c>
    </row>
    <row r="2838" spans="2:9" x14ac:dyDescent="0.3">
      <c r="B2838" s="332" t="s">
        <v>632</v>
      </c>
      <c r="C2838" s="333"/>
      <c r="D2838" s="332"/>
      <c r="E2838" s="333" t="s">
        <v>624</v>
      </c>
      <c r="F2838" s="334" t="s">
        <v>633</v>
      </c>
      <c r="G2838" s="332" t="s">
        <v>634</v>
      </c>
      <c r="H2838" s="334" t="s">
        <v>627</v>
      </c>
      <c r="I2838" s="334"/>
    </row>
    <row r="2839" spans="2:9" x14ac:dyDescent="0.3">
      <c r="B2839" s="332"/>
      <c r="C2839" s="333"/>
      <c r="D2839" s="332"/>
      <c r="E2839" s="332"/>
      <c r="F2839" s="332"/>
      <c r="G2839" s="332"/>
      <c r="H2839" s="332"/>
      <c r="I2839" s="332"/>
    </row>
    <row r="2840" spans="2:9" x14ac:dyDescent="0.3">
      <c r="B2840" s="332"/>
      <c r="C2840" s="333"/>
      <c r="D2840" s="332"/>
      <c r="E2840" s="333"/>
      <c r="F2840" s="336"/>
      <c r="G2840" s="334"/>
      <c r="H2840" s="334"/>
      <c r="I2840" s="334"/>
    </row>
    <row r="2841" spans="2:9" x14ac:dyDescent="0.3">
      <c r="B2841" s="332"/>
      <c r="C2841" s="333"/>
      <c r="D2841" s="332"/>
      <c r="E2841" s="333"/>
      <c r="F2841" s="334"/>
      <c r="G2841" s="332"/>
      <c r="H2841" s="334" t="s">
        <v>628</v>
      </c>
      <c r="I2841" s="334">
        <f>SUM(H2840)</f>
        <v>0</v>
      </c>
    </row>
    <row r="2842" spans="2:9" x14ac:dyDescent="0.3">
      <c r="B2842" s="332" t="s">
        <v>635</v>
      </c>
      <c r="C2842" s="333"/>
      <c r="D2842" s="332"/>
      <c r="E2842" s="333"/>
      <c r="F2842" s="334"/>
      <c r="G2842" s="332"/>
      <c r="H2842" s="334"/>
      <c r="I2842" s="334"/>
    </row>
    <row r="2843" spans="2:9" x14ac:dyDescent="0.3">
      <c r="B2843" s="332" t="s">
        <v>636</v>
      </c>
      <c r="C2843" s="333"/>
      <c r="D2843" s="332"/>
      <c r="E2843" s="333" t="s">
        <v>637</v>
      </c>
      <c r="F2843" s="334" t="s">
        <v>638</v>
      </c>
      <c r="G2843" s="332" t="s">
        <v>639</v>
      </c>
      <c r="H2843" s="334" t="s">
        <v>627</v>
      </c>
      <c r="I2843" s="334"/>
    </row>
    <row r="2844" spans="2:9" x14ac:dyDescent="0.3">
      <c r="B2844" s="332" t="s">
        <v>645</v>
      </c>
      <c r="C2844" s="333"/>
      <c r="D2844" s="332"/>
      <c r="E2844" s="337">
        <v>168000</v>
      </c>
      <c r="F2844" s="334">
        <v>1.8</v>
      </c>
      <c r="G2844" s="335">
        <v>0.51428571417796698</v>
      </c>
      <c r="H2844" s="334">
        <f>E2844*F2844/G2844</f>
        <v>588000.00012319104</v>
      </c>
      <c r="I2844" s="334"/>
    </row>
    <row r="2845" spans="2:9" x14ac:dyDescent="0.3">
      <c r="B2845" s="332"/>
      <c r="C2845" s="333"/>
      <c r="D2845" s="332"/>
      <c r="E2845" s="333"/>
      <c r="F2845" s="334"/>
      <c r="G2845" s="332"/>
      <c r="H2845" s="334" t="s">
        <v>628</v>
      </c>
      <c r="I2845" s="334">
        <f>H2844</f>
        <v>588000.00012319104</v>
      </c>
    </row>
    <row r="2846" spans="2:9" x14ac:dyDescent="0.3">
      <c r="B2846" s="332"/>
      <c r="C2846" s="333"/>
      <c r="D2846" s="332"/>
      <c r="E2846" s="333"/>
      <c r="F2846" s="334"/>
      <c r="G2846" s="332"/>
      <c r="H2846" s="330" t="s">
        <v>640</v>
      </c>
      <c r="I2846" s="330">
        <f>I2845+I2837+I2830+I2841</f>
        <v>600000.00012319104</v>
      </c>
    </row>
    <row r="2848" spans="2:9" x14ac:dyDescent="0.3">
      <c r="B2848" s="358" t="s">
        <v>787</v>
      </c>
    </row>
    <row r="2850" spans="2:9" x14ac:dyDescent="0.3">
      <c r="B2850" s="339" t="s">
        <v>646</v>
      </c>
      <c r="C2850" s="339" t="s">
        <v>621</v>
      </c>
      <c r="D2850" s="341" t="s">
        <v>519</v>
      </c>
      <c r="E2850" s="339"/>
      <c r="F2850" s="340"/>
      <c r="G2850" s="340" t="s">
        <v>622</v>
      </c>
      <c r="H2850" s="340" t="s">
        <v>254</v>
      </c>
      <c r="I2850" s="340">
        <f>+ROUND(I2872,0)</f>
        <v>14301</v>
      </c>
    </row>
    <row r="2851" spans="2:9" x14ac:dyDescent="0.3">
      <c r="B2851" s="332" t="s">
        <v>623</v>
      </c>
      <c r="C2851" s="333"/>
      <c r="D2851" s="332"/>
      <c r="E2851" s="333"/>
      <c r="F2851" s="334"/>
      <c r="G2851" s="332"/>
      <c r="H2851" s="334"/>
      <c r="I2851" s="334"/>
    </row>
    <row r="2852" spans="2:9" x14ac:dyDescent="0.3">
      <c r="B2852" s="332" t="s">
        <v>271</v>
      </c>
      <c r="C2852" s="333"/>
      <c r="D2852" s="332"/>
      <c r="E2852" s="333" t="s">
        <v>624</v>
      </c>
      <c r="F2852" s="334" t="s">
        <v>625</v>
      </c>
      <c r="G2852" s="332" t="s">
        <v>626</v>
      </c>
      <c r="H2852" s="334" t="s">
        <v>627</v>
      </c>
      <c r="I2852" s="334"/>
    </row>
    <row r="2853" spans="2:9" x14ac:dyDescent="0.3">
      <c r="B2853" s="332" t="s">
        <v>642</v>
      </c>
      <c r="C2853" s="333"/>
      <c r="D2853" s="332"/>
      <c r="E2853" s="333" t="s">
        <v>644</v>
      </c>
      <c r="F2853" s="334">
        <v>1500</v>
      </c>
      <c r="G2853" s="335">
        <v>8</v>
      </c>
      <c r="H2853" s="334">
        <f>F2853*G2853</f>
        <v>12000</v>
      </c>
      <c r="I2853" s="334"/>
    </row>
    <row r="2854" spans="2:9" x14ac:dyDescent="0.3">
      <c r="B2854" s="332"/>
      <c r="C2854" s="333"/>
      <c r="D2854" s="332"/>
      <c r="E2854" s="333"/>
      <c r="F2854" s="334"/>
      <c r="G2854" s="335"/>
      <c r="H2854" s="334"/>
      <c r="I2854" s="334"/>
    </row>
    <row r="2855" spans="2:9" x14ac:dyDescent="0.3">
      <c r="B2855" s="332"/>
      <c r="C2855" s="333"/>
      <c r="D2855" s="332"/>
      <c r="E2855" s="333"/>
      <c r="F2855" s="334"/>
      <c r="G2855" s="335"/>
      <c r="H2855" s="334"/>
      <c r="I2855" s="334"/>
    </row>
    <row r="2856" spans="2:9" x14ac:dyDescent="0.3">
      <c r="B2856" s="332"/>
      <c r="C2856" s="333"/>
      <c r="D2856" s="332"/>
      <c r="E2856" s="333"/>
      <c r="F2856" s="334"/>
      <c r="G2856" s="332"/>
      <c r="H2856" s="334" t="s">
        <v>628</v>
      </c>
      <c r="I2856" s="334">
        <f>SUM(H2853:H2855)</f>
        <v>12000</v>
      </c>
    </row>
    <row r="2857" spans="2:9" x14ac:dyDescent="0.3">
      <c r="B2857" s="332" t="s">
        <v>629</v>
      </c>
      <c r="C2857" s="333"/>
      <c r="D2857" s="332"/>
      <c r="E2857" s="333"/>
      <c r="F2857" s="334"/>
      <c r="G2857" s="332"/>
      <c r="H2857" s="334"/>
      <c r="I2857" s="334"/>
    </row>
    <row r="2858" spans="2:9" x14ac:dyDescent="0.3">
      <c r="B2858" s="332" t="s">
        <v>271</v>
      </c>
      <c r="C2858" s="333"/>
      <c r="D2858" s="332"/>
      <c r="E2858" s="333" t="s">
        <v>624</v>
      </c>
      <c r="F2858" s="334" t="s">
        <v>630</v>
      </c>
      <c r="G2858" s="332" t="s">
        <v>631</v>
      </c>
      <c r="H2858" s="334" t="s">
        <v>627</v>
      </c>
      <c r="I2858" s="334"/>
    </row>
    <row r="2859" spans="2:9" x14ac:dyDescent="0.3">
      <c r="B2859" s="332"/>
      <c r="C2859" s="333"/>
      <c r="D2859" s="332"/>
      <c r="E2859" s="333"/>
      <c r="F2859" s="334"/>
      <c r="G2859" s="332"/>
      <c r="H2859" s="334"/>
      <c r="I2859" s="334"/>
    </row>
    <row r="2860" spans="2:9" x14ac:dyDescent="0.3">
      <c r="B2860" s="332"/>
      <c r="C2860" s="333"/>
      <c r="D2860" s="332"/>
      <c r="E2860" s="333"/>
      <c r="F2860" s="334"/>
      <c r="G2860" s="332"/>
      <c r="H2860" s="334"/>
      <c r="I2860" s="334"/>
    </row>
    <row r="2861" spans="2:9" x14ac:dyDescent="0.3">
      <c r="B2861" s="332"/>
      <c r="C2861" s="333"/>
      <c r="D2861" s="332"/>
      <c r="E2861" s="333"/>
      <c r="F2861" s="334"/>
      <c r="G2861" s="332"/>
      <c r="H2861" s="334"/>
      <c r="I2861" s="334"/>
    </row>
    <row r="2862" spans="2:9" x14ac:dyDescent="0.3">
      <c r="B2862" s="332"/>
      <c r="C2862" s="333"/>
      <c r="D2862" s="332"/>
      <c r="E2862" s="333"/>
      <c r="F2862" s="334"/>
      <c r="G2862" s="332"/>
      <c r="H2862" s="334"/>
      <c r="I2862" s="334"/>
    </row>
    <row r="2863" spans="2:9" x14ac:dyDescent="0.3">
      <c r="B2863" s="332"/>
      <c r="C2863" s="333"/>
      <c r="D2863" s="332"/>
      <c r="E2863" s="333"/>
      <c r="F2863" s="334"/>
      <c r="G2863" s="332"/>
      <c r="H2863" s="334" t="s">
        <v>628</v>
      </c>
      <c r="I2863" s="334">
        <f>SUM(H2859:H2862)</f>
        <v>0</v>
      </c>
    </row>
    <row r="2864" spans="2:9" x14ac:dyDescent="0.3">
      <c r="B2864" s="332" t="s">
        <v>632</v>
      </c>
      <c r="C2864" s="333"/>
      <c r="D2864" s="332"/>
      <c r="E2864" s="333" t="s">
        <v>624</v>
      </c>
      <c r="F2864" s="334" t="s">
        <v>633</v>
      </c>
      <c r="G2864" s="332" t="s">
        <v>634</v>
      </c>
      <c r="H2864" s="334" t="s">
        <v>627</v>
      </c>
      <c r="I2864" s="334"/>
    </row>
    <row r="2865" spans="2:9" x14ac:dyDescent="0.3">
      <c r="B2865" s="332"/>
      <c r="C2865" s="333"/>
      <c r="D2865" s="332"/>
      <c r="E2865" s="332"/>
      <c r="F2865" s="332"/>
      <c r="G2865" s="332"/>
      <c r="H2865" s="332"/>
      <c r="I2865" s="332"/>
    </row>
    <row r="2866" spans="2:9" x14ac:dyDescent="0.3">
      <c r="B2866" s="332"/>
      <c r="C2866" s="333"/>
      <c r="D2866" s="332"/>
      <c r="E2866" s="333"/>
      <c r="F2866" s="336"/>
      <c r="G2866" s="334"/>
      <c r="H2866" s="334"/>
      <c r="I2866" s="334"/>
    </row>
    <row r="2867" spans="2:9" x14ac:dyDescent="0.3">
      <c r="B2867" s="332"/>
      <c r="C2867" s="333"/>
      <c r="D2867" s="332"/>
      <c r="E2867" s="333"/>
      <c r="F2867" s="334"/>
      <c r="G2867" s="332"/>
      <c r="H2867" s="334" t="s">
        <v>628</v>
      </c>
      <c r="I2867" s="334">
        <f>SUM(H2866)</f>
        <v>0</v>
      </c>
    </row>
    <row r="2868" spans="2:9" x14ac:dyDescent="0.3">
      <c r="B2868" s="332" t="s">
        <v>635</v>
      </c>
      <c r="C2868" s="333"/>
      <c r="D2868" s="332"/>
      <c r="E2868" s="333"/>
      <c r="F2868" s="334"/>
      <c r="G2868" s="332"/>
      <c r="H2868" s="334"/>
      <c r="I2868" s="334"/>
    </row>
    <row r="2869" spans="2:9" x14ac:dyDescent="0.3">
      <c r="B2869" s="332" t="s">
        <v>636</v>
      </c>
      <c r="C2869" s="333"/>
      <c r="D2869" s="332"/>
      <c r="E2869" s="333" t="s">
        <v>637</v>
      </c>
      <c r="F2869" s="334" t="s">
        <v>638</v>
      </c>
      <c r="G2869" s="332" t="s">
        <v>639</v>
      </c>
      <c r="H2869" s="334" t="s">
        <v>627</v>
      </c>
      <c r="I2869" s="334"/>
    </row>
    <row r="2870" spans="2:9" x14ac:dyDescent="0.3">
      <c r="B2870" s="332" t="s">
        <v>645</v>
      </c>
      <c r="C2870" s="333"/>
      <c r="D2870" s="332"/>
      <c r="E2870" s="337">
        <v>168000</v>
      </c>
      <c r="F2870" s="334">
        <v>1.8</v>
      </c>
      <c r="G2870" s="338">
        <v>131.42112051016397</v>
      </c>
      <c r="H2870" s="334">
        <f>E2870*F2870/G2870</f>
        <v>2301.0000129820282</v>
      </c>
      <c r="I2870" s="334"/>
    </row>
    <row r="2871" spans="2:9" x14ac:dyDescent="0.3">
      <c r="B2871" s="332"/>
      <c r="C2871" s="333"/>
      <c r="D2871" s="332"/>
      <c r="E2871" s="333"/>
      <c r="F2871" s="334"/>
      <c r="G2871" s="332"/>
      <c r="H2871" s="334" t="s">
        <v>628</v>
      </c>
      <c r="I2871" s="334">
        <f>H2870</f>
        <v>2301.0000129820282</v>
      </c>
    </row>
    <row r="2872" spans="2:9" x14ac:dyDescent="0.3">
      <c r="B2872" s="332"/>
      <c r="C2872" s="333"/>
      <c r="D2872" s="332"/>
      <c r="E2872" s="333"/>
      <c r="F2872" s="334"/>
      <c r="G2872" s="332"/>
      <c r="H2872" s="330" t="s">
        <v>640</v>
      </c>
      <c r="I2872" s="330">
        <f>I2871+I2863+I2856+I2867</f>
        <v>14301.000012982029</v>
      </c>
    </row>
    <row r="2874" spans="2:9" ht="86.4" x14ac:dyDescent="0.3">
      <c r="B2874" s="339" t="s">
        <v>648</v>
      </c>
      <c r="C2874" s="339" t="s">
        <v>621</v>
      </c>
      <c r="D2874" s="341" t="s">
        <v>525</v>
      </c>
      <c r="E2874" s="339"/>
      <c r="F2874" s="340"/>
      <c r="G2874" s="340" t="s">
        <v>622</v>
      </c>
      <c r="H2874" s="340" t="s">
        <v>93</v>
      </c>
      <c r="I2874" s="340">
        <f>+ROUND(I2896,0)</f>
        <v>25000</v>
      </c>
    </row>
    <row r="2875" spans="2:9" x14ac:dyDescent="0.3">
      <c r="B2875" s="332" t="s">
        <v>623</v>
      </c>
      <c r="C2875" s="333"/>
      <c r="D2875" s="332"/>
      <c r="E2875" s="333"/>
      <c r="F2875" s="334"/>
      <c r="G2875" s="332"/>
      <c r="H2875" s="334"/>
      <c r="I2875" s="334"/>
    </row>
    <row r="2876" spans="2:9" x14ac:dyDescent="0.3">
      <c r="B2876" s="332" t="s">
        <v>271</v>
      </c>
      <c r="C2876" s="333"/>
      <c r="D2876" s="332"/>
      <c r="E2876" s="333" t="s">
        <v>624</v>
      </c>
      <c r="F2876" s="334" t="s">
        <v>625</v>
      </c>
      <c r="G2876" s="332" t="s">
        <v>626</v>
      </c>
      <c r="H2876" s="334" t="s">
        <v>627</v>
      </c>
      <c r="I2876" s="334"/>
    </row>
    <row r="2877" spans="2:9" x14ac:dyDescent="0.3">
      <c r="B2877" s="332" t="s">
        <v>642</v>
      </c>
      <c r="C2877" s="333"/>
      <c r="D2877" s="332"/>
      <c r="E2877" s="333" t="s">
        <v>644</v>
      </c>
      <c r="F2877" s="334">
        <v>1500</v>
      </c>
      <c r="G2877" s="335">
        <v>8</v>
      </c>
      <c r="H2877" s="334">
        <f>F2877*G2877</f>
        <v>12000</v>
      </c>
      <c r="I2877" s="334"/>
    </row>
    <row r="2878" spans="2:9" x14ac:dyDescent="0.3">
      <c r="B2878" s="332"/>
      <c r="C2878" s="333"/>
      <c r="D2878" s="332"/>
      <c r="E2878" s="333"/>
      <c r="F2878" s="334"/>
      <c r="G2878" s="335"/>
      <c r="H2878" s="334"/>
      <c r="I2878" s="334"/>
    </row>
    <row r="2879" spans="2:9" x14ac:dyDescent="0.3">
      <c r="B2879" s="332"/>
      <c r="C2879" s="333"/>
      <c r="D2879" s="332"/>
      <c r="E2879" s="333"/>
      <c r="F2879" s="334"/>
      <c r="G2879" s="335"/>
      <c r="H2879" s="334"/>
      <c r="I2879" s="334"/>
    </row>
    <row r="2880" spans="2:9" x14ac:dyDescent="0.3">
      <c r="B2880" s="332"/>
      <c r="C2880" s="333"/>
      <c r="D2880" s="332"/>
      <c r="E2880" s="333"/>
      <c r="F2880" s="334"/>
      <c r="G2880" s="332"/>
      <c r="H2880" s="334" t="s">
        <v>628</v>
      </c>
      <c r="I2880" s="334">
        <f>SUM(H2877:H2879)</f>
        <v>12000</v>
      </c>
    </row>
    <row r="2881" spans="2:9" x14ac:dyDescent="0.3">
      <c r="B2881" s="332" t="s">
        <v>629</v>
      </c>
      <c r="C2881" s="333"/>
      <c r="D2881" s="332"/>
      <c r="E2881" s="333"/>
      <c r="F2881" s="334"/>
      <c r="G2881" s="332"/>
      <c r="H2881" s="334"/>
      <c r="I2881" s="334"/>
    </row>
    <row r="2882" spans="2:9" x14ac:dyDescent="0.3">
      <c r="B2882" s="332" t="s">
        <v>271</v>
      </c>
      <c r="C2882" s="333"/>
      <c r="D2882" s="332"/>
      <c r="E2882" s="333" t="s">
        <v>624</v>
      </c>
      <c r="F2882" s="334" t="s">
        <v>630</v>
      </c>
      <c r="G2882" s="332" t="s">
        <v>631</v>
      </c>
      <c r="H2882" s="334" t="s">
        <v>627</v>
      </c>
      <c r="I2882" s="334"/>
    </row>
    <row r="2883" spans="2:9" x14ac:dyDescent="0.3">
      <c r="B2883" s="332" t="s">
        <v>654</v>
      </c>
      <c r="C2883" s="333"/>
      <c r="D2883" s="332"/>
      <c r="E2883" s="333" t="s">
        <v>159</v>
      </c>
      <c r="F2883" s="334">
        <v>250</v>
      </c>
      <c r="G2883" s="332">
        <v>1.1000000000000001</v>
      </c>
      <c r="H2883" s="334">
        <f>F2883*G2883</f>
        <v>275</v>
      </c>
      <c r="I2883" s="334"/>
    </row>
    <row r="2884" spans="2:9" x14ac:dyDescent="0.3">
      <c r="B2884" s="332" t="s">
        <v>650</v>
      </c>
      <c r="C2884" s="333"/>
      <c r="D2884" s="332"/>
      <c r="E2884" s="333" t="s">
        <v>651</v>
      </c>
      <c r="F2884" s="334">
        <v>46800</v>
      </c>
      <c r="G2884" s="332">
        <v>8.4000000000000012E-3</v>
      </c>
      <c r="H2884" s="334">
        <f t="shared" ref="H2884:H2886" si="2">F2884*G2884</f>
        <v>393.12000000000006</v>
      </c>
      <c r="I2884" s="334"/>
    </row>
    <row r="2885" spans="2:9" x14ac:dyDescent="0.3">
      <c r="B2885" s="332" t="s">
        <v>652</v>
      </c>
      <c r="C2885" s="333"/>
      <c r="D2885" s="332"/>
      <c r="E2885" s="333" t="s">
        <v>653</v>
      </c>
      <c r="F2885" s="334">
        <v>2500</v>
      </c>
      <c r="G2885" s="332">
        <v>0.5</v>
      </c>
      <c r="H2885" s="334">
        <f t="shared" si="2"/>
        <v>1250</v>
      </c>
      <c r="I2885" s="334"/>
    </row>
    <row r="2886" spans="2:9" x14ac:dyDescent="0.3">
      <c r="B2886" s="354" t="s">
        <v>750</v>
      </c>
      <c r="C2886" s="333"/>
      <c r="D2886" s="332"/>
      <c r="E2886" s="355" t="s">
        <v>93</v>
      </c>
      <c r="F2886" s="334">
        <v>109000</v>
      </c>
      <c r="G2886" s="332">
        <v>7.0000000000000007E-2</v>
      </c>
      <c r="H2886" s="334">
        <f t="shared" si="2"/>
        <v>7630.0000000000009</v>
      </c>
      <c r="I2886" s="334"/>
    </row>
    <row r="2887" spans="2:9" x14ac:dyDescent="0.3">
      <c r="B2887" s="332"/>
      <c r="C2887" s="333"/>
      <c r="D2887" s="332"/>
      <c r="E2887" s="333"/>
      <c r="F2887" s="334"/>
      <c r="G2887" s="332"/>
      <c r="H2887" s="334" t="s">
        <v>628</v>
      </c>
      <c r="I2887" s="334">
        <f>SUM(H2883:H2886)</f>
        <v>9548.1200000000008</v>
      </c>
    </row>
    <row r="2888" spans="2:9" x14ac:dyDescent="0.3">
      <c r="B2888" s="332" t="s">
        <v>632</v>
      </c>
      <c r="C2888" s="333"/>
      <c r="D2888" s="332"/>
      <c r="E2888" s="333" t="s">
        <v>624</v>
      </c>
      <c r="F2888" s="334" t="s">
        <v>633</v>
      </c>
      <c r="G2888" s="332" t="s">
        <v>634</v>
      </c>
      <c r="H2888" s="334" t="s">
        <v>627</v>
      </c>
      <c r="I2888" s="334"/>
    </row>
    <row r="2889" spans="2:9" x14ac:dyDescent="0.3">
      <c r="B2889" s="332"/>
      <c r="C2889" s="333"/>
      <c r="D2889" s="332"/>
      <c r="E2889" s="332"/>
      <c r="F2889" s="332"/>
      <c r="G2889" s="332"/>
      <c r="H2889" s="332"/>
      <c r="I2889" s="332"/>
    </row>
    <row r="2890" spans="2:9" x14ac:dyDescent="0.3">
      <c r="B2890" s="332"/>
      <c r="C2890" s="333"/>
      <c r="D2890" s="332"/>
      <c r="E2890" s="333"/>
      <c r="F2890" s="336"/>
      <c r="G2890" s="334"/>
      <c r="H2890" s="334"/>
      <c r="I2890" s="334"/>
    </row>
    <row r="2891" spans="2:9" x14ac:dyDescent="0.3">
      <c r="B2891" s="332"/>
      <c r="C2891" s="333"/>
      <c r="D2891" s="332"/>
      <c r="E2891" s="333"/>
      <c r="F2891" s="334"/>
      <c r="G2891" s="332"/>
      <c r="H2891" s="334" t="s">
        <v>628</v>
      </c>
      <c r="I2891" s="334">
        <f>SUM(H2890)</f>
        <v>0</v>
      </c>
    </row>
    <row r="2892" spans="2:9" x14ac:dyDescent="0.3">
      <c r="B2892" s="332" t="s">
        <v>635</v>
      </c>
      <c r="C2892" s="333"/>
      <c r="D2892" s="332"/>
      <c r="E2892" s="333"/>
      <c r="F2892" s="334"/>
      <c r="G2892" s="332"/>
      <c r="H2892" s="334"/>
      <c r="I2892" s="334"/>
    </row>
    <row r="2893" spans="2:9" x14ac:dyDescent="0.3">
      <c r="B2893" s="332" t="s">
        <v>636</v>
      </c>
      <c r="C2893" s="333"/>
      <c r="D2893" s="332"/>
      <c r="E2893" s="333" t="s">
        <v>637</v>
      </c>
      <c r="F2893" s="334" t="s">
        <v>638</v>
      </c>
      <c r="G2893" s="332" t="s">
        <v>639</v>
      </c>
      <c r="H2893" s="334" t="s">
        <v>627</v>
      </c>
      <c r="I2893" s="334"/>
    </row>
    <row r="2894" spans="2:9" x14ac:dyDescent="0.3">
      <c r="B2894" s="332" t="s">
        <v>645</v>
      </c>
      <c r="C2894" s="333"/>
      <c r="D2894" s="332"/>
      <c r="E2894" s="337">
        <v>168000</v>
      </c>
      <c r="F2894" s="334">
        <v>1.8</v>
      </c>
      <c r="G2894" s="338">
        <v>87.604435840702877</v>
      </c>
      <c r="H2894" s="334">
        <f>E2894*F2894/G2894</f>
        <v>3451.8800001163704</v>
      </c>
      <c r="I2894" s="334"/>
    </row>
    <row r="2895" spans="2:9" x14ac:dyDescent="0.3">
      <c r="B2895" s="332"/>
      <c r="C2895" s="333"/>
      <c r="D2895" s="332"/>
      <c r="E2895" s="333"/>
      <c r="F2895" s="334"/>
      <c r="G2895" s="332"/>
      <c r="H2895" s="334" t="s">
        <v>628</v>
      </c>
      <c r="I2895" s="334">
        <f>H2894</f>
        <v>3451.8800001163704</v>
      </c>
    </row>
    <row r="2896" spans="2:9" x14ac:dyDescent="0.3">
      <c r="B2896" s="332"/>
      <c r="C2896" s="333"/>
      <c r="D2896" s="332"/>
      <c r="E2896" s="333"/>
      <c r="F2896" s="334"/>
      <c r="G2896" s="332"/>
      <c r="H2896" s="330" t="s">
        <v>640</v>
      </c>
      <c r="I2896" s="330">
        <f>I2895+I2887+I2880+I2891</f>
        <v>25000.000000116372</v>
      </c>
    </row>
    <row r="2898" spans="2:9" ht="100.8" x14ac:dyDescent="0.3">
      <c r="B2898" s="339" t="s">
        <v>664</v>
      </c>
      <c r="C2898" s="339" t="s">
        <v>621</v>
      </c>
      <c r="D2898" s="341" t="s">
        <v>596</v>
      </c>
      <c r="E2898" s="339"/>
      <c r="F2898" s="340"/>
      <c r="G2898" s="340" t="s">
        <v>622</v>
      </c>
      <c r="H2898" s="340" t="s">
        <v>60</v>
      </c>
      <c r="I2898" s="340">
        <f>+ROUND(I2920,0)</f>
        <v>180503</v>
      </c>
    </row>
    <row r="2899" spans="2:9" x14ac:dyDescent="0.3">
      <c r="B2899" s="332" t="s">
        <v>623</v>
      </c>
      <c r="C2899" s="333"/>
      <c r="D2899" s="332"/>
      <c r="E2899" s="333"/>
      <c r="F2899" s="334"/>
      <c r="G2899" s="332"/>
      <c r="H2899" s="334"/>
      <c r="I2899" s="334"/>
    </row>
    <row r="2900" spans="2:9" x14ac:dyDescent="0.3">
      <c r="B2900" s="332" t="s">
        <v>271</v>
      </c>
      <c r="C2900" s="333"/>
      <c r="D2900" s="332"/>
      <c r="E2900" s="333" t="s">
        <v>624</v>
      </c>
      <c r="F2900" s="334" t="s">
        <v>625</v>
      </c>
      <c r="G2900" s="332" t="s">
        <v>626</v>
      </c>
      <c r="H2900" s="334" t="s">
        <v>627</v>
      </c>
      <c r="I2900" s="334"/>
    </row>
    <row r="2901" spans="2:9" x14ac:dyDescent="0.3">
      <c r="B2901" s="332" t="s">
        <v>642</v>
      </c>
      <c r="C2901" s="333"/>
      <c r="D2901" s="332"/>
      <c r="E2901" s="333" t="s">
        <v>644</v>
      </c>
      <c r="F2901" s="334">
        <v>1500</v>
      </c>
      <c r="G2901" s="335">
        <v>4</v>
      </c>
      <c r="H2901" s="334">
        <f>F2901*G2901</f>
        <v>6000</v>
      </c>
      <c r="I2901" s="334"/>
    </row>
    <row r="2902" spans="2:9" x14ac:dyDescent="0.3">
      <c r="B2902" s="332"/>
      <c r="C2902" s="333"/>
      <c r="D2902" s="332"/>
      <c r="E2902" s="333"/>
      <c r="F2902" s="334"/>
      <c r="G2902" s="335"/>
      <c r="H2902" s="334"/>
      <c r="I2902" s="334"/>
    </row>
    <row r="2903" spans="2:9" x14ac:dyDescent="0.3">
      <c r="B2903" s="332"/>
      <c r="C2903" s="333"/>
      <c r="D2903" s="332"/>
      <c r="E2903" s="333"/>
      <c r="F2903" s="334"/>
      <c r="G2903" s="335"/>
      <c r="H2903" s="334"/>
      <c r="I2903" s="334"/>
    </row>
    <row r="2904" spans="2:9" x14ac:dyDescent="0.3">
      <c r="B2904" s="332"/>
      <c r="C2904" s="333"/>
      <c r="D2904" s="332"/>
      <c r="E2904" s="333"/>
      <c r="F2904" s="334"/>
      <c r="G2904" s="332"/>
      <c r="H2904" s="334" t="s">
        <v>628</v>
      </c>
      <c r="I2904" s="334">
        <f>SUM(H2901:H2903)</f>
        <v>6000</v>
      </c>
    </row>
    <row r="2905" spans="2:9" x14ac:dyDescent="0.3">
      <c r="B2905" s="332" t="s">
        <v>629</v>
      </c>
      <c r="C2905" s="333"/>
      <c r="D2905" s="332"/>
      <c r="E2905" s="333"/>
      <c r="F2905" s="334"/>
      <c r="G2905" s="332"/>
      <c r="H2905" s="334"/>
      <c r="I2905" s="334"/>
    </row>
    <row r="2906" spans="2:9" x14ac:dyDescent="0.3">
      <c r="B2906" s="332" t="s">
        <v>271</v>
      </c>
      <c r="C2906" s="333"/>
      <c r="D2906" s="332"/>
      <c r="E2906" s="333" t="s">
        <v>624</v>
      </c>
      <c r="F2906" s="334" t="s">
        <v>630</v>
      </c>
      <c r="G2906" s="332" t="s">
        <v>631</v>
      </c>
      <c r="H2906" s="334" t="s">
        <v>627</v>
      </c>
      <c r="I2906" s="334"/>
    </row>
    <row r="2907" spans="2:9" x14ac:dyDescent="0.3">
      <c r="B2907" s="332" t="s">
        <v>665</v>
      </c>
      <c r="C2907" s="333"/>
      <c r="D2907" s="332"/>
      <c r="E2907" s="333" t="s">
        <v>656</v>
      </c>
      <c r="F2907" s="334">
        <v>25000</v>
      </c>
      <c r="G2907" s="335">
        <v>0.67038250160133539</v>
      </c>
      <c r="H2907" s="334">
        <f>F2907*G2907</f>
        <v>16759.562540033385</v>
      </c>
      <c r="I2907" s="334"/>
    </row>
    <row r="2908" spans="2:9" x14ac:dyDescent="0.3">
      <c r="B2908" s="332" t="s">
        <v>666</v>
      </c>
      <c r="C2908" s="333"/>
      <c r="D2908" s="332"/>
      <c r="E2908" s="333" t="s">
        <v>60</v>
      </c>
      <c r="F2908" s="334">
        <v>51000</v>
      </c>
      <c r="G2908" s="332">
        <v>1.1000000000000001</v>
      </c>
      <c r="H2908" s="334">
        <f>F2908*G2908</f>
        <v>56100.000000000007</v>
      </c>
      <c r="I2908" s="334"/>
    </row>
    <row r="2909" spans="2:9" x14ac:dyDescent="0.3">
      <c r="B2909" s="332"/>
      <c r="C2909" s="333"/>
      <c r="D2909" s="332"/>
      <c r="E2909" s="333"/>
      <c r="F2909" s="334"/>
      <c r="G2909" s="332"/>
      <c r="H2909" s="334"/>
      <c r="I2909" s="334"/>
    </row>
    <row r="2910" spans="2:9" x14ac:dyDescent="0.3">
      <c r="B2910" s="332"/>
      <c r="C2910" s="333"/>
      <c r="D2910" s="332"/>
      <c r="E2910" s="333"/>
      <c r="F2910" s="334"/>
      <c r="G2910" s="332"/>
      <c r="H2910" s="334"/>
      <c r="I2910" s="334"/>
    </row>
    <row r="2911" spans="2:9" x14ac:dyDescent="0.3">
      <c r="B2911" s="332"/>
      <c r="C2911" s="333"/>
      <c r="D2911" s="332"/>
      <c r="E2911" s="333"/>
      <c r="F2911" s="334"/>
      <c r="G2911" s="332"/>
      <c r="H2911" s="334" t="s">
        <v>628</v>
      </c>
      <c r="I2911" s="334">
        <f>SUM(H2907:H2910)</f>
        <v>72859.562540033396</v>
      </c>
    </row>
    <row r="2912" spans="2:9" x14ac:dyDescent="0.3">
      <c r="B2912" s="332" t="s">
        <v>632</v>
      </c>
      <c r="C2912" s="333"/>
      <c r="D2912" s="332"/>
      <c r="E2912" s="333" t="s">
        <v>624</v>
      </c>
      <c r="F2912" s="334" t="s">
        <v>633</v>
      </c>
      <c r="G2912" s="332" t="s">
        <v>634</v>
      </c>
      <c r="H2912" s="334" t="s">
        <v>627</v>
      </c>
      <c r="I2912" s="334"/>
    </row>
    <row r="2913" spans="2:9" x14ac:dyDescent="0.3">
      <c r="B2913" s="332"/>
      <c r="C2913" s="333"/>
      <c r="D2913" s="332"/>
      <c r="E2913" s="332"/>
      <c r="F2913" s="332"/>
      <c r="G2913" s="332"/>
      <c r="H2913" s="332"/>
      <c r="I2913" s="332"/>
    </row>
    <row r="2914" spans="2:9" x14ac:dyDescent="0.3">
      <c r="B2914" s="332"/>
      <c r="C2914" s="333"/>
      <c r="D2914" s="332"/>
      <c r="E2914" s="333"/>
      <c r="F2914" s="336"/>
      <c r="G2914" s="334"/>
      <c r="H2914" s="334"/>
      <c r="I2914" s="334"/>
    </row>
    <row r="2915" spans="2:9" x14ac:dyDescent="0.3">
      <c r="B2915" s="332"/>
      <c r="C2915" s="333"/>
      <c r="D2915" s="332"/>
      <c r="E2915" s="333"/>
      <c r="F2915" s="334"/>
      <c r="G2915" s="332"/>
      <c r="H2915" s="334" t="s">
        <v>628</v>
      </c>
      <c r="I2915" s="334">
        <f>SUM(H2914)</f>
        <v>0</v>
      </c>
    </row>
    <row r="2916" spans="2:9" x14ac:dyDescent="0.3">
      <c r="B2916" s="332" t="s">
        <v>635</v>
      </c>
      <c r="C2916" s="333"/>
      <c r="D2916" s="332"/>
      <c r="E2916" s="333"/>
      <c r="F2916" s="334"/>
      <c r="G2916" s="332"/>
      <c r="H2916" s="334"/>
      <c r="I2916" s="334"/>
    </row>
    <row r="2917" spans="2:9" x14ac:dyDescent="0.3">
      <c r="B2917" s="332" t="s">
        <v>636</v>
      </c>
      <c r="C2917" s="333"/>
      <c r="D2917" s="332"/>
      <c r="E2917" s="333" t="s">
        <v>637</v>
      </c>
      <c r="F2917" s="334" t="s">
        <v>638</v>
      </c>
      <c r="G2917" s="332" t="s">
        <v>639</v>
      </c>
      <c r="H2917" s="334" t="s">
        <v>627</v>
      </c>
      <c r="I2917" s="334"/>
    </row>
    <row r="2918" spans="2:9" x14ac:dyDescent="0.3">
      <c r="B2918" s="332" t="s">
        <v>645</v>
      </c>
      <c r="C2918" s="333"/>
      <c r="D2918" s="332"/>
      <c r="E2918" s="337">
        <v>168000</v>
      </c>
      <c r="F2918" s="334">
        <v>1.8</v>
      </c>
      <c r="G2918" s="338">
        <v>2.9751059934979374</v>
      </c>
      <c r="H2918" s="334">
        <f>E2918*F2918/G2918</f>
        <v>101643.43746437674</v>
      </c>
      <c r="I2918" s="334"/>
    </row>
    <row r="2919" spans="2:9" x14ac:dyDescent="0.3">
      <c r="B2919" s="332"/>
      <c r="C2919" s="333"/>
      <c r="D2919" s="332"/>
      <c r="E2919" s="333"/>
      <c r="F2919" s="334"/>
      <c r="G2919" s="332"/>
      <c r="H2919" s="334" t="s">
        <v>628</v>
      </c>
      <c r="I2919" s="334">
        <f>H2918</f>
        <v>101643.43746437674</v>
      </c>
    </row>
    <row r="2920" spans="2:9" x14ac:dyDescent="0.3">
      <c r="B2920" s="332"/>
      <c r="C2920" s="333"/>
      <c r="D2920" s="332"/>
      <c r="E2920" s="333"/>
      <c r="F2920" s="334"/>
      <c r="G2920" s="332"/>
      <c r="H2920" s="330" t="s">
        <v>640</v>
      </c>
      <c r="I2920" s="330">
        <f>I2919+I2911+I2904+I2915</f>
        <v>180503.00000441013</v>
      </c>
    </row>
    <row r="2922" spans="2:9" ht="43.2" x14ac:dyDescent="0.3">
      <c r="B2922" s="339" t="s">
        <v>751</v>
      </c>
      <c r="C2922" s="339" t="s">
        <v>621</v>
      </c>
      <c r="D2922" s="341" t="s">
        <v>520</v>
      </c>
      <c r="E2922" s="339"/>
      <c r="F2922" s="340"/>
      <c r="G2922" s="340" t="s">
        <v>622</v>
      </c>
      <c r="H2922" s="340" t="s">
        <v>33</v>
      </c>
      <c r="I2922" s="340">
        <f>+ROUND(I2944,0)</f>
        <v>691616</v>
      </c>
    </row>
    <row r="2923" spans="2:9" x14ac:dyDescent="0.3">
      <c r="B2923" s="332" t="s">
        <v>623</v>
      </c>
      <c r="C2923" s="333"/>
      <c r="D2923" s="332"/>
      <c r="E2923" s="333"/>
      <c r="F2923" s="334"/>
      <c r="G2923" s="332"/>
      <c r="H2923" s="334"/>
      <c r="I2923" s="334"/>
    </row>
    <row r="2924" spans="2:9" x14ac:dyDescent="0.3">
      <c r="B2924" s="332" t="s">
        <v>271</v>
      </c>
      <c r="C2924" s="333"/>
      <c r="D2924" s="332"/>
      <c r="E2924" s="333" t="s">
        <v>624</v>
      </c>
      <c r="F2924" s="334" t="s">
        <v>625</v>
      </c>
      <c r="G2924" s="332" t="s">
        <v>626</v>
      </c>
      <c r="H2924" s="334" t="s">
        <v>627</v>
      </c>
      <c r="I2924" s="334"/>
    </row>
    <row r="2925" spans="2:9" x14ac:dyDescent="0.3">
      <c r="B2925" s="332" t="s">
        <v>642</v>
      </c>
      <c r="C2925" s="333"/>
      <c r="D2925" s="332"/>
      <c r="E2925" s="333" t="s">
        <v>644</v>
      </c>
      <c r="F2925" s="334">
        <v>1500</v>
      </c>
      <c r="G2925" s="335">
        <v>4</v>
      </c>
      <c r="H2925" s="334">
        <f>F2925*G2925</f>
        <v>6000</v>
      </c>
      <c r="I2925" s="334"/>
    </row>
    <row r="2926" spans="2:9" x14ac:dyDescent="0.3">
      <c r="B2926" s="332"/>
      <c r="C2926" s="333"/>
      <c r="D2926" s="332"/>
      <c r="E2926" s="333"/>
      <c r="F2926" s="334"/>
      <c r="G2926" s="335"/>
      <c r="H2926" s="334"/>
      <c r="I2926" s="334"/>
    </row>
    <row r="2927" spans="2:9" x14ac:dyDescent="0.3">
      <c r="B2927" s="332"/>
      <c r="C2927" s="333"/>
      <c r="D2927" s="332"/>
      <c r="E2927" s="333"/>
      <c r="F2927" s="334"/>
      <c r="G2927" s="335"/>
      <c r="H2927" s="334"/>
      <c r="I2927" s="334"/>
    </row>
    <row r="2928" spans="2:9" x14ac:dyDescent="0.3">
      <c r="B2928" s="332"/>
      <c r="C2928" s="333"/>
      <c r="D2928" s="332"/>
      <c r="E2928" s="333"/>
      <c r="F2928" s="334"/>
      <c r="G2928" s="332"/>
      <c r="H2928" s="334" t="s">
        <v>628</v>
      </c>
      <c r="I2928" s="334">
        <f>SUM(H2925:H2927)</f>
        <v>6000</v>
      </c>
    </row>
    <row r="2929" spans="2:9" x14ac:dyDescent="0.3">
      <c r="B2929" s="332" t="s">
        <v>629</v>
      </c>
      <c r="C2929" s="333"/>
      <c r="D2929" s="332"/>
      <c r="E2929" s="333"/>
      <c r="F2929" s="334"/>
      <c r="G2929" s="332"/>
      <c r="H2929" s="334"/>
      <c r="I2929" s="334"/>
    </row>
    <row r="2930" spans="2:9" x14ac:dyDescent="0.3">
      <c r="B2930" s="332" t="s">
        <v>271</v>
      </c>
      <c r="C2930" s="333"/>
      <c r="D2930" s="332"/>
      <c r="E2930" s="333" t="s">
        <v>624</v>
      </c>
      <c r="F2930" s="334" t="s">
        <v>630</v>
      </c>
      <c r="G2930" s="332" t="s">
        <v>631</v>
      </c>
      <c r="H2930" s="334" t="s">
        <v>627</v>
      </c>
      <c r="I2930" s="334"/>
    </row>
    <row r="2931" spans="2:9" ht="43.2" x14ac:dyDescent="0.3">
      <c r="B2931" s="356" t="s">
        <v>752</v>
      </c>
      <c r="C2931" s="333"/>
      <c r="D2931" s="332"/>
      <c r="E2931" s="357" t="s">
        <v>33</v>
      </c>
      <c r="F2931" s="344">
        <v>655000</v>
      </c>
      <c r="G2931" s="345">
        <v>1</v>
      </c>
      <c r="H2931" s="344">
        <f>F2931*G2931</f>
        <v>655000</v>
      </c>
      <c r="I2931" s="344"/>
    </row>
    <row r="2932" spans="2:9" x14ac:dyDescent="0.3">
      <c r="B2932" s="332"/>
      <c r="C2932" s="333"/>
      <c r="D2932" s="332"/>
      <c r="E2932" s="333"/>
      <c r="F2932" s="334"/>
      <c r="G2932" s="332"/>
      <c r="H2932" s="334">
        <f>F2932*G2932</f>
        <v>0</v>
      </c>
      <c r="I2932" s="334"/>
    </row>
    <row r="2933" spans="2:9" x14ac:dyDescent="0.3">
      <c r="B2933" s="332"/>
      <c r="C2933" s="333"/>
      <c r="D2933" s="332"/>
      <c r="E2933" s="333"/>
      <c r="F2933" s="334"/>
      <c r="G2933" s="332"/>
      <c r="H2933" s="334"/>
      <c r="I2933" s="334"/>
    </row>
    <row r="2934" spans="2:9" x14ac:dyDescent="0.3">
      <c r="B2934" s="332"/>
      <c r="C2934" s="333"/>
      <c r="D2934" s="332"/>
      <c r="E2934" s="333"/>
      <c r="F2934" s="334"/>
      <c r="G2934" s="332"/>
      <c r="H2934" s="334"/>
      <c r="I2934" s="334"/>
    </row>
    <row r="2935" spans="2:9" x14ac:dyDescent="0.3">
      <c r="B2935" s="332"/>
      <c r="C2935" s="333"/>
      <c r="D2935" s="332"/>
      <c r="E2935" s="333"/>
      <c r="F2935" s="334"/>
      <c r="G2935" s="332"/>
      <c r="H2935" s="334" t="s">
        <v>628</v>
      </c>
      <c r="I2935" s="334">
        <f>SUM(H2931:H2934)</f>
        <v>655000</v>
      </c>
    </row>
    <row r="2936" spans="2:9" x14ac:dyDescent="0.3">
      <c r="B2936" s="332" t="s">
        <v>632</v>
      </c>
      <c r="C2936" s="333"/>
      <c r="D2936" s="332"/>
      <c r="E2936" s="333" t="s">
        <v>624</v>
      </c>
      <c r="F2936" s="334" t="s">
        <v>633</v>
      </c>
      <c r="G2936" s="332" t="s">
        <v>634</v>
      </c>
      <c r="H2936" s="334" t="s">
        <v>627</v>
      </c>
      <c r="I2936" s="334"/>
    </row>
    <row r="2937" spans="2:9" x14ac:dyDescent="0.3">
      <c r="B2937" s="332"/>
      <c r="C2937" s="333"/>
      <c r="D2937" s="332"/>
      <c r="E2937" s="332"/>
      <c r="F2937" s="332"/>
      <c r="G2937" s="332"/>
      <c r="H2937" s="332"/>
      <c r="I2937" s="332"/>
    </row>
    <row r="2938" spans="2:9" x14ac:dyDescent="0.3">
      <c r="B2938" s="332"/>
      <c r="C2938" s="333"/>
      <c r="D2938" s="332"/>
      <c r="E2938" s="333"/>
      <c r="F2938" s="336"/>
      <c r="G2938" s="334"/>
      <c r="H2938" s="334"/>
      <c r="I2938" s="334"/>
    </row>
    <row r="2939" spans="2:9" x14ac:dyDescent="0.3">
      <c r="B2939" s="332"/>
      <c r="C2939" s="333"/>
      <c r="D2939" s="332"/>
      <c r="E2939" s="333"/>
      <c r="F2939" s="334"/>
      <c r="G2939" s="332"/>
      <c r="H2939" s="334" t="s">
        <v>628</v>
      </c>
      <c r="I2939" s="334">
        <f>SUM(H2938)</f>
        <v>0</v>
      </c>
    </row>
    <row r="2940" spans="2:9" x14ac:dyDescent="0.3">
      <c r="B2940" s="332" t="s">
        <v>635</v>
      </c>
      <c r="C2940" s="333"/>
      <c r="D2940" s="332"/>
      <c r="E2940" s="333"/>
      <c r="F2940" s="334"/>
      <c r="G2940" s="332"/>
      <c r="H2940" s="334"/>
      <c r="I2940" s="334"/>
    </row>
    <row r="2941" spans="2:9" x14ac:dyDescent="0.3">
      <c r="B2941" s="332" t="s">
        <v>636</v>
      </c>
      <c r="C2941" s="333"/>
      <c r="D2941" s="332"/>
      <c r="E2941" s="333" t="s">
        <v>637</v>
      </c>
      <c r="F2941" s="334" t="s">
        <v>638</v>
      </c>
      <c r="G2941" s="332" t="s">
        <v>639</v>
      </c>
      <c r="H2941" s="334" t="s">
        <v>627</v>
      </c>
      <c r="I2941" s="334"/>
    </row>
    <row r="2942" spans="2:9" x14ac:dyDescent="0.3">
      <c r="B2942" s="332" t="s">
        <v>645</v>
      </c>
      <c r="C2942" s="333"/>
      <c r="D2942" s="332"/>
      <c r="E2942" s="337">
        <v>168000</v>
      </c>
      <c r="F2942" s="334">
        <v>1.8</v>
      </c>
      <c r="G2942" s="338">
        <v>9.8771884094756874</v>
      </c>
      <c r="H2942" s="334">
        <f>E2942*F2942/G2942</f>
        <v>30615.999965120878</v>
      </c>
      <c r="I2942" s="334"/>
    </row>
    <row r="2943" spans="2:9" x14ac:dyDescent="0.3">
      <c r="B2943" s="332"/>
      <c r="C2943" s="333"/>
      <c r="D2943" s="332"/>
      <c r="E2943" s="333"/>
      <c r="F2943" s="334"/>
      <c r="G2943" s="332"/>
      <c r="H2943" s="334" t="s">
        <v>628</v>
      </c>
      <c r="I2943" s="334">
        <f>H2942</f>
        <v>30615.999965120878</v>
      </c>
    </row>
    <row r="2944" spans="2:9" x14ac:dyDescent="0.3">
      <c r="B2944" s="332"/>
      <c r="C2944" s="333"/>
      <c r="D2944" s="332"/>
      <c r="E2944" s="333"/>
      <c r="F2944" s="334"/>
      <c r="G2944" s="332"/>
      <c r="H2944" s="330" t="s">
        <v>640</v>
      </c>
      <c r="I2944" s="330">
        <f>I2943+I2935+I2928+I2939</f>
        <v>691615.99996512092</v>
      </c>
    </row>
    <row r="2946" spans="2:9" ht="28.8" x14ac:dyDescent="0.3">
      <c r="B2946" s="339" t="s">
        <v>667</v>
      </c>
      <c r="C2946" s="339" t="s">
        <v>621</v>
      </c>
      <c r="D2946" s="341" t="s">
        <v>495</v>
      </c>
      <c r="E2946" s="339"/>
      <c r="F2946" s="340"/>
      <c r="G2946" s="340" t="s">
        <v>622</v>
      </c>
      <c r="H2946" s="340" t="s">
        <v>60</v>
      </c>
      <c r="I2946" s="340">
        <f>+ROUND(I2968,0)</f>
        <v>28111</v>
      </c>
    </row>
    <row r="2947" spans="2:9" x14ac:dyDescent="0.3">
      <c r="B2947" s="332" t="s">
        <v>623</v>
      </c>
      <c r="C2947" s="333"/>
      <c r="D2947" s="332"/>
      <c r="E2947" s="333"/>
      <c r="F2947" s="334"/>
      <c r="G2947" s="332"/>
      <c r="H2947" s="334"/>
      <c r="I2947" s="334"/>
    </row>
    <row r="2948" spans="2:9" x14ac:dyDescent="0.3">
      <c r="B2948" s="332" t="s">
        <v>271</v>
      </c>
      <c r="C2948" s="333"/>
      <c r="D2948" s="332"/>
      <c r="E2948" s="333" t="s">
        <v>624</v>
      </c>
      <c r="F2948" s="334" t="s">
        <v>625</v>
      </c>
      <c r="G2948" s="332" t="s">
        <v>626</v>
      </c>
      <c r="H2948" s="334" t="s">
        <v>627</v>
      </c>
      <c r="I2948" s="334"/>
    </row>
    <row r="2949" spans="2:9" x14ac:dyDescent="0.3">
      <c r="B2949" s="332" t="s">
        <v>642</v>
      </c>
      <c r="C2949" s="333"/>
      <c r="D2949" s="332"/>
      <c r="E2949" s="333" t="s">
        <v>644</v>
      </c>
      <c r="F2949" s="334">
        <v>1500</v>
      </c>
      <c r="G2949" s="335">
        <v>4</v>
      </c>
      <c r="H2949" s="334">
        <f>F2949*G2949</f>
        <v>6000</v>
      </c>
      <c r="I2949" s="334"/>
    </row>
    <row r="2950" spans="2:9" x14ac:dyDescent="0.3">
      <c r="B2950" s="332"/>
      <c r="C2950" s="333"/>
      <c r="D2950" s="332"/>
      <c r="E2950" s="333"/>
      <c r="F2950" s="334"/>
      <c r="G2950" s="335"/>
      <c r="H2950" s="334"/>
      <c r="I2950" s="334"/>
    </row>
    <row r="2951" spans="2:9" x14ac:dyDescent="0.3">
      <c r="B2951" s="332"/>
      <c r="C2951" s="333"/>
      <c r="D2951" s="332"/>
      <c r="E2951" s="333"/>
      <c r="F2951" s="334"/>
      <c r="G2951" s="335"/>
      <c r="H2951" s="334"/>
      <c r="I2951" s="334"/>
    </row>
    <row r="2952" spans="2:9" x14ac:dyDescent="0.3">
      <c r="B2952" s="332"/>
      <c r="C2952" s="333"/>
      <c r="D2952" s="332"/>
      <c r="E2952" s="333"/>
      <c r="F2952" s="334"/>
      <c r="G2952" s="332"/>
      <c r="H2952" s="334" t="s">
        <v>628</v>
      </c>
      <c r="I2952" s="334">
        <f>SUM(H2949:H2951)</f>
        <v>6000</v>
      </c>
    </row>
    <row r="2953" spans="2:9" x14ac:dyDescent="0.3">
      <c r="B2953" s="332" t="s">
        <v>629</v>
      </c>
      <c r="C2953" s="333"/>
      <c r="D2953" s="332"/>
      <c r="E2953" s="333"/>
      <c r="F2953" s="334"/>
      <c r="G2953" s="332"/>
      <c r="H2953" s="334"/>
      <c r="I2953" s="334"/>
    </row>
    <row r="2954" spans="2:9" x14ac:dyDescent="0.3">
      <c r="B2954" s="332" t="s">
        <v>271</v>
      </c>
      <c r="C2954" s="333"/>
      <c r="D2954" s="332"/>
      <c r="E2954" s="333" t="s">
        <v>624</v>
      </c>
      <c r="F2954" s="334" t="s">
        <v>630</v>
      </c>
      <c r="G2954" s="332" t="s">
        <v>631</v>
      </c>
      <c r="H2954" s="334" t="s">
        <v>627</v>
      </c>
      <c r="I2954" s="334"/>
    </row>
    <row r="2955" spans="2:9" ht="28.8" x14ac:dyDescent="0.3">
      <c r="B2955" s="342" t="s">
        <v>668</v>
      </c>
      <c r="C2955" s="333"/>
      <c r="D2955" s="332"/>
      <c r="E2955" s="343" t="s">
        <v>60</v>
      </c>
      <c r="F2955" s="344">
        <v>16517</v>
      </c>
      <c r="G2955" s="345">
        <v>1</v>
      </c>
      <c r="H2955" s="344">
        <f>F2955*G2955</f>
        <v>16517</v>
      </c>
      <c r="I2955" s="344"/>
    </row>
    <row r="2956" spans="2:9" x14ac:dyDescent="0.3">
      <c r="B2956" s="332"/>
      <c r="C2956" s="333"/>
      <c r="D2956" s="332"/>
      <c r="E2956" s="333"/>
      <c r="F2956" s="334"/>
      <c r="G2956" s="332"/>
      <c r="H2956" s="334">
        <f>F2956*G2956</f>
        <v>0</v>
      </c>
      <c r="I2956" s="334"/>
    </row>
    <row r="2957" spans="2:9" x14ac:dyDescent="0.3">
      <c r="B2957" s="332"/>
      <c r="C2957" s="333"/>
      <c r="D2957" s="332"/>
      <c r="E2957" s="333"/>
      <c r="F2957" s="334"/>
      <c r="G2957" s="332"/>
      <c r="H2957" s="334"/>
      <c r="I2957" s="334"/>
    </row>
    <row r="2958" spans="2:9" x14ac:dyDescent="0.3">
      <c r="B2958" s="332"/>
      <c r="C2958" s="333"/>
      <c r="D2958" s="332"/>
      <c r="E2958" s="333"/>
      <c r="F2958" s="334"/>
      <c r="G2958" s="332"/>
      <c r="H2958" s="334"/>
      <c r="I2958" s="334"/>
    </row>
    <row r="2959" spans="2:9" x14ac:dyDescent="0.3">
      <c r="B2959" s="332"/>
      <c r="C2959" s="333"/>
      <c r="D2959" s="332"/>
      <c r="E2959" s="333"/>
      <c r="F2959" s="334"/>
      <c r="G2959" s="332"/>
      <c r="H2959" s="334" t="s">
        <v>628</v>
      </c>
      <c r="I2959" s="334">
        <f>SUM(H2955:H2958)</f>
        <v>16517</v>
      </c>
    </row>
    <row r="2960" spans="2:9" x14ac:dyDescent="0.3">
      <c r="B2960" s="332" t="s">
        <v>632</v>
      </c>
      <c r="C2960" s="333"/>
      <c r="D2960" s="332"/>
      <c r="E2960" s="333" t="s">
        <v>624</v>
      </c>
      <c r="F2960" s="334" t="s">
        <v>633</v>
      </c>
      <c r="G2960" s="332" t="s">
        <v>634</v>
      </c>
      <c r="H2960" s="334" t="s">
        <v>627</v>
      </c>
      <c r="I2960" s="334"/>
    </row>
    <row r="2961" spans="2:9" x14ac:dyDescent="0.3">
      <c r="B2961" s="332"/>
      <c r="C2961" s="333"/>
      <c r="D2961" s="332"/>
      <c r="E2961" s="332"/>
      <c r="F2961" s="332"/>
      <c r="G2961" s="332"/>
      <c r="H2961" s="332"/>
      <c r="I2961" s="332"/>
    </row>
    <row r="2962" spans="2:9" x14ac:dyDescent="0.3">
      <c r="B2962" s="332"/>
      <c r="C2962" s="333"/>
      <c r="D2962" s="332"/>
      <c r="E2962" s="333"/>
      <c r="F2962" s="336"/>
      <c r="G2962" s="334"/>
      <c r="H2962" s="334"/>
      <c r="I2962" s="334"/>
    </row>
    <row r="2963" spans="2:9" x14ac:dyDescent="0.3">
      <c r="B2963" s="332"/>
      <c r="C2963" s="333"/>
      <c r="D2963" s="332"/>
      <c r="E2963" s="333"/>
      <c r="F2963" s="334"/>
      <c r="G2963" s="332"/>
      <c r="H2963" s="334" t="s">
        <v>628</v>
      </c>
      <c r="I2963" s="334">
        <f>SUM(H2962)</f>
        <v>0</v>
      </c>
    </row>
    <row r="2964" spans="2:9" x14ac:dyDescent="0.3">
      <c r="B2964" s="332" t="s">
        <v>635</v>
      </c>
      <c r="C2964" s="333"/>
      <c r="D2964" s="332"/>
      <c r="E2964" s="333"/>
      <c r="F2964" s="334"/>
      <c r="G2964" s="332"/>
      <c r="H2964" s="334"/>
      <c r="I2964" s="334"/>
    </row>
    <row r="2965" spans="2:9" x14ac:dyDescent="0.3">
      <c r="B2965" s="332" t="s">
        <v>636</v>
      </c>
      <c r="C2965" s="333"/>
      <c r="D2965" s="332"/>
      <c r="E2965" s="333" t="s">
        <v>637</v>
      </c>
      <c r="F2965" s="334" t="s">
        <v>638</v>
      </c>
      <c r="G2965" s="332" t="s">
        <v>639</v>
      </c>
      <c r="H2965" s="334" t="s">
        <v>627</v>
      </c>
      <c r="I2965" s="334"/>
    </row>
    <row r="2966" spans="2:9" x14ac:dyDescent="0.3">
      <c r="B2966" s="332" t="s">
        <v>645</v>
      </c>
      <c r="C2966" s="333"/>
      <c r="D2966" s="332"/>
      <c r="E2966" s="337">
        <v>168000</v>
      </c>
      <c r="F2966" s="334">
        <v>1.8</v>
      </c>
      <c r="G2966" s="338">
        <v>54.057918992875031</v>
      </c>
      <c r="H2966" s="334">
        <f>E2966*F2966/G2966</f>
        <v>5594.0000213448293</v>
      </c>
      <c r="I2966" s="334"/>
    </row>
    <row r="2967" spans="2:9" x14ac:dyDescent="0.3">
      <c r="B2967" s="332"/>
      <c r="C2967" s="333"/>
      <c r="D2967" s="332"/>
      <c r="E2967" s="333"/>
      <c r="F2967" s="334"/>
      <c r="G2967" s="332"/>
      <c r="H2967" s="334" t="s">
        <v>628</v>
      </c>
      <c r="I2967" s="334">
        <f>H2966</f>
        <v>5594.0000213448293</v>
      </c>
    </row>
    <row r="2968" spans="2:9" x14ac:dyDescent="0.3">
      <c r="B2968" s="332"/>
      <c r="C2968" s="333"/>
      <c r="D2968" s="332"/>
      <c r="E2968" s="333"/>
      <c r="F2968" s="334"/>
      <c r="G2968" s="332"/>
      <c r="H2968" s="330" t="s">
        <v>640</v>
      </c>
      <c r="I2968" s="330">
        <f>I2967+I2959+I2952+I2963</f>
        <v>28111.000021344829</v>
      </c>
    </row>
    <row r="2970" spans="2:9" ht="72" x14ac:dyDescent="0.3">
      <c r="B2970" s="339" t="s">
        <v>669</v>
      </c>
      <c r="C2970" s="339" t="s">
        <v>621</v>
      </c>
      <c r="D2970" s="341" t="s">
        <v>609</v>
      </c>
      <c r="E2970" s="339"/>
      <c r="F2970" s="340"/>
      <c r="G2970" s="340" t="s">
        <v>622</v>
      </c>
      <c r="H2970" s="340" t="s">
        <v>60</v>
      </c>
      <c r="I2970" s="340">
        <f>+ROUND(I2993,0)</f>
        <v>68040</v>
      </c>
    </row>
    <row r="2971" spans="2:9" x14ac:dyDescent="0.3">
      <c r="B2971" s="332" t="s">
        <v>623</v>
      </c>
      <c r="C2971" s="333"/>
      <c r="D2971" s="332"/>
      <c r="E2971" s="333"/>
      <c r="F2971" s="334"/>
      <c r="G2971" s="332"/>
      <c r="H2971" s="334"/>
      <c r="I2971" s="334"/>
    </row>
    <row r="2972" spans="2:9" x14ac:dyDescent="0.3">
      <c r="B2972" s="332" t="s">
        <v>271</v>
      </c>
      <c r="C2972" s="333"/>
      <c r="D2972" s="332"/>
      <c r="E2972" s="333" t="s">
        <v>624</v>
      </c>
      <c r="F2972" s="334" t="s">
        <v>625</v>
      </c>
      <c r="G2972" s="332" t="s">
        <v>626</v>
      </c>
      <c r="H2972" s="334" t="s">
        <v>627</v>
      </c>
      <c r="I2972" s="334"/>
    </row>
    <row r="2973" spans="2:9" x14ac:dyDescent="0.3">
      <c r="B2973" s="332" t="s">
        <v>642</v>
      </c>
      <c r="C2973" s="333"/>
      <c r="D2973" s="332"/>
      <c r="E2973" s="333" t="s">
        <v>644</v>
      </c>
      <c r="F2973" s="334">
        <v>1500</v>
      </c>
      <c r="G2973" s="335">
        <v>4</v>
      </c>
      <c r="H2973" s="334">
        <f>F2973*G2973</f>
        <v>6000</v>
      </c>
      <c r="I2973" s="334"/>
    </row>
    <row r="2974" spans="2:9" x14ac:dyDescent="0.3">
      <c r="B2974" s="332"/>
      <c r="C2974" s="333"/>
      <c r="D2974" s="332"/>
      <c r="E2974" s="333"/>
      <c r="F2974" s="334"/>
      <c r="G2974" s="335"/>
      <c r="H2974" s="334"/>
      <c r="I2974" s="334"/>
    </row>
    <row r="2975" spans="2:9" x14ac:dyDescent="0.3">
      <c r="B2975" s="332"/>
      <c r="C2975" s="333"/>
      <c r="D2975" s="332"/>
      <c r="E2975" s="333"/>
      <c r="F2975" s="334"/>
      <c r="G2975" s="335"/>
      <c r="H2975" s="334"/>
      <c r="I2975" s="334"/>
    </row>
    <row r="2976" spans="2:9" x14ac:dyDescent="0.3">
      <c r="B2976" s="332"/>
      <c r="C2976" s="333"/>
      <c r="D2976" s="332"/>
      <c r="E2976" s="333"/>
      <c r="F2976" s="334"/>
      <c r="G2976" s="332"/>
      <c r="H2976" s="334" t="s">
        <v>628</v>
      </c>
      <c r="I2976" s="334">
        <f>SUM(H2973:H2975)</f>
        <v>6000</v>
      </c>
    </row>
    <row r="2977" spans="2:9" x14ac:dyDescent="0.3">
      <c r="B2977" s="332" t="s">
        <v>629</v>
      </c>
      <c r="C2977" s="333"/>
      <c r="D2977" s="332"/>
      <c r="E2977" s="333"/>
      <c r="F2977" s="334"/>
      <c r="G2977" s="332"/>
      <c r="H2977" s="334"/>
      <c r="I2977" s="334"/>
    </row>
    <row r="2978" spans="2:9" x14ac:dyDescent="0.3">
      <c r="B2978" s="332" t="s">
        <v>271</v>
      </c>
      <c r="C2978" s="333"/>
      <c r="D2978" s="332"/>
      <c r="E2978" s="333" t="s">
        <v>624</v>
      </c>
      <c r="F2978" s="334" t="s">
        <v>630</v>
      </c>
      <c r="G2978" s="332" t="s">
        <v>631</v>
      </c>
      <c r="H2978" s="334" t="s">
        <v>627</v>
      </c>
      <c r="I2978" s="334"/>
    </row>
    <row r="2979" spans="2:9" ht="28.8" x14ac:dyDescent="0.3">
      <c r="B2979" s="356" t="s">
        <v>756</v>
      </c>
      <c r="C2979" s="333"/>
      <c r="D2979" s="332"/>
      <c r="E2979" s="343" t="s">
        <v>60</v>
      </c>
      <c r="F2979" s="344">
        <v>113501</v>
      </c>
      <c r="G2979" s="345">
        <v>0.45</v>
      </c>
      <c r="H2979" s="344">
        <f>F2979*G2979</f>
        <v>51075.450000000004</v>
      </c>
      <c r="I2979" s="344"/>
    </row>
    <row r="2980" spans="2:9" x14ac:dyDescent="0.3">
      <c r="B2980" s="354" t="s">
        <v>757</v>
      </c>
      <c r="C2980" s="333"/>
      <c r="D2980" s="332"/>
      <c r="E2980" s="355" t="s">
        <v>758</v>
      </c>
      <c r="F2980" s="334">
        <v>15000</v>
      </c>
      <c r="G2980" s="345">
        <v>0.05</v>
      </c>
      <c r="H2980" s="334">
        <f>F2980*G2980</f>
        <v>750</v>
      </c>
      <c r="I2980" s="334"/>
    </row>
    <row r="2981" spans="2:9" x14ac:dyDescent="0.3">
      <c r="B2981" s="354" t="s">
        <v>760</v>
      </c>
      <c r="C2981" s="333"/>
      <c r="D2981" s="332"/>
      <c r="E2981" s="355" t="s">
        <v>759</v>
      </c>
      <c r="F2981" s="334">
        <v>19990</v>
      </c>
      <c r="G2981" s="332">
        <v>0.1</v>
      </c>
      <c r="H2981" s="334">
        <f>F2981*G2981</f>
        <v>1999</v>
      </c>
      <c r="I2981" s="334"/>
    </row>
    <row r="2982" spans="2:9" x14ac:dyDescent="0.3">
      <c r="B2982" s="354" t="s">
        <v>761</v>
      </c>
      <c r="C2982" s="333"/>
      <c r="D2982" s="332"/>
      <c r="E2982" s="355" t="s">
        <v>1</v>
      </c>
      <c r="F2982" s="334">
        <v>2997</v>
      </c>
      <c r="G2982" s="332">
        <v>0.2</v>
      </c>
      <c r="H2982" s="334">
        <f>F2982*G2982</f>
        <v>599.4</v>
      </c>
      <c r="I2982" s="334"/>
    </row>
    <row r="2983" spans="2:9" x14ac:dyDescent="0.3">
      <c r="B2983" s="354" t="s">
        <v>762</v>
      </c>
      <c r="C2983" s="333"/>
      <c r="D2983" s="332"/>
      <c r="E2983" s="355" t="s">
        <v>1</v>
      </c>
      <c r="F2983" s="334">
        <v>8732</v>
      </c>
      <c r="G2983" s="332">
        <v>0.2</v>
      </c>
      <c r="H2983" s="334">
        <f>F2983*G2983</f>
        <v>1746.4</v>
      </c>
      <c r="I2983" s="334"/>
    </row>
    <row r="2984" spans="2:9" x14ac:dyDescent="0.3">
      <c r="B2984" s="332"/>
      <c r="C2984" s="333"/>
      <c r="D2984" s="332"/>
      <c r="E2984" s="333"/>
      <c r="F2984" s="334"/>
      <c r="G2984" s="332"/>
      <c r="H2984" s="334" t="s">
        <v>628</v>
      </c>
      <c r="I2984" s="334">
        <f>SUM(H2979:H2983)</f>
        <v>56170.250000000007</v>
      </c>
    </row>
    <row r="2985" spans="2:9" x14ac:dyDescent="0.3">
      <c r="B2985" s="332" t="s">
        <v>632</v>
      </c>
      <c r="C2985" s="333"/>
      <c r="D2985" s="332"/>
      <c r="E2985" s="333" t="s">
        <v>624</v>
      </c>
      <c r="F2985" s="334" t="s">
        <v>633</v>
      </c>
      <c r="G2985" s="332" t="s">
        <v>634</v>
      </c>
      <c r="H2985" s="334" t="s">
        <v>627</v>
      </c>
      <c r="I2985" s="334"/>
    </row>
    <row r="2986" spans="2:9" x14ac:dyDescent="0.3">
      <c r="B2986" s="332"/>
      <c r="C2986" s="333"/>
      <c r="D2986" s="332"/>
      <c r="E2986" s="332"/>
      <c r="F2986" s="332"/>
      <c r="G2986" s="332"/>
      <c r="H2986" s="332"/>
      <c r="I2986" s="332"/>
    </row>
    <row r="2987" spans="2:9" x14ac:dyDescent="0.3">
      <c r="B2987" s="332"/>
      <c r="C2987" s="333"/>
      <c r="D2987" s="332"/>
      <c r="E2987" s="333"/>
      <c r="F2987" s="336"/>
      <c r="G2987" s="334"/>
      <c r="H2987" s="334"/>
      <c r="I2987" s="334"/>
    </row>
    <row r="2988" spans="2:9" x14ac:dyDescent="0.3">
      <c r="B2988" s="332"/>
      <c r="C2988" s="333"/>
      <c r="D2988" s="332"/>
      <c r="E2988" s="333"/>
      <c r="F2988" s="334"/>
      <c r="G2988" s="332"/>
      <c r="H2988" s="334" t="s">
        <v>628</v>
      </c>
      <c r="I2988" s="334">
        <f>SUM(H2987)</f>
        <v>0</v>
      </c>
    </row>
    <row r="2989" spans="2:9" x14ac:dyDescent="0.3">
      <c r="B2989" s="332" t="s">
        <v>635</v>
      </c>
      <c r="C2989" s="333"/>
      <c r="D2989" s="332"/>
      <c r="E2989" s="333"/>
      <c r="F2989" s="334"/>
      <c r="G2989" s="332"/>
      <c r="H2989" s="334"/>
      <c r="I2989" s="334"/>
    </row>
    <row r="2990" spans="2:9" x14ac:dyDescent="0.3">
      <c r="B2990" s="332" t="s">
        <v>636</v>
      </c>
      <c r="C2990" s="333"/>
      <c r="D2990" s="332"/>
      <c r="E2990" s="333" t="s">
        <v>637</v>
      </c>
      <c r="F2990" s="334" t="s">
        <v>638</v>
      </c>
      <c r="G2990" s="332" t="s">
        <v>639</v>
      </c>
      <c r="H2990" s="334" t="s">
        <v>627</v>
      </c>
      <c r="I2990" s="334"/>
    </row>
    <row r="2991" spans="2:9" x14ac:dyDescent="0.3">
      <c r="B2991" s="332" t="s">
        <v>645</v>
      </c>
      <c r="C2991" s="333"/>
      <c r="D2991" s="332"/>
      <c r="E2991" s="337">
        <v>168000</v>
      </c>
      <c r="F2991" s="334">
        <v>1.8</v>
      </c>
      <c r="G2991" s="338">
        <v>51.518378115645682</v>
      </c>
      <c r="H2991" s="334">
        <f>E2991*F2991/G2991</f>
        <v>5869.750001080949</v>
      </c>
      <c r="I2991" s="334"/>
    </row>
    <row r="2992" spans="2:9" x14ac:dyDescent="0.3">
      <c r="B2992" s="332"/>
      <c r="C2992" s="333"/>
      <c r="D2992" s="332"/>
      <c r="E2992" s="333"/>
      <c r="F2992" s="334"/>
      <c r="G2992" s="332"/>
      <c r="H2992" s="334" t="s">
        <v>628</v>
      </c>
      <c r="I2992" s="334">
        <f>H2991</f>
        <v>5869.750001080949</v>
      </c>
    </row>
    <row r="2993" spans="2:9" x14ac:dyDescent="0.3">
      <c r="B2993" s="332"/>
      <c r="C2993" s="333"/>
      <c r="D2993" s="332"/>
      <c r="E2993" s="333"/>
      <c r="F2993" s="334"/>
      <c r="G2993" s="332"/>
      <c r="H2993" s="330" t="s">
        <v>640</v>
      </c>
      <c r="I2993" s="330">
        <f>I2992+I2984+I2976+I2988</f>
        <v>68040.00000108096</v>
      </c>
    </row>
    <row r="2995" spans="2:9" ht="86.4" x14ac:dyDescent="0.3">
      <c r="B2995" s="339" t="s">
        <v>672</v>
      </c>
      <c r="C2995" s="339" t="s">
        <v>621</v>
      </c>
      <c r="D2995" s="341" t="s">
        <v>552</v>
      </c>
      <c r="E2995" s="339"/>
      <c r="F2995" s="340"/>
      <c r="G2995" s="340" t="s">
        <v>622</v>
      </c>
      <c r="H2995" s="340" t="s">
        <v>60</v>
      </c>
      <c r="I2995" s="340">
        <f>+ROUND(I3017,0)</f>
        <v>30000</v>
      </c>
    </row>
    <row r="2996" spans="2:9" x14ac:dyDescent="0.3">
      <c r="B2996" s="332" t="s">
        <v>623</v>
      </c>
      <c r="C2996" s="333"/>
      <c r="D2996" s="332"/>
      <c r="E2996" s="333"/>
      <c r="F2996" s="334"/>
      <c r="G2996" s="332"/>
      <c r="H2996" s="334"/>
      <c r="I2996" s="334"/>
    </row>
    <row r="2997" spans="2:9" x14ac:dyDescent="0.3">
      <c r="B2997" s="332" t="s">
        <v>271</v>
      </c>
      <c r="C2997" s="333"/>
      <c r="D2997" s="332"/>
      <c r="E2997" s="333" t="s">
        <v>624</v>
      </c>
      <c r="F2997" s="334" t="s">
        <v>625</v>
      </c>
      <c r="G2997" s="332" t="s">
        <v>626</v>
      </c>
      <c r="H2997" s="334" t="s">
        <v>627</v>
      </c>
      <c r="I2997" s="334"/>
    </row>
    <row r="2998" spans="2:9" x14ac:dyDescent="0.3">
      <c r="B2998" s="332" t="s">
        <v>642</v>
      </c>
      <c r="C2998" s="333"/>
      <c r="D2998" s="332"/>
      <c r="E2998" s="333" t="s">
        <v>644</v>
      </c>
      <c r="F2998" s="334">
        <v>1500</v>
      </c>
      <c r="G2998" s="335">
        <v>2</v>
      </c>
      <c r="H2998" s="334">
        <f>F2998*G2998</f>
        <v>3000</v>
      </c>
      <c r="I2998" s="334"/>
    </row>
    <row r="2999" spans="2:9" x14ac:dyDescent="0.3">
      <c r="B2999" s="332"/>
      <c r="C2999" s="333"/>
      <c r="D2999" s="332"/>
      <c r="E2999" s="333"/>
      <c r="F2999" s="334"/>
      <c r="G2999" s="335"/>
      <c r="H2999" s="334"/>
      <c r="I2999" s="334"/>
    </row>
    <row r="3000" spans="2:9" x14ac:dyDescent="0.3">
      <c r="B3000" s="332"/>
      <c r="C3000" s="333"/>
      <c r="D3000" s="332"/>
      <c r="E3000" s="333"/>
      <c r="F3000" s="334"/>
      <c r="G3000" s="335"/>
      <c r="H3000" s="334"/>
      <c r="I3000" s="334"/>
    </row>
    <row r="3001" spans="2:9" x14ac:dyDescent="0.3">
      <c r="B3001" s="332"/>
      <c r="C3001" s="333"/>
      <c r="D3001" s="332"/>
      <c r="E3001" s="333"/>
      <c r="F3001" s="334"/>
      <c r="G3001" s="332"/>
      <c r="H3001" s="334" t="s">
        <v>628</v>
      </c>
      <c r="I3001" s="334">
        <f>SUM(H2998:H3000)</f>
        <v>3000</v>
      </c>
    </row>
    <row r="3002" spans="2:9" x14ac:dyDescent="0.3">
      <c r="B3002" s="332" t="s">
        <v>629</v>
      </c>
      <c r="C3002" s="333"/>
      <c r="D3002" s="332"/>
      <c r="E3002" s="333"/>
      <c r="F3002" s="334"/>
      <c r="G3002" s="332"/>
      <c r="H3002" s="334"/>
      <c r="I3002" s="334"/>
    </row>
    <row r="3003" spans="2:9" x14ac:dyDescent="0.3">
      <c r="B3003" s="332" t="s">
        <v>271</v>
      </c>
      <c r="C3003" s="333"/>
      <c r="D3003" s="332"/>
      <c r="E3003" s="333" t="s">
        <v>624</v>
      </c>
      <c r="F3003" s="334" t="s">
        <v>630</v>
      </c>
      <c r="G3003" s="332" t="s">
        <v>631</v>
      </c>
      <c r="H3003" s="334" t="s">
        <v>627</v>
      </c>
      <c r="I3003" s="334"/>
    </row>
    <row r="3004" spans="2:9" x14ac:dyDescent="0.3">
      <c r="B3004" s="342"/>
      <c r="C3004" s="333"/>
      <c r="D3004" s="332"/>
      <c r="E3004" s="343"/>
      <c r="F3004" s="344"/>
      <c r="G3004" s="345"/>
      <c r="H3004" s="344"/>
      <c r="I3004" s="344"/>
    </row>
    <row r="3005" spans="2:9" x14ac:dyDescent="0.3">
      <c r="B3005" s="332"/>
      <c r="C3005" s="333"/>
      <c r="D3005" s="332"/>
      <c r="E3005" s="333"/>
      <c r="F3005" s="334"/>
      <c r="G3005" s="332"/>
      <c r="H3005" s="334"/>
      <c r="I3005" s="334"/>
    </row>
    <row r="3006" spans="2:9" x14ac:dyDescent="0.3">
      <c r="B3006" s="332"/>
      <c r="C3006" s="333"/>
      <c r="D3006" s="332"/>
      <c r="E3006" s="333"/>
      <c r="F3006" s="334"/>
      <c r="G3006" s="332"/>
      <c r="H3006" s="334"/>
      <c r="I3006" s="334"/>
    </row>
    <row r="3007" spans="2:9" x14ac:dyDescent="0.3">
      <c r="B3007" s="332"/>
      <c r="C3007" s="333"/>
      <c r="D3007" s="332"/>
      <c r="E3007" s="333"/>
      <c r="F3007" s="334"/>
      <c r="G3007" s="332"/>
      <c r="H3007" s="334"/>
      <c r="I3007" s="334"/>
    </row>
    <row r="3008" spans="2:9" x14ac:dyDescent="0.3">
      <c r="B3008" s="332"/>
      <c r="C3008" s="333"/>
      <c r="D3008" s="332"/>
      <c r="E3008" s="333"/>
      <c r="F3008" s="334"/>
      <c r="G3008" s="332"/>
      <c r="H3008" s="334" t="s">
        <v>628</v>
      </c>
      <c r="I3008" s="334">
        <f>SUM(H3004:H3007)</f>
        <v>0</v>
      </c>
    </row>
    <row r="3009" spans="2:9" x14ac:dyDescent="0.3">
      <c r="B3009" s="332" t="s">
        <v>632</v>
      </c>
      <c r="C3009" s="333"/>
      <c r="D3009" s="332"/>
      <c r="E3009" s="333" t="s">
        <v>624</v>
      </c>
      <c r="F3009" s="334" t="s">
        <v>633</v>
      </c>
      <c r="G3009" s="332" t="s">
        <v>634</v>
      </c>
      <c r="H3009" s="334" t="s">
        <v>627</v>
      </c>
      <c r="I3009" s="334"/>
    </row>
    <row r="3010" spans="2:9" x14ac:dyDescent="0.3">
      <c r="B3010" s="332"/>
      <c r="C3010" s="333"/>
      <c r="D3010" s="332"/>
      <c r="E3010" s="332"/>
      <c r="F3010" s="332"/>
      <c r="G3010" s="332"/>
      <c r="H3010" s="332"/>
      <c r="I3010" s="332"/>
    </row>
    <row r="3011" spans="2:9" x14ac:dyDescent="0.3">
      <c r="B3011" s="332"/>
      <c r="C3011" s="333"/>
      <c r="D3011" s="332"/>
      <c r="E3011" s="333"/>
      <c r="F3011" s="336"/>
      <c r="G3011" s="334"/>
      <c r="H3011" s="334"/>
      <c r="I3011" s="334"/>
    </row>
    <row r="3012" spans="2:9" x14ac:dyDescent="0.3">
      <c r="B3012" s="332"/>
      <c r="C3012" s="333"/>
      <c r="D3012" s="332"/>
      <c r="E3012" s="333"/>
      <c r="F3012" s="334"/>
      <c r="G3012" s="332"/>
      <c r="H3012" s="334" t="s">
        <v>628</v>
      </c>
      <c r="I3012" s="334">
        <f>SUM(H3011)</f>
        <v>0</v>
      </c>
    </row>
    <row r="3013" spans="2:9" x14ac:dyDescent="0.3">
      <c r="B3013" s="332" t="s">
        <v>635</v>
      </c>
      <c r="C3013" s="333"/>
      <c r="D3013" s="332"/>
      <c r="E3013" s="333"/>
      <c r="F3013" s="334"/>
      <c r="G3013" s="332"/>
      <c r="H3013" s="334"/>
      <c r="I3013" s="334"/>
    </row>
    <row r="3014" spans="2:9" x14ac:dyDescent="0.3">
      <c r="B3014" s="332" t="s">
        <v>636</v>
      </c>
      <c r="C3014" s="333"/>
      <c r="D3014" s="332"/>
      <c r="E3014" s="333" t="s">
        <v>637</v>
      </c>
      <c r="F3014" s="334" t="s">
        <v>638</v>
      </c>
      <c r="G3014" s="332" t="s">
        <v>639</v>
      </c>
      <c r="H3014" s="334" t="s">
        <v>627</v>
      </c>
      <c r="I3014" s="334"/>
    </row>
    <row r="3015" spans="2:9" x14ac:dyDescent="0.3">
      <c r="B3015" s="332" t="s">
        <v>645</v>
      </c>
      <c r="C3015" s="333"/>
      <c r="D3015" s="332"/>
      <c r="E3015" s="337">
        <v>168000</v>
      </c>
      <c r="F3015" s="334">
        <v>1.8</v>
      </c>
      <c r="G3015" s="338">
        <v>11.199999874112965</v>
      </c>
      <c r="H3015" s="334">
        <f>E3015*F3015/G3015</f>
        <v>27000.000303477678</v>
      </c>
      <c r="I3015" s="334"/>
    </row>
    <row r="3016" spans="2:9" x14ac:dyDescent="0.3">
      <c r="B3016" s="332"/>
      <c r="C3016" s="333"/>
      <c r="D3016" s="332"/>
      <c r="E3016" s="333"/>
      <c r="F3016" s="334"/>
      <c r="G3016" s="332"/>
      <c r="H3016" s="334" t="s">
        <v>628</v>
      </c>
      <c r="I3016" s="334">
        <f>H3015</f>
        <v>27000.000303477678</v>
      </c>
    </row>
    <row r="3017" spans="2:9" x14ac:dyDescent="0.3">
      <c r="B3017" s="332"/>
      <c r="C3017" s="333"/>
      <c r="D3017" s="332"/>
      <c r="E3017" s="333"/>
      <c r="F3017" s="334"/>
      <c r="G3017" s="332"/>
      <c r="H3017" s="330" t="s">
        <v>640</v>
      </c>
      <c r="I3017" s="330">
        <f>I3016+I3008+I3001+I3012</f>
        <v>30000.000303477678</v>
      </c>
    </row>
    <row r="3019" spans="2:9" ht="28.8" x14ac:dyDescent="0.3">
      <c r="B3019" s="339" t="s">
        <v>771</v>
      </c>
      <c r="C3019" s="339" t="s">
        <v>621</v>
      </c>
      <c r="D3019" s="341" t="s">
        <v>572</v>
      </c>
      <c r="E3019" s="339"/>
      <c r="F3019" s="340"/>
      <c r="G3019" s="340" t="s">
        <v>622</v>
      </c>
      <c r="H3019" s="340" t="s">
        <v>93</v>
      </c>
      <c r="I3019" s="340">
        <f>+ROUND(I3041,0)</f>
        <v>72360</v>
      </c>
    </row>
    <row r="3020" spans="2:9" x14ac:dyDescent="0.3">
      <c r="B3020" s="332" t="s">
        <v>623</v>
      </c>
      <c r="C3020" s="333"/>
      <c r="D3020" s="332"/>
      <c r="E3020" s="333"/>
      <c r="F3020" s="334"/>
      <c r="G3020" s="332"/>
      <c r="H3020" s="334"/>
      <c r="I3020" s="334"/>
    </row>
    <row r="3021" spans="2:9" x14ac:dyDescent="0.3">
      <c r="B3021" s="332" t="s">
        <v>271</v>
      </c>
      <c r="C3021" s="333"/>
      <c r="D3021" s="332"/>
      <c r="E3021" s="333" t="s">
        <v>624</v>
      </c>
      <c r="F3021" s="334" t="s">
        <v>625</v>
      </c>
      <c r="G3021" s="332" t="s">
        <v>626</v>
      </c>
      <c r="H3021" s="334" t="s">
        <v>627</v>
      </c>
      <c r="I3021" s="334"/>
    </row>
    <row r="3022" spans="2:9" x14ac:dyDescent="0.3">
      <c r="B3022" s="332" t="s">
        <v>642</v>
      </c>
      <c r="C3022" s="333"/>
      <c r="D3022" s="332"/>
      <c r="E3022" s="333" t="s">
        <v>644</v>
      </c>
      <c r="F3022" s="334">
        <v>1500</v>
      </c>
      <c r="G3022" s="335">
        <v>2</v>
      </c>
      <c r="H3022" s="334">
        <f>F3022*G3022</f>
        <v>3000</v>
      </c>
      <c r="I3022" s="334"/>
    </row>
    <row r="3023" spans="2:9" x14ac:dyDescent="0.3">
      <c r="B3023" s="332"/>
      <c r="C3023" s="333"/>
      <c r="D3023" s="332"/>
      <c r="E3023" s="333"/>
      <c r="F3023" s="334"/>
      <c r="G3023" s="335"/>
      <c r="H3023" s="334"/>
      <c r="I3023" s="334"/>
    </row>
    <row r="3024" spans="2:9" x14ac:dyDescent="0.3">
      <c r="B3024" s="332"/>
      <c r="C3024" s="333"/>
      <c r="D3024" s="332"/>
      <c r="E3024" s="333"/>
      <c r="F3024" s="334"/>
      <c r="G3024" s="335"/>
      <c r="H3024" s="334"/>
      <c r="I3024" s="334"/>
    </row>
    <row r="3025" spans="2:9" x14ac:dyDescent="0.3">
      <c r="B3025" s="332"/>
      <c r="C3025" s="333"/>
      <c r="D3025" s="332"/>
      <c r="E3025" s="333"/>
      <c r="F3025" s="334"/>
      <c r="G3025" s="332"/>
      <c r="H3025" s="334" t="s">
        <v>628</v>
      </c>
      <c r="I3025" s="334">
        <f>SUM(H3022:H3024)</f>
        <v>3000</v>
      </c>
    </row>
    <row r="3026" spans="2:9" x14ac:dyDescent="0.3">
      <c r="B3026" s="332" t="s">
        <v>629</v>
      </c>
      <c r="C3026" s="333"/>
      <c r="D3026" s="332"/>
      <c r="E3026" s="333"/>
      <c r="F3026" s="334"/>
      <c r="G3026" s="332"/>
      <c r="H3026" s="334"/>
      <c r="I3026" s="334"/>
    </row>
    <row r="3027" spans="2:9" x14ac:dyDescent="0.3">
      <c r="B3027" s="332" t="s">
        <v>271</v>
      </c>
      <c r="C3027" s="333"/>
      <c r="D3027" s="332"/>
      <c r="E3027" s="333" t="s">
        <v>624</v>
      </c>
      <c r="F3027" s="334" t="s">
        <v>630</v>
      </c>
      <c r="G3027" s="332" t="s">
        <v>631</v>
      </c>
      <c r="H3027" s="334" t="s">
        <v>627</v>
      </c>
      <c r="I3027" s="334"/>
    </row>
    <row r="3028" spans="2:9" ht="28.8" x14ac:dyDescent="0.3">
      <c r="B3028" s="342" t="s">
        <v>683</v>
      </c>
      <c r="C3028" s="333"/>
      <c r="D3028" s="332"/>
      <c r="E3028" s="343" t="s">
        <v>93</v>
      </c>
      <c r="F3028" s="344">
        <v>22372</v>
      </c>
      <c r="G3028" s="345">
        <v>1.1000000000000001</v>
      </c>
      <c r="H3028" s="344">
        <f>F3028*G3028</f>
        <v>24609.200000000001</v>
      </c>
      <c r="I3028" s="344"/>
    </row>
    <row r="3029" spans="2:9" x14ac:dyDescent="0.3">
      <c r="B3029" s="332"/>
      <c r="C3029" s="333"/>
      <c r="D3029" s="332"/>
      <c r="E3029" s="333"/>
      <c r="F3029" s="334"/>
      <c r="G3029" s="332"/>
      <c r="H3029" s="334"/>
      <c r="I3029" s="334"/>
    </row>
    <row r="3030" spans="2:9" x14ac:dyDescent="0.3">
      <c r="B3030" s="332"/>
      <c r="C3030" s="333"/>
      <c r="D3030" s="332"/>
      <c r="E3030" s="333"/>
      <c r="F3030" s="334"/>
      <c r="G3030" s="332"/>
      <c r="H3030" s="334"/>
      <c r="I3030" s="334"/>
    </row>
    <row r="3031" spans="2:9" x14ac:dyDescent="0.3">
      <c r="B3031" s="332"/>
      <c r="C3031" s="333"/>
      <c r="D3031" s="332"/>
      <c r="E3031" s="333"/>
      <c r="F3031" s="334"/>
      <c r="G3031" s="332"/>
      <c r="H3031" s="334"/>
      <c r="I3031" s="334"/>
    </row>
    <row r="3032" spans="2:9" x14ac:dyDescent="0.3">
      <c r="B3032" s="332"/>
      <c r="C3032" s="333"/>
      <c r="D3032" s="332"/>
      <c r="E3032" s="333"/>
      <c r="F3032" s="334"/>
      <c r="G3032" s="332"/>
      <c r="H3032" s="334" t="s">
        <v>628</v>
      </c>
      <c r="I3032" s="334">
        <f>SUM(H3028:H3031)</f>
        <v>24609.200000000001</v>
      </c>
    </row>
    <row r="3033" spans="2:9" x14ac:dyDescent="0.3">
      <c r="B3033" s="332" t="s">
        <v>632</v>
      </c>
      <c r="C3033" s="333"/>
      <c r="D3033" s="332"/>
      <c r="E3033" s="333" t="s">
        <v>624</v>
      </c>
      <c r="F3033" s="334" t="s">
        <v>633</v>
      </c>
      <c r="G3033" s="332" t="s">
        <v>634</v>
      </c>
      <c r="H3033" s="334" t="s">
        <v>627</v>
      </c>
      <c r="I3033" s="334"/>
    </row>
    <row r="3034" spans="2:9" x14ac:dyDescent="0.3">
      <c r="B3034" s="332"/>
      <c r="C3034" s="333"/>
      <c r="D3034" s="332"/>
      <c r="E3034" s="332"/>
      <c r="F3034" s="332"/>
      <c r="G3034" s="332"/>
      <c r="H3034" s="332"/>
      <c r="I3034" s="332"/>
    </row>
    <row r="3035" spans="2:9" x14ac:dyDescent="0.3">
      <c r="B3035" s="332"/>
      <c r="C3035" s="333"/>
      <c r="D3035" s="332"/>
      <c r="E3035" s="333"/>
      <c r="F3035" s="336"/>
      <c r="G3035" s="334"/>
      <c r="H3035" s="334"/>
      <c r="I3035" s="334"/>
    </row>
    <row r="3036" spans="2:9" x14ac:dyDescent="0.3">
      <c r="B3036" s="332"/>
      <c r="C3036" s="333"/>
      <c r="D3036" s="332"/>
      <c r="E3036" s="333"/>
      <c r="F3036" s="334"/>
      <c r="G3036" s="332"/>
      <c r="H3036" s="334" t="s">
        <v>628</v>
      </c>
      <c r="I3036" s="334">
        <f>SUM(H3035)</f>
        <v>0</v>
      </c>
    </row>
    <row r="3037" spans="2:9" x14ac:dyDescent="0.3">
      <c r="B3037" s="332" t="s">
        <v>635</v>
      </c>
      <c r="C3037" s="333"/>
      <c r="D3037" s="332"/>
      <c r="E3037" s="333"/>
      <c r="F3037" s="334"/>
      <c r="G3037" s="332"/>
      <c r="H3037" s="334"/>
      <c r="I3037" s="334"/>
    </row>
    <row r="3038" spans="2:9" x14ac:dyDescent="0.3">
      <c r="B3038" s="332" t="s">
        <v>636</v>
      </c>
      <c r="C3038" s="333"/>
      <c r="D3038" s="332"/>
      <c r="E3038" s="333" t="s">
        <v>637</v>
      </c>
      <c r="F3038" s="334" t="s">
        <v>638</v>
      </c>
      <c r="G3038" s="332" t="s">
        <v>639</v>
      </c>
      <c r="H3038" s="334" t="s">
        <v>627</v>
      </c>
      <c r="I3038" s="334"/>
    </row>
    <row r="3039" spans="2:9" x14ac:dyDescent="0.3">
      <c r="B3039" s="332" t="s">
        <v>645</v>
      </c>
      <c r="C3039" s="333"/>
      <c r="D3039" s="332"/>
      <c r="E3039" s="337">
        <v>168000</v>
      </c>
      <c r="F3039" s="334">
        <v>1.8</v>
      </c>
      <c r="G3039" s="338">
        <v>6.7574211260167054</v>
      </c>
      <c r="H3039" s="334">
        <f>E3039*F3039/G3039</f>
        <v>44750.799803749338</v>
      </c>
      <c r="I3039" s="334"/>
    </row>
    <row r="3040" spans="2:9" x14ac:dyDescent="0.3">
      <c r="B3040" s="332"/>
      <c r="C3040" s="333"/>
      <c r="D3040" s="332"/>
      <c r="E3040" s="333"/>
      <c r="F3040" s="334"/>
      <c r="G3040" s="332"/>
      <c r="H3040" s="334" t="s">
        <v>628</v>
      </c>
      <c r="I3040" s="334">
        <f>H3039</f>
        <v>44750.799803749338</v>
      </c>
    </row>
    <row r="3041" spans="2:9" x14ac:dyDescent="0.3">
      <c r="B3041" s="332"/>
      <c r="C3041" s="333"/>
      <c r="D3041" s="332"/>
      <c r="E3041" s="333"/>
      <c r="F3041" s="334"/>
      <c r="G3041" s="332"/>
      <c r="H3041" s="330" t="s">
        <v>640</v>
      </c>
      <c r="I3041" s="330">
        <f>I3040+I3032+I3025+I3036</f>
        <v>72359.999803749335</v>
      </c>
    </row>
    <row r="3043" spans="2:9" ht="28.8" x14ac:dyDescent="0.3">
      <c r="B3043" s="339" t="s">
        <v>772</v>
      </c>
      <c r="C3043" s="339" t="s">
        <v>621</v>
      </c>
      <c r="D3043" s="341" t="s">
        <v>573</v>
      </c>
      <c r="E3043" s="339"/>
      <c r="F3043" s="340"/>
      <c r="G3043" s="340" t="s">
        <v>622</v>
      </c>
      <c r="H3043" s="340" t="s">
        <v>93</v>
      </c>
      <c r="I3043" s="340">
        <f>+ROUND(I3065,0)</f>
        <v>40000</v>
      </c>
    </row>
    <row r="3044" spans="2:9" x14ac:dyDescent="0.3">
      <c r="B3044" s="332" t="s">
        <v>623</v>
      </c>
      <c r="C3044" s="333"/>
      <c r="D3044" s="332"/>
      <c r="E3044" s="333"/>
      <c r="F3044" s="334"/>
      <c r="G3044" s="332"/>
      <c r="H3044" s="334"/>
      <c r="I3044" s="334"/>
    </row>
    <row r="3045" spans="2:9" x14ac:dyDescent="0.3">
      <c r="B3045" s="332" t="s">
        <v>271</v>
      </c>
      <c r="C3045" s="333"/>
      <c r="D3045" s="332"/>
      <c r="E3045" s="333" t="s">
        <v>624</v>
      </c>
      <c r="F3045" s="334" t="s">
        <v>625</v>
      </c>
      <c r="G3045" s="332" t="s">
        <v>626</v>
      </c>
      <c r="H3045" s="334" t="s">
        <v>627</v>
      </c>
      <c r="I3045" s="334"/>
    </row>
    <row r="3046" spans="2:9" x14ac:dyDescent="0.3">
      <c r="B3046" s="332" t="s">
        <v>642</v>
      </c>
      <c r="C3046" s="333"/>
      <c r="D3046" s="332"/>
      <c r="E3046" s="333" t="s">
        <v>644</v>
      </c>
      <c r="F3046" s="334">
        <v>1500</v>
      </c>
      <c r="G3046" s="335">
        <v>2</v>
      </c>
      <c r="H3046" s="334">
        <f>F3046*G3046</f>
        <v>3000</v>
      </c>
      <c r="I3046" s="334"/>
    </row>
    <row r="3047" spans="2:9" x14ac:dyDescent="0.3">
      <c r="B3047" s="332"/>
      <c r="C3047" s="333"/>
      <c r="D3047" s="332"/>
      <c r="E3047" s="333"/>
      <c r="F3047" s="334"/>
      <c r="G3047" s="335"/>
      <c r="H3047" s="334"/>
      <c r="I3047" s="334"/>
    </row>
    <row r="3048" spans="2:9" x14ac:dyDescent="0.3">
      <c r="B3048" s="332"/>
      <c r="C3048" s="333"/>
      <c r="D3048" s="332"/>
      <c r="E3048" s="333"/>
      <c r="F3048" s="334"/>
      <c r="G3048" s="335"/>
      <c r="H3048" s="334"/>
      <c r="I3048" s="334"/>
    </row>
    <row r="3049" spans="2:9" x14ac:dyDescent="0.3">
      <c r="B3049" s="332"/>
      <c r="C3049" s="333"/>
      <c r="D3049" s="332"/>
      <c r="E3049" s="333"/>
      <c r="F3049" s="334"/>
      <c r="G3049" s="332"/>
      <c r="H3049" s="334" t="s">
        <v>628</v>
      </c>
      <c r="I3049" s="334">
        <f>SUM(H3046:H3048)</f>
        <v>3000</v>
      </c>
    </row>
    <row r="3050" spans="2:9" x14ac:dyDescent="0.3">
      <c r="B3050" s="332" t="s">
        <v>629</v>
      </c>
      <c r="C3050" s="333"/>
      <c r="D3050" s="332"/>
      <c r="E3050" s="333"/>
      <c r="F3050" s="334"/>
      <c r="G3050" s="332"/>
      <c r="H3050" s="334"/>
      <c r="I3050" s="334"/>
    </row>
    <row r="3051" spans="2:9" x14ac:dyDescent="0.3">
      <c r="B3051" s="332" t="s">
        <v>271</v>
      </c>
      <c r="C3051" s="333"/>
      <c r="D3051" s="332"/>
      <c r="E3051" s="333" t="s">
        <v>624</v>
      </c>
      <c r="F3051" s="334" t="s">
        <v>630</v>
      </c>
      <c r="G3051" s="332" t="s">
        <v>631</v>
      </c>
      <c r="H3051" s="334" t="s">
        <v>627</v>
      </c>
      <c r="I3051" s="334"/>
    </row>
    <row r="3052" spans="2:9" ht="28.8" x14ac:dyDescent="0.3">
      <c r="B3052" s="342" t="s">
        <v>685</v>
      </c>
      <c r="C3052" s="333"/>
      <c r="D3052" s="332"/>
      <c r="E3052" s="343" t="s">
        <v>93</v>
      </c>
      <c r="F3052" s="344">
        <v>22372</v>
      </c>
      <c r="G3052" s="345">
        <v>1.5</v>
      </c>
      <c r="H3052" s="344">
        <f>F3052*G3052</f>
        <v>33558</v>
      </c>
      <c r="I3052" s="344"/>
    </row>
    <row r="3053" spans="2:9" x14ac:dyDescent="0.3">
      <c r="B3053" s="332"/>
      <c r="C3053" s="333"/>
      <c r="D3053" s="332"/>
      <c r="E3053" s="333"/>
      <c r="F3053" s="334"/>
      <c r="G3053" s="332"/>
      <c r="H3053" s="334"/>
      <c r="I3053" s="334"/>
    </row>
    <row r="3054" spans="2:9" x14ac:dyDescent="0.3">
      <c r="B3054" s="332"/>
      <c r="C3054" s="333"/>
      <c r="D3054" s="332"/>
      <c r="E3054" s="333"/>
      <c r="F3054" s="334"/>
      <c r="G3054" s="332"/>
      <c r="H3054" s="334"/>
      <c r="I3054" s="334"/>
    </row>
    <row r="3055" spans="2:9" x14ac:dyDescent="0.3">
      <c r="B3055" s="332"/>
      <c r="C3055" s="333"/>
      <c r="D3055" s="332"/>
      <c r="E3055" s="333"/>
      <c r="F3055" s="334"/>
      <c r="G3055" s="332"/>
      <c r="H3055" s="334"/>
      <c r="I3055" s="334"/>
    </row>
    <row r="3056" spans="2:9" x14ac:dyDescent="0.3">
      <c r="B3056" s="332"/>
      <c r="C3056" s="333"/>
      <c r="D3056" s="332"/>
      <c r="E3056" s="333"/>
      <c r="F3056" s="334"/>
      <c r="G3056" s="332"/>
      <c r="H3056" s="334" t="s">
        <v>628</v>
      </c>
      <c r="I3056" s="334">
        <f>SUM(H3052:H3055)</f>
        <v>33558</v>
      </c>
    </row>
    <row r="3057" spans="2:9" x14ac:dyDescent="0.3">
      <c r="B3057" s="332" t="s">
        <v>632</v>
      </c>
      <c r="C3057" s="333"/>
      <c r="D3057" s="332"/>
      <c r="E3057" s="333" t="s">
        <v>624</v>
      </c>
      <c r="F3057" s="334" t="s">
        <v>633</v>
      </c>
      <c r="G3057" s="332" t="s">
        <v>634</v>
      </c>
      <c r="H3057" s="334" t="s">
        <v>627</v>
      </c>
      <c r="I3057" s="334"/>
    </row>
    <row r="3058" spans="2:9" x14ac:dyDescent="0.3">
      <c r="B3058" s="332"/>
      <c r="C3058" s="333"/>
      <c r="D3058" s="332"/>
      <c r="E3058" s="332"/>
      <c r="F3058" s="332"/>
      <c r="G3058" s="332"/>
      <c r="H3058" s="332"/>
      <c r="I3058" s="332"/>
    </row>
    <row r="3059" spans="2:9" x14ac:dyDescent="0.3">
      <c r="B3059" s="332"/>
      <c r="C3059" s="333"/>
      <c r="D3059" s="332"/>
      <c r="E3059" s="333"/>
      <c r="F3059" s="336"/>
      <c r="G3059" s="334"/>
      <c r="H3059" s="334"/>
      <c r="I3059" s="334"/>
    </row>
    <row r="3060" spans="2:9" x14ac:dyDescent="0.3">
      <c r="B3060" s="332"/>
      <c r="C3060" s="333"/>
      <c r="D3060" s="332"/>
      <c r="E3060" s="333"/>
      <c r="F3060" s="334"/>
      <c r="G3060" s="332"/>
      <c r="H3060" s="334" t="s">
        <v>628</v>
      </c>
      <c r="I3060" s="334">
        <f>SUM(H3059)</f>
        <v>0</v>
      </c>
    </row>
    <row r="3061" spans="2:9" x14ac:dyDescent="0.3">
      <c r="B3061" s="332" t="s">
        <v>635</v>
      </c>
      <c r="C3061" s="333"/>
      <c r="D3061" s="332"/>
      <c r="E3061" s="333"/>
      <c r="F3061" s="334"/>
      <c r="G3061" s="332"/>
      <c r="H3061" s="334"/>
      <c r="I3061" s="334"/>
    </row>
    <row r="3062" spans="2:9" x14ac:dyDescent="0.3">
      <c r="B3062" s="332" t="s">
        <v>636</v>
      </c>
      <c r="C3062" s="333"/>
      <c r="D3062" s="332"/>
      <c r="E3062" s="333" t="s">
        <v>637</v>
      </c>
      <c r="F3062" s="334" t="s">
        <v>638</v>
      </c>
      <c r="G3062" s="332" t="s">
        <v>639</v>
      </c>
      <c r="H3062" s="334" t="s">
        <v>627</v>
      </c>
      <c r="I3062" s="334"/>
    </row>
    <row r="3063" spans="2:9" x14ac:dyDescent="0.3">
      <c r="B3063" s="332" t="s">
        <v>645</v>
      </c>
      <c r="C3063" s="333"/>
      <c r="D3063" s="332"/>
      <c r="E3063" s="337">
        <v>168000</v>
      </c>
      <c r="F3063" s="334">
        <v>1.8</v>
      </c>
      <c r="G3063" s="338">
        <v>87.855892264832818</v>
      </c>
      <c r="H3063" s="334">
        <f>E3063*F3063/G3063</f>
        <v>3442.0002142650305</v>
      </c>
      <c r="I3063" s="334"/>
    </row>
    <row r="3064" spans="2:9" x14ac:dyDescent="0.3">
      <c r="B3064" s="332"/>
      <c r="C3064" s="333"/>
      <c r="D3064" s="332"/>
      <c r="E3064" s="333"/>
      <c r="F3064" s="334"/>
      <c r="G3064" s="332"/>
      <c r="H3064" s="334" t="s">
        <v>628</v>
      </c>
      <c r="I3064" s="334">
        <f>H3063</f>
        <v>3442.0002142650305</v>
      </c>
    </row>
    <row r="3065" spans="2:9" x14ac:dyDescent="0.3">
      <c r="B3065" s="332"/>
      <c r="C3065" s="333"/>
      <c r="D3065" s="332"/>
      <c r="E3065" s="333"/>
      <c r="F3065" s="334"/>
      <c r="G3065" s="332"/>
      <c r="H3065" s="330" t="s">
        <v>640</v>
      </c>
      <c r="I3065" s="330">
        <f>I3064+I3056+I3049+I3060</f>
        <v>40000.000214265034</v>
      </c>
    </row>
    <row r="3067" spans="2:9" ht="72" x14ac:dyDescent="0.3">
      <c r="B3067" s="339" t="s">
        <v>674</v>
      </c>
      <c r="C3067" s="339" t="s">
        <v>621</v>
      </c>
      <c r="D3067" s="341" t="s">
        <v>531</v>
      </c>
      <c r="E3067" s="339"/>
      <c r="F3067" s="340"/>
      <c r="G3067" s="340" t="s">
        <v>622</v>
      </c>
      <c r="H3067" s="340" t="s">
        <v>60</v>
      </c>
      <c r="I3067" s="340">
        <f>+ROUND(I3089,0)</f>
        <v>9500</v>
      </c>
    </row>
    <row r="3068" spans="2:9" x14ac:dyDescent="0.3">
      <c r="B3068" s="332" t="s">
        <v>623</v>
      </c>
      <c r="C3068" s="333"/>
      <c r="D3068" s="332"/>
      <c r="E3068" s="333"/>
      <c r="F3068" s="334"/>
      <c r="G3068" s="332"/>
      <c r="H3068" s="334"/>
      <c r="I3068" s="334"/>
    </row>
    <row r="3069" spans="2:9" x14ac:dyDescent="0.3">
      <c r="B3069" s="332" t="s">
        <v>271</v>
      </c>
      <c r="C3069" s="333"/>
      <c r="D3069" s="332"/>
      <c r="E3069" s="333" t="s">
        <v>624</v>
      </c>
      <c r="F3069" s="334" t="s">
        <v>625</v>
      </c>
      <c r="G3069" s="332" t="s">
        <v>626</v>
      </c>
      <c r="H3069" s="334" t="s">
        <v>627</v>
      </c>
      <c r="I3069" s="334"/>
    </row>
    <row r="3070" spans="2:9" x14ac:dyDescent="0.3">
      <c r="B3070" s="332" t="s">
        <v>642</v>
      </c>
      <c r="C3070" s="333"/>
      <c r="D3070" s="332"/>
      <c r="E3070" s="333" t="s">
        <v>644</v>
      </c>
      <c r="F3070" s="334">
        <v>1500</v>
      </c>
      <c r="G3070" s="335">
        <v>1</v>
      </c>
      <c r="H3070" s="334">
        <f>F3070*G3070</f>
        <v>1500</v>
      </c>
      <c r="I3070" s="334"/>
    </row>
    <row r="3071" spans="2:9" x14ac:dyDescent="0.3">
      <c r="B3071" s="332"/>
      <c r="C3071" s="333"/>
      <c r="D3071" s="332"/>
      <c r="E3071" s="333"/>
      <c r="F3071" s="334"/>
      <c r="G3071" s="335"/>
      <c r="H3071" s="334"/>
      <c r="I3071" s="334"/>
    </row>
    <row r="3072" spans="2:9" x14ac:dyDescent="0.3">
      <c r="B3072" s="332"/>
      <c r="C3072" s="333"/>
      <c r="D3072" s="332"/>
      <c r="E3072" s="333"/>
      <c r="F3072" s="334"/>
      <c r="G3072" s="335"/>
      <c r="H3072" s="334"/>
      <c r="I3072" s="334"/>
    </row>
    <row r="3073" spans="2:9" x14ac:dyDescent="0.3">
      <c r="B3073" s="332"/>
      <c r="C3073" s="333"/>
      <c r="D3073" s="332"/>
      <c r="E3073" s="333"/>
      <c r="F3073" s="334"/>
      <c r="G3073" s="332"/>
      <c r="H3073" s="334" t="s">
        <v>628</v>
      </c>
      <c r="I3073" s="334">
        <f>SUM(H3070:H3072)</f>
        <v>1500</v>
      </c>
    </row>
    <row r="3074" spans="2:9" x14ac:dyDescent="0.3">
      <c r="B3074" s="332" t="s">
        <v>629</v>
      </c>
      <c r="C3074" s="333"/>
      <c r="D3074" s="332"/>
      <c r="E3074" s="333"/>
      <c r="F3074" s="334"/>
      <c r="G3074" s="332"/>
      <c r="H3074" s="334"/>
      <c r="I3074" s="334"/>
    </row>
    <row r="3075" spans="2:9" x14ac:dyDescent="0.3">
      <c r="B3075" s="332" t="s">
        <v>271</v>
      </c>
      <c r="C3075" s="333"/>
      <c r="D3075" s="332"/>
      <c r="E3075" s="333" t="s">
        <v>624</v>
      </c>
      <c r="F3075" s="334" t="s">
        <v>630</v>
      </c>
      <c r="G3075" s="332" t="s">
        <v>631</v>
      </c>
      <c r="H3075" s="334" t="s">
        <v>627</v>
      </c>
      <c r="I3075" s="334"/>
    </row>
    <row r="3076" spans="2:9" x14ac:dyDescent="0.3">
      <c r="B3076" s="342" t="s">
        <v>675</v>
      </c>
      <c r="C3076" s="333"/>
      <c r="D3076" s="332"/>
      <c r="E3076" s="343" t="s">
        <v>102</v>
      </c>
      <c r="F3076" s="344">
        <v>78600</v>
      </c>
      <c r="G3076" s="345">
        <v>0.03</v>
      </c>
      <c r="H3076" s="344">
        <f>F3076*G3076</f>
        <v>2358</v>
      </c>
      <c r="I3076" s="344"/>
    </row>
    <row r="3077" spans="2:9" x14ac:dyDescent="0.3">
      <c r="B3077" s="332" t="s">
        <v>678</v>
      </c>
      <c r="C3077" s="333"/>
      <c r="D3077" s="332"/>
      <c r="E3077" s="333" t="s">
        <v>677</v>
      </c>
      <c r="F3077" s="334">
        <v>66599</v>
      </c>
      <c r="G3077" s="332">
        <v>0.05</v>
      </c>
      <c r="H3077" s="334">
        <f>F3077*G3077</f>
        <v>3329.9500000000003</v>
      </c>
      <c r="I3077" s="334"/>
    </row>
    <row r="3078" spans="2:9" x14ac:dyDescent="0.3">
      <c r="B3078" s="332" t="s">
        <v>676</v>
      </c>
      <c r="C3078" s="333"/>
      <c r="D3078" s="332"/>
      <c r="E3078" s="333" t="s">
        <v>33</v>
      </c>
      <c r="F3078" s="334">
        <v>2604</v>
      </c>
      <c r="G3078" s="332">
        <v>0.03</v>
      </c>
      <c r="H3078" s="334">
        <f>F3078*G3078</f>
        <v>78.11999999999999</v>
      </c>
      <c r="I3078" s="334"/>
    </row>
    <row r="3079" spans="2:9" x14ac:dyDescent="0.3">
      <c r="B3079" s="332"/>
      <c r="C3079" s="333"/>
      <c r="D3079" s="332"/>
      <c r="E3079" s="333"/>
      <c r="F3079" s="334"/>
      <c r="G3079" s="332"/>
      <c r="H3079" s="334"/>
      <c r="I3079" s="334"/>
    </row>
    <row r="3080" spans="2:9" x14ac:dyDescent="0.3">
      <c r="B3080" s="332"/>
      <c r="C3080" s="333"/>
      <c r="D3080" s="332"/>
      <c r="E3080" s="333"/>
      <c r="F3080" s="334"/>
      <c r="G3080" s="332"/>
      <c r="H3080" s="334" t="s">
        <v>628</v>
      </c>
      <c r="I3080" s="334">
        <f>SUM(H3076:H3079)</f>
        <v>5766.0700000000006</v>
      </c>
    </row>
    <row r="3081" spans="2:9" x14ac:dyDescent="0.3">
      <c r="B3081" s="332" t="s">
        <v>632</v>
      </c>
      <c r="C3081" s="333"/>
      <c r="D3081" s="332"/>
      <c r="E3081" s="333" t="s">
        <v>624</v>
      </c>
      <c r="F3081" s="334" t="s">
        <v>633</v>
      </c>
      <c r="G3081" s="332" t="s">
        <v>634</v>
      </c>
      <c r="H3081" s="334" t="s">
        <v>627</v>
      </c>
      <c r="I3081" s="334"/>
    </row>
    <row r="3082" spans="2:9" x14ac:dyDescent="0.3">
      <c r="B3082" s="332"/>
      <c r="C3082" s="333"/>
      <c r="D3082" s="332"/>
      <c r="E3082" s="332"/>
      <c r="F3082" s="332"/>
      <c r="G3082" s="332"/>
      <c r="H3082" s="332"/>
      <c r="I3082" s="332"/>
    </row>
    <row r="3083" spans="2:9" x14ac:dyDescent="0.3">
      <c r="B3083" s="332"/>
      <c r="C3083" s="333"/>
      <c r="D3083" s="332"/>
      <c r="E3083" s="333"/>
      <c r="F3083" s="336"/>
      <c r="G3083" s="334"/>
      <c r="H3083" s="334"/>
      <c r="I3083" s="334"/>
    </row>
    <row r="3084" spans="2:9" x14ac:dyDescent="0.3">
      <c r="B3084" s="332"/>
      <c r="C3084" s="333"/>
      <c r="D3084" s="332"/>
      <c r="E3084" s="333"/>
      <c r="F3084" s="334"/>
      <c r="G3084" s="332"/>
      <c r="H3084" s="334" t="s">
        <v>628</v>
      </c>
      <c r="I3084" s="334">
        <f>SUM(H3083)</f>
        <v>0</v>
      </c>
    </row>
    <row r="3085" spans="2:9" x14ac:dyDescent="0.3">
      <c r="B3085" s="332" t="s">
        <v>635</v>
      </c>
      <c r="C3085" s="333"/>
      <c r="D3085" s="332"/>
      <c r="E3085" s="333"/>
      <c r="F3085" s="334"/>
      <c r="G3085" s="332"/>
      <c r="H3085" s="334"/>
      <c r="I3085" s="334"/>
    </row>
    <row r="3086" spans="2:9" x14ac:dyDescent="0.3">
      <c r="B3086" s="332" t="s">
        <v>636</v>
      </c>
      <c r="C3086" s="333"/>
      <c r="D3086" s="332"/>
      <c r="E3086" s="333" t="s">
        <v>637</v>
      </c>
      <c r="F3086" s="334" t="s">
        <v>638</v>
      </c>
      <c r="G3086" s="332" t="s">
        <v>639</v>
      </c>
      <c r="H3086" s="334" t="s">
        <v>627</v>
      </c>
      <c r="I3086" s="334"/>
    </row>
    <row r="3087" spans="2:9" x14ac:dyDescent="0.3">
      <c r="B3087" s="332" t="s">
        <v>645</v>
      </c>
      <c r="C3087" s="333"/>
      <c r="D3087" s="332"/>
      <c r="E3087" s="337">
        <v>168000</v>
      </c>
      <c r="F3087" s="334">
        <v>1.8</v>
      </c>
      <c r="G3087" s="338">
        <v>135.36682010797767</v>
      </c>
      <c r="H3087" s="334">
        <f>E3087*F3087/G3087</f>
        <v>2233.9299967213933</v>
      </c>
      <c r="I3087" s="334"/>
    </row>
    <row r="3088" spans="2:9" x14ac:dyDescent="0.3">
      <c r="B3088" s="332"/>
      <c r="C3088" s="333"/>
      <c r="D3088" s="332"/>
      <c r="E3088" s="333"/>
      <c r="F3088" s="334"/>
      <c r="G3088" s="332"/>
      <c r="H3088" s="334" t="s">
        <v>628</v>
      </c>
      <c r="I3088" s="334">
        <f>H3087</f>
        <v>2233.9299967213933</v>
      </c>
    </row>
    <row r="3089" spans="2:9" x14ac:dyDescent="0.3">
      <c r="B3089" s="332"/>
      <c r="C3089" s="333"/>
      <c r="D3089" s="332"/>
      <c r="E3089" s="333"/>
      <c r="F3089" s="334"/>
      <c r="G3089" s="332"/>
      <c r="H3089" s="330" t="s">
        <v>640</v>
      </c>
      <c r="I3089" s="330">
        <f>I3088+I3080+I3073+I3084</f>
        <v>9499.9999967213935</v>
      </c>
    </row>
    <row r="3091" spans="2:9" ht="43.2" x14ac:dyDescent="0.3">
      <c r="B3091" s="339" t="s">
        <v>679</v>
      </c>
      <c r="C3091" s="339" t="s">
        <v>621</v>
      </c>
      <c r="D3091" s="341" t="s">
        <v>584</v>
      </c>
      <c r="E3091" s="339"/>
      <c r="F3091" s="340"/>
      <c r="G3091" s="340" t="s">
        <v>622</v>
      </c>
      <c r="H3091" s="340" t="s">
        <v>60</v>
      </c>
      <c r="I3091" s="340">
        <f>+ROUND(I3113,0)</f>
        <v>12000</v>
      </c>
    </row>
    <row r="3092" spans="2:9" x14ac:dyDescent="0.3">
      <c r="B3092" s="332" t="s">
        <v>623</v>
      </c>
      <c r="C3092" s="333"/>
      <c r="D3092" s="332"/>
      <c r="E3092" s="333"/>
      <c r="F3092" s="334"/>
      <c r="G3092" s="332"/>
      <c r="H3092" s="334"/>
      <c r="I3092" s="334"/>
    </row>
    <row r="3093" spans="2:9" x14ac:dyDescent="0.3">
      <c r="B3093" s="332" t="s">
        <v>271</v>
      </c>
      <c r="C3093" s="333"/>
      <c r="D3093" s="332"/>
      <c r="E3093" s="333" t="s">
        <v>624</v>
      </c>
      <c r="F3093" s="334" t="s">
        <v>625</v>
      </c>
      <c r="G3093" s="332" t="s">
        <v>626</v>
      </c>
      <c r="H3093" s="334" t="s">
        <v>627</v>
      </c>
      <c r="I3093" s="334"/>
    </row>
    <row r="3094" spans="2:9" x14ac:dyDescent="0.3">
      <c r="B3094" s="332" t="s">
        <v>642</v>
      </c>
      <c r="C3094" s="333"/>
      <c r="D3094" s="332"/>
      <c r="E3094" s="333" t="s">
        <v>644</v>
      </c>
      <c r="F3094" s="334">
        <v>1500</v>
      </c>
      <c r="G3094" s="335">
        <v>1</v>
      </c>
      <c r="H3094" s="334">
        <f>F3094*G3094</f>
        <v>1500</v>
      </c>
      <c r="I3094" s="334"/>
    </row>
    <row r="3095" spans="2:9" x14ac:dyDescent="0.3">
      <c r="B3095" s="332"/>
      <c r="C3095" s="333"/>
      <c r="D3095" s="332"/>
      <c r="E3095" s="333"/>
      <c r="F3095" s="334"/>
      <c r="G3095" s="335"/>
      <c r="H3095" s="334"/>
      <c r="I3095" s="334"/>
    </row>
    <row r="3096" spans="2:9" x14ac:dyDescent="0.3">
      <c r="B3096" s="332"/>
      <c r="C3096" s="333"/>
      <c r="D3096" s="332"/>
      <c r="E3096" s="333"/>
      <c r="F3096" s="334"/>
      <c r="G3096" s="335"/>
      <c r="H3096" s="334"/>
      <c r="I3096" s="334"/>
    </row>
    <row r="3097" spans="2:9" x14ac:dyDescent="0.3">
      <c r="B3097" s="332"/>
      <c r="C3097" s="333"/>
      <c r="D3097" s="332"/>
      <c r="E3097" s="333"/>
      <c r="F3097" s="334"/>
      <c r="G3097" s="332"/>
      <c r="H3097" s="334" t="s">
        <v>628</v>
      </c>
      <c r="I3097" s="334">
        <f>SUM(H3094:H3096)</f>
        <v>1500</v>
      </c>
    </row>
    <row r="3098" spans="2:9" x14ac:dyDescent="0.3">
      <c r="B3098" s="332" t="s">
        <v>629</v>
      </c>
      <c r="C3098" s="333"/>
      <c r="D3098" s="332"/>
      <c r="E3098" s="333"/>
      <c r="F3098" s="334"/>
      <c r="G3098" s="332"/>
      <c r="H3098" s="334"/>
      <c r="I3098" s="334"/>
    </row>
    <row r="3099" spans="2:9" x14ac:dyDescent="0.3">
      <c r="B3099" s="332" t="s">
        <v>271</v>
      </c>
      <c r="C3099" s="333"/>
      <c r="D3099" s="332"/>
      <c r="E3099" s="333" t="s">
        <v>624</v>
      </c>
      <c r="F3099" s="334" t="s">
        <v>630</v>
      </c>
      <c r="G3099" s="332" t="s">
        <v>631</v>
      </c>
      <c r="H3099" s="334" t="s">
        <v>627</v>
      </c>
      <c r="I3099" s="334"/>
    </row>
    <row r="3100" spans="2:9" x14ac:dyDescent="0.3">
      <c r="B3100" s="342" t="s">
        <v>675</v>
      </c>
      <c r="C3100" s="333"/>
      <c r="D3100" s="332"/>
      <c r="E3100" s="343" t="s">
        <v>102</v>
      </c>
      <c r="F3100" s="344">
        <v>97380</v>
      </c>
      <c r="G3100" s="345">
        <v>0.04</v>
      </c>
      <c r="H3100" s="344">
        <f>F3100*G3100</f>
        <v>3895.2000000000003</v>
      </c>
      <c r="I3100" s="344"/>
    </row>
    <row r="3101" spans="2:9" x14ac:dyDescent="0.3">
      <c r="B3101" s="332" t="s">
        <v>680</v>
      </c>
      <c r="C3101" s="333"/>
      <c r="D3101" s="332"/>
      <c r="E3101" s="333" t="s">
        <v>677</v>
      </c>
      <c r="F3101" s="334">
        <v>66599</v>
      </c>
      <c r="G3101" s="332">
        <v>0.03</v>
      </c>
      <c r="H3101" s="334">
        <f>F3101*G3101</f>
        <v>1997.97</v>
      </c>
      <c r="I3101" s="334"/>
    </row>
    <row r="3102" spans="2:9" x14ac:dyDescent="0.3">
      <c r="B3102" s="332" t="s">
        <v>676</v>
      </c>
      <c r="C3102" s="333"/>
      <c r="D3102" s="332"/>
      <c r="E3102" s="333" t="s">
        <v>33</v>
      </c>
      <c r="F3102" s="334">
        <v>2604</v>
      </c>
      <c r="G3102" s="332">
        <v>0.04</v>
      </c>
      <c r="H3102" s="334">
        <f>F3102*G3102</f>
        <v>104.16</v>
      </c>
      <c r="I3102" s="334"/>
    </row>
    <row r="3103" spans="2:9" x14ac:dyDescent="0.3">
      <c r="B3103" s="332"/>
      <c r="C3103" s="333"/>
      <c r="D3103" s="332"/>
      <c r="E3103" s="333"/>
      <c r="F3103" s="334"/>
      <c r="G3103" s="332"/>
      <c r="H3103" s="334"/>
      <c r="I3103" s="334"/>
    </row>
    <row r="3104" spans="2:9" x14ac:dyDescent="0.3">
      <c r="B3104" s="332"/>
      <c r="C3104" s="333"/>
      <c r="D3104" s="332"/>
      <c r="E3104" s="333"/>
      <c r="F3104" s="334"/>
      <c r="G3104" s="332"/>
      <c r="H3104" s="334" t="s">
        <v>628</v>
      </c>
      <c r="I3104" s="334">
        <f>SUM(H3100:H3103)</f>
        <v>5997.33</v>
      </c>
    </row>
    <row r="3105" spans="2:9" x14ac:dyDescent="0.3">
      <c r="B3105" s="332" t="s">
        <v>632</v>
      </c>
      <c r="C3105" s="333"/>
      <c r="D3105" s="332"/>
      <c r="E3105" s="333" t="s">
        <v>624</v>
      </c>
      <c r="F3105" s="334" t="s">
        <v>633</v>
      </c>
      <c r="G3105" s="332" t="s">
        <v>634</v>
      </c>
      <c r="H3105" s="334" t="s">
        <v>627</v>
      </c>
      <c r="I3105" s="334"/>
    </row>
    <row r="3106" spans="2:9" x14ac:dyDescent="0.3">
      <c r="B3106" s="332"/>
      <c r="C3106" s="333"/>
      <c r="D3106" s="332"/>
      <c r="E3106" s="332"/>
      <c r="F3106" s="332"/>
      <c r="G3106" s="332"/>
      <c r="H3106" s="332"/>
      <c r="I3106" s="332"/>
    </row>
    <row r="3107" spans="2:9" x14ac:dyDescent="0.3">
      <c r="B3107" s="332"/>
      <c r="C3107" s="333"/>
      <c r="D3107" s="332"/>
      <c r="E3107" s="333"/>
      <c r="F3107" s="336"/>
      <c r="G3107" s="334"/>
      <c r="H3107" s="334"/>
      <c r="I3107" s="334"/>
    </row>
    <row r="3108" spans="2:9" x14ac:dyDescent="0.3">
      <c r="B3108" s="332"/>
      <c r="C3108" s="333"/>
      <c r="D3108" s="332"/>
      <c r="E3108" s="333"/>
      <c r="F3108" s="334"/>
      <c r="G3108" s="332"/>
      <c r="H3108" s="334" t="s">
        <v>628</v>
      </c>
      <c r="I3108" s="334">
        <f>SUM(H3107)</f>
        <v>0</v>
      </c>
    </row>
    <row r="3109" spans="2:9" x14ac:dyDescent="0.3">
      <c r="B3109" s="332" t="s">
        <v>635</v>
      </c>
      <c r="C3109" s="333"/>
      <c r="D3109" s="332"/>
      <c r="E3109" s="333"/>
      <c r="F3109" s="334"/>
      <c r="G3109" s="332"/>
      <c r="H3109" s="334"/>
      <c r="I3109" s="334"/>
    </row>
    <row r="3110" spans="2:9" x14ac:dyDescent="0.3">
      <c r="B3110" s="332" t="s">
        <v>636</v>
      </c>
      <c r="C3110" s="333"/>
      <c r="D3110" s="332"/>
      <c r="E3110" s="333" t="s">
        <v>637</v>
      </c>
      <c r="F3110" s="334" t="s">
        <v>638</v>
      </c>
      <c r="G3110" s="332" t="s">
        <v>639</v>
      </c>
      <c r="H3110" s="334" t="s">
        <v>627</v>
      </c>
      <c r="I3110" s="334"/>
    </row>
    <row r="3111" spans="2:9" x14ac:dyDescent="0.3">
      <c r="B3111" s="332" t="s">
        <v>645</v>
      </c>
      <c r="C3111" s="333"/>
      <c r="D3111" s="332"/>
      <c r="E3111" s="337">
        <v>168000</v>
      </c>
      <c r="F3111" s="334">
        <v>1.8</v>
      </c>
      <c r="G3111" s="338">
        <v>67.160151641378178</v>
      </c>
      <c r="H3111" s="334">
        <f>E3111*F3111/G3111</f>
        <v>4502.6700001327536</v>
      </c>
      <c r="I3111" s="334"/>
    </row>
    <row r="3112" spans="2:9" x14ac:dyDescent="0.3">
      <c r="B3112" s="332"/>
      <c r="C3112" s="333"/>
      <c r="D3112" s="332"/>
      <c r="E3112" s="333"/>
      <c r="F3112" s="334"/>
      <c r="G3112" s="332"/>
      <c r="H3112" s="334" t="s">
        <v>628</v>
      </c>
      <c r="I3112" s="334">
        <f>H3111</f>
        <v>4502.6700001327536</v>
      </c>
    </row>
    <row r="3113" spans="2:9" x14ac:dyDescent="0.3">
      <c r="B3113" s="332"/>
      <c r="C3113" s="333"/>
      <c r="D3113" s="332"/>
      <c r="E3113" s="333"/>
      <c r="F3113" s="334"/>
      <c r="G3113" s="332"/>
      <c r="H3113" s="330" t="s">
        <v>640</v>
      </c>
      <c r="I3113" s="330">
        <f>I3112+I3104+I3097+I3108</f>
        <v>12000.000000132753</v>
      </c>
    </row>
    <row r="3115" spans="2:9" ht="57.6" x14ac:dyDescent="0.3">
      <c r="B3115" s="339" t="s">
        <v>681</v>
      </c>
      <c r="C3115" s="339" t="s">
        <v>621</v>
      </c>
      <c r="D3115" s="341" t="s">
        <v>567</v>
      </c>
      <c r="E3115" s="339"/>
      <c r="F3115" s="340"/>
      <c r="G3115" s="340" t="s">
        <v>622</v>
      </c>
      <c r="H3115" s="340" t="s">
        <v>33</v>
      </c>
      <c r="I3115" s="340">
        <f>+ROUND(I3137,0)</f>
        <v>35000</v>
      </c>
    </row>
    <row r="3116" spans="2:9" x14ac:dyDescent="0.3">
      <c r="B3116" s="332" t="s">
        <v>623</v>
      </c>
      <c r="C3116" s="333"/>
      <c r="D3116" s="332"/>
      <c r="E3116" s="333"/>
      <c r="F3116" s="334"/>
      <c r="G3116" s="332"/>
      <c r="H3116" s="334"/>
      <c r="I3116" s="334"/>
    </row>
    <row r="3117" spans="2:9" x14ac:dyDescent="0.3">
      <c r="B3117" s="332" t="s">
        <v>271</v>
      </c>
      <c r="C3117" s="333"/>
      <c r="D3117" s="332"/>
      <c r="E3117" s="333" t="s">
        <v>624</v>
      </c>
      <c r="F3117" s="334" t="s">
        <v>625</v>
      </c>
      <c r="G3117" s="332" t="s">
        <v>626</v>
      </c>
      <c r="H3117" s="334" t="s">
        <v>627</v>
      </c>
      <c r="I3117" s="334"/>
    </row>
    <row r="3118" spans="2:9" x14ac:dyDescent="0.3">
      <c r="B3118" s="332" t="s">
        <v>701</v>
      </c>
      <c r="C3118" s="333"/>
      <c r="D3118" s="332"/>
      <c r="E3118" s="333" t="s">
        <v>644</v>
      </c>
      <c r="F3118" s="334">
        <v>1500</v>
      </c>
      <c r="G3118" s="335">
        <v>2</v>
      </c>
      <c r="H3118" s="334">
        <f>F3118*G3118</f>
        <v>3000</v>
      </c>
      <c r="I3118" s="334"/>
    </row>
    <row r="3119" spans="2:9" x14ac:dyDescent="0.3">
      <c r="B3119" s="332"/>
      <c r="C3119" s="333"/>
      <c r="D3119" s="332"/>
      <c r="E3119" s="333"/>
      <c r="F3119" s="334"/>
      <c r="G3119" s="335"/>
      <c r="H3119" s="334"/>
      <c r="I3119" s="334"/>
    </row>
    <row r="3120" spans="2:9" x14ac:dyDescent="0.3">
      <c r="B3120" s="332"/>
      <c r="C3120" s="333"/>
      <c r="D3120" s="332"/>
      <c r="E3120" s="333"/>
      <c r="F3120" s="334"/>
      <c r="G3120" s="335"/>
      <c r="H3120" s="334"/>
      <c r="I3120" s="334"/>
    </row>
    <row r="3121" spans="2:9" x14ac:dyDescent="0.3">
      <c r="B3121" s="332"/>
      <c r="C3121" s="333"/>
      <c r="D3121" s="332"/>
      <c r="E3121" s="333"/>
      <c r="F3121" s="334"/>
      <c r="G3121" s="332"/>
      <c r="H3121" s="334" t="s">
        <v>628</v>
      </c>
      <c r="I3121" s="334">
        <f>SUM(H3118:H3120)</f>
        <v>3000</v>
      </c>
    </row>
    <row r="3122" spans="2:9" x14ac:dyDescent="0.3">
      <c r="B3122" s="332" t="s">
        <v>629</v>
      </c>
      <c r="C3122" s="333"/>
      <c r="D3122" s="332"/>
      <c r="E3122" s="333"/>
      <c r="F3122" s="334"/>
      <c r="G3122" s="332"/>
      <c r="H3122" s="334"/>
      <c r="I3122" s="334"/>
    </row>
    <row r="3123" spans="2:9" x14ac:dyDescent="0.3">
      <c r="B3123" s="332" t="s">
        <v>271</v>
      </c>
      <c r="C3123" s="333"/>
      <c r="D3123" s="332"/>
      <c r="E3123" s="333" t="s">
        <v>624</v>
      </c>
      <c r="F3123" s="334" t="s">
        <v>630</v>
      </c>
      <c r="G3123" s="332" t="s">
        <v>631</v>
      </c>
      <c r="H3123" s="334" t="s">
        <v>627</v>
      </c>
      <c r="I3123" s="334"/>
    </row>
    <row r="3124" spans="2:9" x14ac:dyDescent="0.3">
      <c r="B3124" s="342"/>
      <c r="C3124" s="333"/>
      <c r="D3124" s="332"/>
      <c r="E3124" s="343"/>
      <c r="F3124" s="344"/>
      <c r="G3124" s="345"/>
      <c r="H3124" s="344"/>
      <c r="I3124" s="344"/>
    </row>
    <row r="3125" spans="2:9" x14ac:dyDescent="0.3">
      <c r="B3125" s="332"/>
      <c r="C3125" s="333"/>
      <c r="D3125" s="332"/>
      <c r="E3125" s="333"/>
      <c r="F3125" s="334"/>
      <c r="G3125" s="332"/>
      <c r="H3125" s="334"/>
      <c r="I3125" s="334"/>
    </row>
    <row r="3126" spans="2:9" x14ac:dyDescent="0.3">
      <c r="B3126" s="332"/>
      <c r="C3126" s="333"/>
      <c r="D3126" s="332"/>
      <c r="E3126" s="333"/>
      <c r="F3126" s="334"/>
      <c r="G3126" s="332"/>
      <c r="H3126" s="334"/>
      <c r="I3126" s="334"/>
    </row>
    <row r="3127" spans="2:9" x14ac:dyDescent="0.3">
      <c r="B3127" s="332"/>
      <c r="C3127" s="333"/>
      <c r="D3127" s="332"/>
      <c r="E3127" s="333"/>
      <c r="F3127" s="334"/>
      <c r="G3127" s="332"/>
      <c r="H3127" s="334"/>
      <c r="I3127" s="334"/>
    </row>
    <row r="3128" spans="2:9" x14ac:dyDescent="0.3">
      <c r="B3128" s="332"/>
      <c r="C3128" s="333"/>
      <c r="D3128" s="332"/>
      <c r="E3128" s="333"/>
      <c r="F3128" s="334"/>
      <c r="G3128" s="332"/>
      <c r="H3128" s="334" t="s">
        <v>628</v>
      </c>
      <c r="I3128" s="334">
        <f>SUM(H3124:H3127)</f>
        <v>0</v>
      </c>
    </row>
    <row r="3129" spans="2:9" x14ac:dyDescent="0.3">
      <c r="B3129" s="332" t="s">
        <v>632</v>
      </c>
      <c r="C3129" s="333"/>
      <c r="D3129" s="332"/>
      <c r="E3129" s="333" t="s">
        <v>624</v>
      </c>
      <c r="F3129" s="334" t="s">
        <v>633</v>
      </c>
      <c r="G3129" s="332" t="s">
        <v>634</v>
      </c>
      <c r="H3129" s="334" t="s">
        <v>627</v>
      </c>
      <c r="I3129" s="334"/>
    </row>
    <row r="3130" spans="2:9" x14ac:dyDescent="0.3">
      <c r="B3130" s="332"/>
      <c r="C3130" s="333"/>
      <c r="D3130" s="332"/>
      <c r="E3130" s="332"/>
      <c r="F3130" s="332"/>
      <c r="G3130" s="332"/>
      <c r="H3130" s="332"/>
      <c r="I3130" s="332"/>
    </row>
    <row r="3131" spans="2:9" x14ac:dyDescent="0.3">
      <c r="B3131" s="332"/>
      <c r="C3131" s="333"/>
      <c r="D3131" s="332"/>
      <c r="E3131" s="333"/>
      <c r="F3131" s="336"/>
      <c r="G3131" s="334"/>
      <c r="H3131" s="334"/>
      <c r="I3131" s="334"/>
    </row>
    <row r="3132" spans="2:9" x14ac:dyDescent="0.3">
      <c r="B3132" s="332"/>
      <c r="C3132" s="333"/>
      <c r="D3132" s="332"/>
      <c r="E3132" s="333"/>
      <c r="F3132" s="334"/>
      <c r="G3132" s="332"/>
      <c r="H3132" s="334" t="s">
        <v>628</v>
      </c>
      <c r="I3132" s="334">
        <f>SUM(H3131)</f>
        <v>0</v>
      </c>
    </row>
    <row r="3133" spans="2:9" x14ac:dyDescent="0.3">
      <c r="B3133" s="332" t="s">
        <v>635</v>
      </c>
      <c r="C3133" s="333"/>
      <c r="D3133" s="332"/>
      <c r="E3133" s="333"/>
      <c r="F3133" s="334"/>
      <c r="G3133" s="332"/>
      <c r="H3133" s="334"/>
      <c r="I3133" s="334"/>
    </row>
    <row r="3134" spans="2:9" x14ac:dyDescent="0.3">
      <c r="B3134" s="332" t="s">
        <v>636</v>
      </c>
      <c r="C3134" s="333"/>
      <c r="D3134" s="332"/>
      <c r="E3134" s="333" t="s">
        <v>637</v>
      </c>
      <c r="F3134" s="334" t="s">
        <v>638</v>
      </c>
      <c r="G3134" s="332" t="s">
        <v>626</v>
      </c>
      <c r="H3134" s="334" t="s">
        <v>627</v>
      </c>
      <c r="I3134" s="334"/>
    </row>
    <row r="3135" spans="2:9" ht="28.8" x14ac:dyDescent="0.3">
      <c r="B3135" s="342" t="s">
        <v>702</v>
      </c>
      <c r="C3135" s="333"/>
      <c r="D3135" s="332"/>
      <c r="E3135" s="346">
        <v>168000</v>
      </c>
      <c r="F3135" s="344">
        <v>1.8</v>
      </c>
      <c r="G3135" s="347">
        <v>9.4499999999725102</v>
      </c>
      <c r="H3135" s="344">
        <f>E3135*F3135/G3135</f>
        <v>32000.000000093089</v>
      </c>
      <c r="I3135" s="344"/>
    </row>
    <row r="3136" spans="2:9" x14ac:dyDescent="0.3">
      <c r="B3136" s="332"/>
      <c r="C3136" s="333"/>
      <c r="D3136" s="332"/>
      <c r="E3136" s="333"/>
      <c r="F3136" s="334"/>
      <c r="G3136" s="332"/>
      <c r="H3136" s="334" t="s">
        <v>628</v>
      </c>
      <c r="I3136" s="334">
        <f>H3135</f>
        <v>32000.000000093089</v>
      </c>
    </row>
    <row r="3137" spans="2:9" x14ac:dyDescent="0.3">
      <c r="B3137" s="332"/>
      <c r="C3137" s="333"/>
      <c r="D3137" s="332"/>
      <c r="E3137" s="333"/>
      <c r="F3137" s="334"/>
      <c r="G3137" s="332"/>
      <c r="H3137" s="330" t="s">
        <v>640</v>
      </c>
      <c r="I3137" s="330">
        <f>I3136+I3128+I3121+I3132</f>
        <v>35000.000000093089</v>
      </c>
    </row>
    <row r="3139" spans="2:9" ht="144" x14ac:dyDescent="0.3">
      <c r="B3139" s="339" t="s">
        <v>682</v>
      </c>
      <c r="C3139" s="339" t="s">
        <v>621</v>
      </c>
      <c r="D3139" s="341" t="s">
        <v>565</v>
      </c>
      <c r="E3139" s="339"/>
      <c r="F3139" s="340"/>
      <c r="G3139" s="340" t="s">
        <v>622</v>
      </c>
      <c r="H3139" s="340" t="s">
        <v>33</v>
      </c>
      <c r="I3139" s="340">
        <f>+ROUND(I3161,0)</f>
        <v>20000</v>
      </c>
    </row>
    <row r="3140" spans="2:9" x14ac:dyDescent="0.3">
      <c r="B3140" s="332" t="s">
        <v>623</v>
      </c>
      <c r="C3140" s="333"/>
      <c r="D3140" s="332"/>
      <c r="E3140" s="333"/>
      <c r="F3140" s="334"/>
      <c r="G3140" s="332"/>
      <c r="H3140" s="334"/>
      <c r="I3140" s="334"/>
    </row>
    <row r="3141" spans="2:9" x14ac:dyDescent="0.3">
      <c r="B3141" s="332" t="s">
        <v>271</v>
      </c>
      <c r="C3141" s="333"/>
      <c r="D3141" s="332"/>
      <c r="E3141" s="333" t="s">
        <v>624</v>
      </c>
      <c r="F3141" s="334" t="s">
        <v>625</v>
      </c>
      <c r="G3141" s="332" t="s">
        <v>626</v>
      </c>
      <c r="H3141" s="334" t="s">
        <v>627</v>
      </c>
      <c r="I3141" s="334"/>
    </row>
    <row r="3142" spans="2:9" x14ac:dyDescent="0.3">
      <c r="B3142" s="332" t="s">
        <v>701</v>
      </c>
      <c r="C3142" s="333"/>
      <c r="D3142" s="332"/>
      <c r="E3142" s="333" t="s">
        <v>644</v>
      </c>
      <c r="F3142" s="334">
        <v>1500</v>
      </c>
      <c r="G3142" s="335">
        <v>2</v>
      </c>
      <c r="H3142" s="334">
        <f>F3142*G3142</f>
        <v>3000</v>
      </c>
      <c r="I3142" s="334"/>
    </row>
    <row r="3143" spans="2:9" x14ac:dyDescent="0.3">
      <c r="B3143" s="332"/>
      <c r="C3143" s="333"/>
      <c r="D3143" s="332"/>
      <c r="E3143" s="333"/>
      <c r="F3143" s="334"/>
      <c r="G3143" s="335"/>
      <c r="H3143" s="334"/>
      <c r="I3143" s="334"/>
    </row>
    <row r="3144" spans="2:9" x14ac:dyDescent="0.3">
      <c r="B3144" s="332"/>
      <c r="C3144" s="333"/>
      <c r="D3144" s="332"/>
      <c r="E3144" s="333"/>
      <c r="F3144" s="334"/>
      <c r="G3144" s="335"/>
      <c r="H3144" s="334"/>
      <c r="I3144" s="334"/>
    </row>
    <row r="3145" spans="2:9" x14ac:dyDescent="0.3">
      <c r="B3145" s="332"/>
      <c r="C3145" s="333"/>
      <c r="D3145" s="332"/>
      <c r="E3145" s="333"/>
      <c r="F3145" s="334"/>
      <c r="G3145" s="332"/>
      <c r="H3145" s="334" t="s">
        <v>628</v>
      </c>
      <c r="I3145" s="334">
        <f>SUM(H3142:H3144)</f>
        <v>3000</v>
      </c>
    </row>
    <row r="3146" spans="2:9" x14ac:dyDescent="0.3">
      <c r="B3146" s="332" t="s">
        <v>629</v>
      </c>
      <c r="C3146" s="333"/>
      <c r="D3146" s="332"/>
      <c r="E3146" s="333"/>
      <c r="F3146" s="334"/>
      <c r="G3146" s="332"/>
      <c r="H3146" s="334"/>
      <c r="I3146" s="334"/>
    </row>
    <row r="3147" spans="2:9" x14ac:dyDescent="0.3">
      <c r="B3147" s="332" t="s">
        <v>271</v>
      </c>
      <c r="C3147" s="333"/>
      <c r="D3147" s="332"/>
      <c r="E3147" s="333" t="s">
        <v>624</v>
      </c>
      <c r="F3147" s="334" t="s">
        <v>630</v>
      </c>
      <c r="G3147" s="332" t="s">
        <v>631</v>
      </c>
      <c r="H3147" s="334" t="s">
        <v>627</v>
      </c>
      <c r="I3147" s="334"/>
    </row>
    <row r="3148" spans="2:9" x14ac:dyDescent="0.3">
      <c r="B3148" s="342"/>
      <c r="C3148" s="333"/>
      <c r="D3148" s="332"/>
      <c r="E3148" s="343"/>
      <c r="F3148" s="344"/>
      <c r="G3148" s="345"/>
      <c r="H3148" s="344"/>
      <c r="I3148" s="344"/>
    </row>
    <row r="3149" spans="2:9" x14ac:dyDescent="0.3">
      <c r="B3149" s="332"/>
      <c r="C3149" s="333"/>
      <c r="D3149" s="332"/>
      <c r="E3149" s="333"/>
      <c r="F3149" s="334"/>
      <c r="G3149" s="332"/>
      <c r="H3149" s="334"/>
      <c r="I3149" s="334"/>
    </row>
    <row r="3150" spans="2:9" x14ac:dyDescent="0.3">
      <c r="B3150" s="332"/>
      <c r="C3150" s="333"/>
      <c r="D3150" s="332"/>
      <c r="E3150" s="333"/>
      <c r="F3150" s="334"/>
      <c r="G3150" s="332"/>
      <c r="H3150" s="334"/>
      <c r="I3150" s="334"/>
    </row>
    <row r="3151" spans="2:9" x14ac:dyDescent="0.3">
      <c r="B3151" s="332"/>
      <c r="C3151" s="333"/>
      <c r="D3151" s="332"/>
      <c r="E3151" s="333"/>
      <c r="F3151" s="334"/>
      <c r="G3151" s="332"/>
      <c r="H3151" s="334"/>
      <c r="I3151" s="334"/>
    </row>
    <row r="3152" spans="2:9" x14ac:dyDescent="0.3">
      <c r="B3152" s="332"/>
      <c r="C3152" s="333"/>
      <c r="D3152" s="332"/>
      <c r="E3152" s="333"/>
      <c r="F3152" s="334"/>
      <c r="G3152" s="332"/>
      <c r="H3152" s="334" t="s">
        <v>628</v>
      </c>
      <c r="I3152" s="334">
        <f>SUM(H3148:H3151)</f>
        <v>0</v>
      </c>
    </row>
    <row r="3153" spans="2:9" x14ac:dyDescent="0.3">
      <c r="B3153" s="332" t="s">
        <v>632</v>
      </c>
      <c r="C3153" s="333"/>
      <c r="D3153" s="332"/>
      <c r="E3153" s="333" t="s">
        <v>624</v>
      </c>
      <c r="F3153" s="334" t="s">
        <v>633</v>
      </c>
      <c r="G3153" s="332" t="s">
        <v>634</v>
      </c>
      <c r="H3153" s="334" t="s">
        <v>627</v>
      </c>
      <c r="I3153" s="334"/>
    </row>
    <row r="3154" spans="2:9" x14ac:dyDescent="0.3">
      <c r="B3154" s="332"/>
      <c r="C3154" s="333"/>
      <c r="D3154" s="332"/>
      <c r="E3154" s="332"/>
      <c r="F3154" s="332"/>
      <c r="G3154" s="332"/>
      <c r="H3154" s="332"/>
      <c r="I3154" s="332"/>
    </row>
    <row r="3155" spans="2:9" x14ac:dyDescent="0.3">
      <c r="B3155" s="332"/>
      <c r="C3155" s="333"/>
      <c r="D3155" s="332"/>
      <c r="E3155" s="333"/>
      <c r="F3155" s="336"/>
      <c r="G3155" s="334"/>
      <c r="H3155" s="334"/>
      <c r="I3155" s="334"/>
    </row>
    <row r="3156" spans="2:9" x14ac:dyDescent="0.3">
      <c r="B3156" s="332"/>
      <c r="C3156" s="333"/>
      <c r="D3156" s="332"/>
      <c r="E3156" s="333"/>
      <c r="F3156" s="334"/>
      <c r="G3156" s="332"/>
      <c r="H3156" s="334" t="s">
        <v>628</v>
      </c>
      <c r="I3156" s="334">
        <f>SUM(H3155)</f>
        <v>0</v>
      </c>
    </row>
    <row r="3157" spans="2:9" x14ac:dyDescent="0.3">
      <c r="B3157" s="332" t="s">
        <v>635</v>
      </c>
      <c r="C3157" s="333"/>
      <c r="D3157" s="332"/>
      <c r="E3157" s="333"/>
      <c r="F3157" s="334"/>
      <c r="G3157" s="332"/>
      <c r="H3157" s="334"/>
      <c r="I3157" s="334"/>
    </row>
    <row r="3158" spans="2:9" x14ac:dyDescent="0.3">
      <c r="B3158" s="332" t="s">
        <v>636</v>
      </c>
      <c r="C3158" s="333"/>
      <c r="D3158" s="332"/>
      <c r="E3158" s="333" t="s">
        <v>637</v>
      </c>
      <c r="F3158" s="334" t="s">
        <v>638</v>
      </c>
      <c r="G3158" s="332" t="s">
        <v>626</v>
      </c>
      <c r="H3158" s="334" t="s">
        <v>627</v>
      </c>
      <c r="I3158" s="334"/>
    </row>
    <row r="3159" spans="2:9" ht="28.8" x14ac:dyDescent="0.3">
      <c r="B3159" s="342" t="s">
        <v>702</v>
      </c>
      <c r="C3159" s="333"/>
      <c r="D3159" s="332"/>
      <c r="E3159" s="346">
        <v>168000</v>
      </c>
      <c r="F3159" s="344">
        <v>1.8</v>
      </c>
      <c r="G3159" s="347">
        <v>17.788235291403911</v>
      </c>
      <c r="H3159" s="344">
        <f>E3159*F3159/G3159</f>
        <v>17000.000002593486</v>
      </c>
      <c r="I3159" s="344"/>
    </row>
    <row r="3160" spans="2:9" x14ac:dyDescent="0.3">
      <c r="B3160" s="332"/>
      <c r="C3160" s="333"/>
      <c r="D3160" s="332"/>
      <c r="E3160" s="333"/>
      <c r="F3160" s="334"/>
      <c r="G3160" s="332"/>
      <c r="H3160" s="334" t="s">
        <v>628</v>
      </c>
      <c r="I3160" s="334">
        <f>H3159</f>
        <v>17000.000002593486</v>
      </c>
    </row>
    <row r="3161" spans="2:9" x14ac:dyDescent="0.3">
      <c r="B3161" s="332"/>
      <c r="C3161" s="333"/>
      <c r="D3161" s="332"/>
      <c r="E3161" s="333"/>
      <c r="F3161" s="334"/>
      <c r="G3161" s="332"/>
      <c r="H3161" s="330" t="s">
        <v>640</v>
      </c>
      <c r="I3161" s="330">
        <f>I3160+I3152+I3145+I3156</f>
        <v>20000.000002593486</v>
      </c>
    </row>
    <row r="3163" spans="2:9" ht="129.6" x14ac:dyDescent="0.3">
      <c r="B3163" s="339" t="s">
        <v>684</v>
      </c>
      <c r="C3163" s="339" t="s">
        <v>621</v>
      </c>
      <c r="D3163" s="341" t="s">
        <v>564</v>
      </c>
      <c r="E3163" s="339"/>
      <c r="F3163" s="340"/>
      <c r="G3163" s="340" t="s">
        <v>622</v>
      </c>
      <c r="H3163" s="340" t="s">
        <v>33</v>
      </c>
      <c r="I3163" s="340">
        <f>+ROUND(I3185,0)</f>
        <v>20000</v>
      </c>
    </row>
    <row r="3164" spans="2:9" x14ac:dyDescent="0.3">
      <c r="B3164" s="332" t="s">
        <v>623</v>
      </c>
      <c r="C3164" s="333"/>
      <c r="D3164" s="332"/>
      <c r="E3164" s="333"/>
      <c r="F3164" s="334"/>
      <c r="G3164" s="332"/>
      <c r="H3164" s="334"/>
      <c r="I3164" s="334"/>
    </row>
    <row r="3165" spans="2:9" x14ac:dyDescent="0.3">
      <c r="B3165" s="332" t="s">
        <v>271</v>
      </c>
      <c r="C3165" s="333"/>
      <c r="D3165" s="332"/>
      <c r="E3165" s="333" t="s">
        <v>624</v>
      </c>
      <c r="F3165" s="334" t="s">
        <v>625</v>
      </c>
      <c r="G3165" s="332" t="s">
        <v>626</v>
      </c>
      <c r="H3165" s="334" t="s">
        <v>627</v>
      </c>
      <c r="I3165" s="334"/>
    </row>
    <row r="3166" spans="2:9" x14ac:dyDescent="0.3">
      <c r="B3166" s="332" t="s">
        <v>701</v>
      </c>
      <c r="C3166" s="333"/>
      <c r="D3166" s="332"/>
      <c r="E3166" s="333" t="s">
        <v>644</v>
      </c>
      <c r="F3166" s="334">
        <v>1500</v>
      </c>
      <c r="G3166" s="335">
        <v>2</v>
      </c>
      <c r="H3166" s="334">
        <f>F3166*G3166</f>
        <v>3000</v>
      </c>
      <c r="I3166" s="334"/>
    </row>
    <row r="3167" spans="2:9" x14ac:dyDescent="0.3">
      <c r="B3167" s="332"/>
      <c r="C3167" s="333"/>
      <c r="D3167" s="332"/>
      <c r="E3167" s="333"/>
      <c r="F3167" s="334"/>
      <c r="G3167" s="335"/>
      <c r="H3167" s="334"/>
      <c r="I3167" s="334"/>
    </row>
    <row r="3168" spans="2:9" x14ac:dyDescent="0.3">
      <c r="B3168" s="332"/>
      <c r="C3168" s="333"/>
      <c r="D3168" s="332"/>
      <c r="E3168" s="333"/>
      <c r="F3168" s="334"/>
      <c r="G3168" s="335"/>
      <c r="H3168" s="334"/>
      <c r="I3168" s="334"/>
    </row>
    <row r="3169" spans="2:9" x14ac:dyDescent="0.3">
      <c r="B3169" s="332"/>
      <c r="C3169" s="333"/>
      <c r="D3169" s="332"/>
      <c r="E3169" s="333"/>
      <c r="F3169" s="334"/>
      <c r="G3169" s="332"/>
      <c r="H3169" s="334" t="s">
        <v>628</v>
      </c>
      <c r="I3169" s="334">
        <f>SUM(H3166:H3168)</f>
        <v>3000</v>
      </c>
    </row>
    <row r="3170" spans="2:9" x14ac:dyDescent="0.3">
      <c r="B3170" s="332" t="s">
        <v>629</v>
      </c>
      <c r="C3170" s="333"/>
      <c r="D3170" s="332"/>
      <c r="E3170" s="333"/>
      <c r="F3170" s="334"/>
      <c r="G3170" s="332"/>
      <c r="H3170" s="334"/>
      <c r="I3170" s="334"/>
    </row>
    <row r="3171" spans="2:9" x14ac:dyDescent="0.3">
      <c r="B3171" s="332" t="s">
        <v>271</v>
      </c>
      <c r="C3171" s="333"/>
      <c r="D3171" s="332"/>
      <c r="E3171" s="333" t="s">
        <v>624</v>
      </c>
      <c r="F3171" s="334" t="s">
        <v>630</v>
      </c>
      <c r="G3171" s="332" t="s">
        <v>631</v>
      </c>
      <c r="H3171" s="334" t="s">
        <v>627</v>
      </c>
      <c r="I3171" s="334"/>
    </row>
    <row r="3172" spans="2:9" x14ac:dyDescent="0.3">
      <c r="B3172" s="342"/>
      <c r="C3172" s="333"/>
      <c r="D3172" s="332"/>
      <c r="E3172" s="343"/>
      <c r="F3172" s="344"/>
      <c r="G3172" s="345"/>
      <c r="H3172" s="344"/>
      <c r="I3172" s="344"/>
    </row>
    <row r="3173" spans="2:9" x14ac:dyDescent="0.3">
      <c r="B3173" s="332"/>
      <c r="C3173" s="333"/>
      <c r="D3173" s="332"/>
      <c r="E3173" s="333"/>
      <c r="F3173" s="334"/>
      <c r="G3173" s="332"/>
      <c r="H3173" s="334"/>
      <c r="I3173" s="334"/>
    </row>
    <row r="3174" spans="2:9" x14ac:dyDescent="0.3">
      <c r="B3174" s="332"/>
      <c r="C3174" s="333"/>
      <c r="D3174" s="332"/>
      <c r="E3174" s="333"/>
      <c r="F3174" s="334"/>
      <c r="G3174" s="332"/>
      <c r="H3174" s="334"/>
      <c r="I3174" s="334"/>
    </row>
    <row r="3175" spans="2:9" x14ac:dyDescent="0.3">
      <c r="B3175" s="332"/>
      <c r="C3175" s="333"/>
      <c r="D3175" s="332"/>
      <c r="E3175" s="333"/>
      <c r="F3175" s="334"/>
      <c r="G3175" s="332"/>
      <c r="H3175" s="334"/>
      <c r="I3175" s="334"/>
    </row>
    <row r="3176" spans="2:9" x14ac:dyDescent="0.3">
      <c r="B3176" s="332"/>
      <c r="C3176" s="333"/>
      <c r="D3176" s="332"/>
      <c r="E3176" s="333"/>
      <c r="F3176" s="334"/>
      <c r="G3176" s="332"/>
      <c r="H3176" s="334" t="s">
        <v>628</v>
      </c>
      <c r="I3176" s="334">
        <f>SUM(H3172:H3175)</f>
        <v>0</v>
      </c>
    </row>
    <row r="3177" spans="2:9" x14ac:dyDescent="0.3">
      <c r="B3177" s="332" t="s">
        <v>632</v>
      </c>
      <c r="C3177" s="333"/>
      <c r="D3177" s="332"/>
      <c r="E3177" s="333" t="s">
        <v>624</v>
      </c>
      <c r="F3177" s="334" t="s">
        <v>633</v>
      </c>
      <c r="G3177" s="332" t="s">
        <v>634</v>
      </c>
      <c r="H3177" s="334" t="s">
        <v>627</v>
      </c>
      <c r="I3177" s="334"/>
    </row>
    <row r="3178" spans="2:9" x14ac:dyDescent="0.3">
      <c r="B3178" s="332"/>
      <c r="C3178" s="333"/>
      <c r="D3178" s="332"/>
      <c r="E3178" s="332"/>
      <c r="F3178" s="332"/>
      <c r="G3178" s="332"/>
      <c r="H3178" s="332"/>
      <c r="I3178" s="332"/>
    </row>
    <row r="3179" spans="2:9" x14ac:dyDescent="0.3">
      <c r="B3179" s="332"/>
      <c r="C3179" s="333"/>
      <c r="D3179" s="332"/>
      <c r="E3179" s="333"/>
      <c r="F3179" s="336"/>
      <c r="G3179" s="334"/>
      <c r="H3179" s="334"/>
      <c r="I3179" s="334"/>
    </row>
    <row r="3180" spans="2:9" x14ac:dyDescent="0.3">
      <c r="B3180" s="332"/>
      <c r="C3180" s="333"/>
      <c r="D3180" s="332"/>
      <c r="E3180" s="333"/>
      <c r="F3180" s="334"/>
      <c r="G3180" s="332"/>
      <c r="H3180" s="334" t="s">
        <v>628</v>
      </c>
      <c r="I3180" s="334">
        <f>SUM(H3179)</f>
        <v>0</v>
      </c>
    </row>
    <row r="3181" spans="2:9" x14ac:dyDescent="0.3">
      <c r="B3181" s="332" t="s">
        <v>635</v>
      </c>
      <c r="C3181" s="333"/>
      <c r="D3181" s="332"/>
      <c r="E3181" s="333"/>
      <c r="F3181" s="334"/>
      <c r="G3181" s="332"/>
      <c r="H3181" s="334"/>
      <c r="I3181" s="334"/>
    </row>
    <row r="3182" spans="2:9" x14ac:dyDescent="0.3">
      <c r="B3182" s="332" t="s">
        <v>636</v>
      </c>
      <c r="C3182" s="333"/>
      <c r="D3182" s="332"/>
      <c r="E3182" s="333" t="s">
        <v>637</v>
      </c>
      <c r="F3182" s="334" t="s">
        <v>638</v>
      </c>
      <c r="G3182" s="332" t="s">
        <v>626</v>
      </c>
      <c r="H3182" s="334" t="s">
        <v>627</v>
      </c>
      <c r="I3182" s="334"/>
    </row>
    <row r="3183" spans="2:9" ht="28.8" x14ac:dyDescent="0.3">
      <c r="B3183" s="342" t="s">
        <v>702</v>
      </c>
      <c r="C3183" s="333"/>
      <c r="D3183" s="332"/>
      <c r="E3183" s="346">
        <v>168000</v>
      </c>
      <c r="F3183" s="344">
        <v>1.8</v>
      </c>
      <c r="G3183" s="347">
        <v>17.788235291403911</v>
      </c>
      <c r="H3183" s="344">
        <f>E3183*F3183/G3183</f>
        <v>17000.000002593486</v>
      </c>
      <c r="I3183" s="344"/>
    </row>
    <row r="3184" spans="2:9" x14ac:dyDescent="0.3">
      <c r="B3184" s="332"/>
      <c r="C3184" s="333"/>
      <c r="D3184" s="332"/>
      <c r="E3184" s="333"/>
      <c r="F3184" s="334"/>
      <c r="G3184" s="332"/>
      <c r="H3184" s="334" t="s">
        <v>628</v>
      </c>
      <c r="I3184" s="334">
        <f>H3183</f>
        <v>17000.000002593486</v>
      </c>
    </row>
    <row r="3185" spans="2:9" x14ac:dyDescent="0.3">
      <c r="B3185" s="332"/>
      <c r="C3185" s="333"/>
      <c r="D3185" s="332"/>
      <c r="E3185" s="333"/>
      <c r="F3185" s="334"/>
      <c r="G3185" s="332"/>
      <c r="H3185" s="330" t="s">
        <v>640</v>
      </c>
      <c r="I3185" s="330">
        <f>I3184+I3176+I3169+I3180</f>
        <v>20000.000002593486</v>
      </c>
    </row>
    <row r="3187" spans="2:9" ht="129.6" x14ac:dyDescent="0.3">
      <c r="B3187" s="339" t="s">
        <v>773</v>
      </c>
      <c r="C3187" s="339" t="s">
        <v>621</v>
      </c>
      <c r="D3187" s="341" t="s">
        <v>563</v>
      </c>
      <c r="E3187" s="339"/>
      <c r="F3187" s="340"/>
      <c r="G3187" s="340" t="s">
        <v>622</v>
      </c>
      <c r="H3187" s="340" t="s">
        <v>33</v>
      </c>
      <c r="I3187" s="340">
        <f>+ROUND(I3209,0)</f>
        <v>20000</v>
      </c>
    </row>
    <row r="3188" spans="2:9" x14ac:dyDescent="0.3">
      <c r="B3188" s="332" t="s">
        <v>623</v>
      </c>
      <c r="C3188" s="333"/>
      <c r="D3188" s="332"/>
      <c r="E3188" s="333"/>
      <c r="F3188" s="334"/>
      <c r="G3188" s="332"/>
      <c r="H3188" s="334"/>
      <c r="I3188" s="334"/>
    </row>
    <row r="3189" spans="2:9" x14ac:dyDescent="0.3">
      <c r="B3189" s="332" t="s">
        <v>271</v>
      </c>
      <c r="C3189" s="333"/>
      <c r="D3189" s="332"/>
      <c r="E3189" s="333" t="s">
        <v>624</v>
      </c>
      <c r="F3189" s="334" t="s">
        <v>625</v>
      </c>
      <c r="G3189" s="332" t="s">
        <v>626</v>
      </c>
      <c r="H3189" s="334" t="s">
        <v>627</v>
      </c>
      <c r="I3189" s="334"/>
    </row>
    <row r="3190" spans="2:9" x14ac:dyDescent="0.3">
      <c r="B3190" s="332" t="s">
        <v>701</v>
      </c>
      <c r="C3190" s="333"/>
      <c r="D3190" s="332"/>
      <c r="E3190" s="333" t="s">
        <v>644</v>
      </c>
      <c r="F3190" s="334">
        <v>1500</v>
      </c>
      <c r="G3190" s="335">
        <v>2</v>
      </c>
      <c r="H3190" s="334">
        <f>F3190*G3190</f>
        <v>3000</v>
      </c>
      <c r="I3190" s="334"/>
    </row>
    <row r="3191" spans="2:9" x14ac:dyDescent="0.3">
      <c r="B3191" s="332"/>
      <c r="C3191" s="333"/>
      <c r="D3191" s="332"/>
      <c r="E3191" s="333"/>
      <c r="F3191" s="334"/>
      <c r="G3191" s="335"/>
      <c r="H3191" s="334"/>
      <c r="I3191" s="334"/>
    </row>
    <row r="3192" spans="2:9" x14ac:dyDescent="0.3">
      <c r="B3192" s="332"/>
      <c r="C3192" s="333"/>
      <c r="D3192" s="332"/>
      <c r="E3192" s="333"/>
      <c r="F3192" s="334"/>
      <c r="G3192" s="335"/>
      <c r="H3192" s="334"/>
      <c r="I3192" s="334"/>
    </row>
    <row r="3193" spans="2:9" x14ac:dyDescent="0.3">
      <c r="B3193" s="332"/>
      <c r="C3193" s="333"/>
      <c r="D3193" s="332"/>
      <c r="E3193" s="333"/>
      <c r="F3193" s="334"/>
      <c r="G3193" s="332"/>
      <c r="H3193" s="334" t="s">
        <v>628</v>
      </c>
      <c r="I3193" s="334">
        <f>SUM(H3190:H3192)</f>
        <v>3000</v>
      </c>
    </row>
    <row r="3194" spans="2:9" x14ac:dyDescent="0.3">
      <c r="B3194" s="332" t="s">
        <v>629</v>
      </c>
      <c r="C3194" s="333"/>
      <c r="D3194" s="332"/>
      <c r="E3194" s="333"/>
      <c r="F3194" s="334"/>
      <c r="G3194" s="332"/>
      <c r="H3194" s="334"/>
      <c r="I3194" s="334"/>
    </row>
    <row r="3195" spans="2:9" x14ac:dyDescent="0.3">
      <c r="B3195" s="332" t="s">
        <v>271</v>
      </c>
      <c r="C3195" s="333"/>
      <c r="D3195" s="332"/>
      <c r="E3195" s="333" t="s">
        <v>624</v>
      </c>
      <c r="F3195" s="334" t="s">
        <v>630</v>
      </c>
      <c r="G3195" s="332" t="s">
        <v>631</v>
      </c>
      <c r="H3195" s="334" t="s">
        <v>627</v>
      </c>
      <c r="I3195" s="334"/>
    </row>
    <row r="3196" spans="2:9" x14ac:dyDescent="0.3">
      <c r="B3196" s="342"/>
      <c r="C3196" s="333"/>
      <c r="D3196" s="332"/>
      <c r="E3196" s="343"/>
      <c r="F3196" s="344"/>
      <c r="G3196" s="345"/>
      <c r="H3196" s="344"/>
      <c r="I3196" s="344"/>
    </row>
    <row r="3197" spans="2:9" x14ac:dyDescent="0.3">
      <c r="B3197" s="332"/>
      <c r="C3197" s="333"/>
      <c r="D3197" s="332"/>
      <c r="E3197" s="333"/>
      <c r="F3197" s="334"/>
      <c r="G3197" s="332"/>
      <c r="H3197" s="334"/>
      <c r="I3197" s="334"/>
    </row>
    <row r="3198" spans="2:9" x14ac:dyDescent="0.3">
      <c r="B3198" s="332"/>
      <c r="C3198" s="333"/>
      <c r="D3198" s="332"/>
      <c r="E3198" s="333"/>
      <c r="F3198" s="334"/>
      <c r="G3198" s="332"/>
      <c r="H3198" s="334"/>
      <c r="I3198" s="334"/>
    </row>
    <row r="3199" spans="2:9" x14ac:dyDescent="0.3">
      <c r="B3199" s="332"/>
      <c r="C3199" s="333"/>
      <c r="D3199" s="332"/>
      <c r="E3199" s="333"/>
      <c r="F3199" s="334"/>
      <c r="G3199" s="332"/>
      <c r="H3199" s="334"/>
      <c r="I3199" s="334"/>
    </row>
    <row r="3200" spans="2:9" x14ac:dyDescent="0.3">
      <c r="B3200" s="332"/>
      <c r="C3200" s="333"/>
      <c r="D3200" s="332"/>
      <c r="E3200" s="333"/>
      <c r="F3200" s="334"/>
      <c r="G3200" s="332"/>
      <c r="H3200" s="334" t="s">
        <v>628</v>
      </c>
      <c r="I3200" s="334">
        <f>SUM(H3196:H3199)</f>
        <v>0</v>
      </c>
    </row>
    <row r="3201" spans="2:9" x14ac:dyDescent="0.3">
      <c r="B3201" s="332" t="s">
        <v>632</v>
      </c>
      <c r="C3201" s="333"/>
      <c r="D3201" s="332"/>
      <c r="E3201" s="333" t="s">
        <v>624</v>
      </c>
      <c r="F3201" s="334" t="s">
        <v>633</v>
      </c>
      <c r="G3201" s="332" t="s">
        <v>634</v>
      </c>
      <c r="H3201" s="334" t="s">
        <v>627</v>
      </c>
      <c r="I3201" s="334"/>
    </row>
    <row r="3202" spans="2:9" x14ac:dyDescent="0.3">
      <c r="B3202" s="332"/>
      <c r="C3202" s="333"/>
      <c r="D3202" s="332"/>
      <c r="E3202" s="332"/>
      <c r="F3202" s="332"/>
      <c r="G3202" s="332"/>
      <c r="H3202" s="332"/>
      <c r="I3202" s="332"/>
    </row>
    <row r="3203" spans="2:9" x14ac:dyDescent="0.3">
      <c r="B3203" s="332"/>
      <c r="C3203" s="333"/>
      <c r="D3203" s="332"/>
      <c r="E3203" s="333"/>
      <c r="F3203" s="336"/>
      <c r="G3203" s="334"/>
      <c r="H3203" s="334"/>
      <c r="I3203" s="334"/>
    </row>
    <row r="3204" spans="2:9" x14ac:dyDescent="0.3">
      <c r="B3204" s="332"/>
      <c r="C3204" s="333"/>
      <c r="D3204" s="332"/>
      <c r="E3204" s="333"/>
      <c r="F3204" s="334"/>
      <c r="G3204" s="332"/>
      <c r="H3204" s="334" t="s">
        <v>628</v>
      </c>
      <c r="I3204" s="334">
        <f>SUM(H3203)</f>
        <v>0</v>
      </c>
    </row>
    <row r="3205" spans="2:9" x14ac:dyDescent="0.3">
      <c r="B3205" s="332" t="s">
        <v>635</v>
      </c>
      <c r="C3205" s="333"/>
      <c r="D3205" s="332"/>
      <c r="E3205" s="333"/>
      <c r="F3205" s="334"/>
      <c r="G3205" s="332"/>
      <c r="H3205" s="334"/>
      <c r="I3205" s="334"/>
    </row>
    <row r="3206" spans="2:9" x14ac:dyDescent="0.3">
      <c r="B3206" s="332" t="s">
        <v>636</v>
      </c>
      <c r="C3206" s="333"/>
      <c r="D3206" s="332"/>
      <c r="E3206" s="333" t="s">
        <v>637</v>
      </c>
      <c r="F3206" s="334" t="s">
        <v>638</v>
      </c>
      <c r="G3206" s="332" t="s">
        <v>626</v>
      </c>
      <c r="H3206" s="334" t="s">
        <v>627</v>
      </c>
      <c r="I3206" s="334"/>
    </row>
    <row r="3207" spans="2:9" ht="28.8" x14ac:dyDescent="0.3">
      <c r="B3207" s="342" t="s">
        <v>702</v>
      </c>
      <c r="C3207" s="333"/>
      <c r="D3207" s="332"/>
      <c r="E3207" s="346">
        <v>168000</v>
      </c>
      <c r="F3207" s="344">
        <v>1.8</v>
      </c>
      <c r="G3207" s="347">
        <v>17.788235291403911</v>
      </c>
      <c r="H3207" s="344">
        <f>E3207*F3207/G3207</f>
        <v>17000.000002593486</v>
      </c>
      <c r="I3207" s="344"/>
    </row>
    <row r="3208" spans="2:9" x14ac:dyDescent="0.3">
      <c r="B3208" s="332"/>
      <c r="C3208" s="333"/>
      <c r="D3208" s="332"/>
      <c r="E3208" s="333"/>
      <c r="F3208" s="334"/>
      <c r="G3208" s="332"/>
      <c r="H3208" s="334" t="s">
        <v>628</v>
      </c>
      <c r="I3208" s="334">
        <f>H3207</f>
        <v>17000.000002593486</v>
      </c>
    </row>
    <row r="3209" spans="2:9" x14ac:dyDescent="0.3">
      <c r="B3209" s="332"/>
      <c r="C3209" s="333"/>
      <c r="D3209" s="332"/>
      <c r="E3209" s="333"/>
      <c r="F3209" s="334"/>
      <c r="G3209" s="332"/>
      <c r="H3209" s="330" t="s">
        <v>640</v>
      </c>
      <c r="I3209" s="330">
        <f>I3208+I3200+I3193+I3204</f>
        <v>20000.000002593486</v>
      </c>
    </row>
    <row r="3211" spans="2:9" ht="129.6" x14ac:dyDescent="0.3">
      <c r="B3211" s="339" t="s">
        <v>774</v>
      </c>
      <c r="C3211" s="339" t="s">
        <v>621</v>
      </c>
      <c r="D3211" s="341" t="s">
        <v>562</v>
      </c>
      <c r="E3211" s="339"/>
      <c r="F3211" s="340"/>
      <c r="G3211" s="340" t="s">
        <v>622</v>
      </c>
      <c r="H3211" s="340" t="s">
        <v>33</v>
      </c>
      <c r="I3211" s="340">
        <f>+ROUND(I3231,0)</f>
        <v>100000</v>
      </c>
    </row>
    <row r="3212" spans="2:9" x14ac:dyDescent="0.3">
      <c r="B3212" s="332" t="s">
        <v>623</v>
      </c>
      <c r="C3212" s="333"/>
      <c r="D3212" s="332"/>
      <c r="E3212" s="333"/>
      <c r="F3212" s="334"/>
      <c r="G3212" s="332"/>
      <c r="H3212" s="334"/>
      <c r="I3212" s="334"/>
    </row>
    <row r="3213" spans="2:9" x14ac:dyDescent="0.3">
      <c r="B3213" s="332" t="s">
        <v>271</v>
      </c>
      <c r="C3213" s="333"/>
      <c r="D3213" s="332"/>
      <c r="E3213" s="333" t="s">
        <v>624</v>
      </c>
      <c r="F3213" s="334" t="s">
        <v>625</v>
      </c>
      <c r="G3213" s="332" t="s">
        <v>626</v>
      </c>
      <c r="H3213" s="334" t="s">
        <v>627</v>
      </c>
      <c r="I3213" s="334"/>
    </row>
    <row r="3214" spans="2:9" x14ac:dyDescent="0.3">
      <c r="B3214" s="332" t="s">
        <v>701</v>
      </c>
      <c r="C3214" s="333"/>
      <c r="D3214" s="332"/>
      <c r="E3214" s="333" t="s">
        <v>644</v>
      </c>
      <c r="F3214" s="334">
        <v>1500</v>
      </c>
      <c r="G3214" s="335">
        <v>2</v>
      </c>
      <c r="H3214" s="334">
        <f>F3214*G3214</f>
        <v>3000</v>
      </c>
      <c r="I3214" s="334"/>
    </row>
    <row r="3215" spans="2:9" x14ac:dyDescent="0.3">
      <c r="B3215" s="332"/>
      <c r="C3215" s="333"/>
      <c r="D3215" s="332"/>
      <c r="E3215" s="333"/>
      <c r="F3215" s="334"/>
      <c r="G3215" s="335"/>
      <c r="H3215" s="334"/>
      <c r="I3215" s="334"/>
    </row>
    <row r="3216" spans="2:9" x14ac:dyDescent="0.3">
      <c r="B3216" s="332"/>
      <c r="C3216" s="333"/>
      <c r="D3216" s="332"/>
      <c r="E3216" s="333"/>
      <c r="F3216" s="334"/>
      <c r="G3216" s="335"/>
      <c r="H3216" s="334"/>
      <c r="I3216" s="334"/>
    </row>
    <row r="3217" spans="2:9" x14ac:dyDescent="0.3">
      <c r="B3217" s="332"/>
      <c r="C3217" s="333"/>
      <c r="D3217" s="332"/>
      <c r="E3217" s="333"/>
      <c r="F3217" s="334"/>
      <c r="G3217" s="332"/>
      <c r="H3217" s="334" t="s">
        <v>628</v>
      </c>
      <c r="I3217" s="334">
        <f>SUM(H3214:H3216)</f>
        <v>3000</v>
      </c>
    </row>
    <row r="3218" spans="2:9" x14ac:dyDescent="0.3">
      <c r="B3218" s="332" t="s">
        <v>629</v>
      </c>
      <c r="C3218" s="333"/>
      <c r="D3218" s="332"/>
      <c r="E3218" s="333"/>
      <c r="F3218" s="334"/>
      <c r="G3218" s="332"/>
      <c r="H3218" s="334"/>
      <c r="I3218" s="334"/>
    </row>
    <row r="3219" spans="2:9" x14ac:dyDescent="0.3">
      <c r="B3219" s="332" t="s">
        <v>271</v>
      </c>
      <c r="C3219" s="333"/>
      <c r="D3219" s="332"/>
      <c r="E3219" s="333" t="s">
        <v>624</v>
      </c>
      <c r="F3219" s="334" t="s">
        <v>630</v>
      </c>
      <c r="G3219" s="332" t="s">
        <v>631</v>
      </c>
      <c r="H3219" s="334" t="s">
        <v>627</v>
      </c>
      <c r="I3219" s="334"/>
    </row>
    <row r="3220" spans="2:9" ht="28.8" x14ac:dyDescent="0.3">
      <c r="B3220" s="356" t="s">
        <v>775</v>
      </c>
      <c r="C3220" s="333"/>
      <c r="D3220" s="332"/>
      <c r="E3220" s="343">
        <v>1</v>
      </c>
      <c r="F3220" s="344">
        <v>20900</v>
      </c>
      <c r="G3220" s="345">
        <v>1</v>
      </c>
      <c r="H3220" s="344">
        <f>F3220*G3220</f>
        <v>20900</v>
      </c>
      <c r="I3220" s="344"/>
    </row>
    <row r="3221" spans="2:9" x14ac:dyDescent="0.3">
      <c r="B3221" s="332" t="s">
        <v>711</v>
      </c>
      <c r="C3221" s="333"/>
      <c r="D3221" s="332"/>
      <c r="E3221" s="333" t="s">
        <v>93</v>
      </c>
      <c r="F3221" s="334">
        <v>29900</v>
      </c>
      <c r="G3221" s="332">
        <v>2</v>
      </c>
      <c r="H3221" s="344">
        <f>F3221*G3221</f>
        <v>59800</v>
      </c>
      <c r="I3221" s="334"/>
    </row>
    <row r="3222" spans="2:9" x14ac:dyDescent="0.3">
      <c r="B3222" s="332"/>
      <c r="C3222" s="333"/>
      <c r="D3222" s="332"/>
      <c r="E3222" s="333"/>
      <c r="F3222" s="334"/>
      <c r="G3222" s="332"/>
      <c r="H3222" s="334" t="s">
        <v>628</v>
      </c>
      <c r="I3222" s="334">
        <f>SUM(H3220:H3221)</f>
        <v>80700</v>
      </c>
    </row>
    <row r="3223" spans="2:9" x14ac:dyDescent="0.3">
      <c r="B3223" s="332" t="s">
        <v>632</v>
      </c>
      <c r="C3223" s="333"/>
      <c r="D3223" s="332"/>
      <c r="E3223" s="333" t="s">
        <v>624</v>
      </c>
      <c r="F3223" s="334" t="s">
        <v>633</v>
      </c>
      <c r="G3223" s="332" t="s">
        <v>634</v>
      </c>
      <c r="H3223" s="334" t="s">
        <v>627</v>
      </c>
      <c r="I3223" s="334"/>
    </row>
    <row r="3224" spans="2:9" x14ac:dyDescent="0.3">
      <c r="B3224" s="332"/>
      <c r="C3224" s="333"/>
      <c r="D3224" s="332"/>
      <c r="E3224" s="332"/>
      <c r="F3224" s="332"/>
      <c r="G3224" s="332"/>
      <c r="H3224" s="332"/>
      <c r="I3224" s="332"/>
    </row>
    <row r="3225" spans="2:9" x14ac:dyDescent="0.3">
      <c r="B3225" s="332"/>
      <c r="C3225" s="333"/>
      <c r="D3225" s="332"/>
      <c r="E3225" s="333"/>
      <c r="F3225" s="336"/>
      <c r="G3225" s="334"/>
      <c r="H3225" s="334"/>
      <c r="I3225" s="334"/>
    </row>
    <row r="3226" spans="2:9" x14ac:dyDescent="0.3">
      <c r="B3226" s="332"/>
      <c r="C3226" s="333"/>
      <c r="D3226" s="332"/>
      <c r="E3226" s="333"/>
      <c r="F3226" s="334"/>
      <c r="G3226" s="332"/>
      <c r="H3226" s="334" t="s">
        <v>628</v>
      </c>
      <c r="I3226" s="334">
        <f>SUM(H3225)</f>
        <v>0</v>
      </c>
    </row>
    <row r="3227" spans="2:9" x14ac:dyDescent="0.3">
      <c r="B3227" s="332" t="s">
        <v>635</v>
      </c>
      <c r="C3227" s="333"/>
      <c r="D3227" s="332"/>
      <c r="E3227" s="333"/>
      <c r="F3227" s="334"/>
      <c r="G3227" s="332"/>
      <c r="H3227" s="334"/>
      <c r="I3227" s="334"/>
    </row>
    <row r="3228" spans="2:9" x14ac:dyDescent="0.3">
      <c r="B3228" s="332" t="s">
        <v>636</v>
      </c>
      <c r="C3228" s="333"/>
      <c r="D3228" s="332"/>
      <c r="E3228" s="333" t="s">
        <v>637</v>
      </c>
      <c r="F3228" s="334" t="s">
        <v>638</v>
      </c>
      <c r="G3228" s="332" t="s">
        <v>626</v>
      </c>
      <c r="H3228" s="334" t="s">
        <v>627</v>
      </c>
      <c r="I3228" s="334"/>
    </row>
    <row r="3229" spans="2:9" ht="28.8" x14ac:dyDescent="0.3">
      <c r="B3229" s="342" t="s">
        <v>702</v>
      </c>
      <c r="C3229" s="333"/>
      <c r="D3229" s="332"/>
      <c r="E3229" s="346">
        <v>168000</v>
      </c>
      <c r="F3229" s="344">
        <v>1.8</v>
      </c>
      <c r="G3229" s="347">
        <v>18.552146247819049</v>
      </c>
      <c r="H3229" s="344">
        <f>E3229*F3229/G3229</f>
        <v>16300.000871087866</v>
      </c>
      <c r="I3229" s="344"/>
    </row>
    <row r="3230" spans="2:9" x14ac:dyDescent="0.3">
      <c r="B3230" s="332"/>
      <c r="C3230" s="333"/>
      <c r="D3230" s="332"/>
      <c r="E3230" s="333"/>
      <c r="F3230" s="334"/>
      <c r="G3230" s="332"/>
      <c r="H3230" s="334" t="s">
        <v>628</v>
      </c>
      <c r="I3230" s="334">
        <f>H3229</f>
        <v>16300.000871087866</v>
      </c>
    </row>
    <row r="3231" spans="2:9" x14ac:dyDescent="0.3">
      <c r="B3231" s="332"/>
      <c r="C3231" s="333"/>
      <c r="D3231" s="332"/>
      <c r="E3231" s="333"/>
      <c r="F3231" s="334"/>
      <c r="G3231" s="332"/>
      <c r="H3231" s="330" t="s">
        <v>640</v>
      </c>
      <c r="I3231" s="330">
        <f>I3230+I3222+I3217+I3226</f>
        <v>100000.00087108786</v>
      </c>
    </row>
    <row r="3232" spans="2:9" x14ac:dyDescent="0.3">
      <c r="B3232" s="332"/>
      <c r="C3232" s="333"/>
      <c r="D3232" s="332"/>
      <c r="E3232" s="333"/>
      <c r="F3232" s="334"/>
      <c r="G3232" s="332"/>
      <c r="H3232" s="334" t="s">
        <v>628</v>
      </c>
      <c r="I3232" s="334" t="str">
        <f>H3231</f>
        <v>TOTAL COSTO DIRECTO</v>
      </c>
    </row>
    <row r="3233" spans="2:9" x14ac:dyDescent="0.3">
      <c r="B3233" s="332"/>
      <c r="C3233" s="333"/>
      <c r="D3233" s="332"/>
      <c r="E3233" s="333"/>
      <c r="F3233" s="334"/>
      <c r="G3233" s="332"/>
      <c r="H3233" s="330" t="s">
        <v>640</v>
      </c>
      <c r="I3233" s="330" t="e">
        <f>I3232+I3224+I3217+I3228</f>
        <v>#VALUE!</v>
      </c>
    </row>
    <row r="3235" spans="2:9" ht="129.6" x14ac:dyDescent="0.3">
      <c r="B3235" s="339" t="s">
        <v>776</v>
      </c>
      <c r="C3235" s="339" t="s">
        <v>621</v>
      </c>
      <c r="D3235" s="341" t="s">
        <v>561</v>
      </c>
      <c r="E3235" s="339"/>
      <c r="F3235" s="340"/>
      <c r="G3235" s="340" t="s">
        <v>622</v>
      </c>
      <c r="H3235" s="340" t="s">
        <v>33</v>
      </c>
      <c r="I3235" s="340">
        <f>+ROUND(I3257,0)</f>
        <v>15000</v>
      </c>
    </row>
    <row r="3236" spans="2:9" x14ac:dyDescent="0.3">
      <c r="B3236" s="332" t="s">
        <v>623</v>
      </c>
      <c r="C3236" s="333"/>
      <c r="D3236" s="332"/>
      <c r="E3236" s="333"/>
      <c r="F3236" s="334"/>
      <c r="G3236" s="332"/>
      <c r="H3236" s="334"/>
      <c r="I3236" s="334"/>
    </row>
    <row r="3237" spans="2:9" x14ac:dyDescent="0.3">
      <c r="B3237" s="332" t="s">
        <v>271</v>
      </c>
      <c r="C3237" s="333"/>
      <c r="D3237" s="332"/>
      <c r="E3237" s="333" t="s">
        <v>624</v>
      </c>
      <c r="F3237" s="334" t="s">
        <v>625</v>
      </c>
      <c r="G3237" s="332" t="s">
        <v>626</v>
      </c>
      <c r="H3237" s="334" t="s">
        <v>627</v>
      </c>
      <c r="I3237" s="334"/>
    </row>
    <row r="3238" spans="2:9" x14ac:dyDescent="0.3">
      <c r="B3238" s="332" t="s">
        <v>701</v>
      </c>
      <c r="C3238" s="333"/>
      <c r="D3238" s="332"/>
      <c r="E3238" s="333" t="s">
        <v>644</v>
      </c>
      <c r="F3238" s="334">
        <v>1500</v>
      </c>
      <c r="G3238" s="335">
        <v>2</v>
      </c>
      <c r="H3238" s="334">
        <f>F3238*G3238</f>
        <v>3000</v>
      </c>
      <c r="I3238" s="334"/>
    </row>
    <row r="3239" spans="2:9" x14ac:dyDescent="0.3">
      <c r="B3239" s="332"/>
      <c r="C3239" s="333"/>
      <c r="D3239" s="332"/>
      <c r="E3239" s="333"/>
      <c r="F3239" s="334"/>
      <c r="G3239" s="335"/>
      <c r="H3239" s="334"/>
      <c r="I3239" s="334"/>
    </row>
    <row r="3240" spans="2:9" x14ac:dyDescent="0.3">
      <c r="B3240" s="332"/>
      <c r="C3240" s="333"/>
      <c r="D3240" s="332"/>
      <c r="E3240" s="333"/>
      <c r="F3240" s="334"/>
      <c r="G3240" s="335"/>
      <c r="H3240" s="334"/>
      <c r="I3240" s="334"/>
    </row>
    <row r="3241" spans="2:9" x14ac:dyDescent="0.3">
      <c r="B3241" s="332"/>
      <c r="C3241" s="333"/>
      <c r="D3241" s="332"/>
      <c r="E3241" s="333"/>
      <c r="F3241" s="334"/>
      <c r="G3241" s="332"/>
      <c r="H3241" s="334" t="s">
        <v>628</v>
      </c>
      <c r="I3241" s="334">
        <f>SUM(H3238:H3240)</f>
        <v>3000</v>
      </c>
    </row>
    <row r="3242" spans="2:9" x14ac:dyDescent="0.3">
      <c r="B3242" s="332" t="s">
        <v>629</v>
      </c>
      <c r="C3242" s="333"/>
      <c r="D3242" s="332"/>
      <c r="E3242" s="333"/>
      <c r="F3242" s="334"/>
      <c r="G3242" s="332"/>
      <c r="H3242" s="334"/>
      <c r="I3242" s="334"/>
    </row>
    <row r="3243" spans="2:9" x14ac:dyDescent="0.3">
      <c r="B3243" s="332" t="s">
        <v>271</v>
      </c>
      <c r="C3243" s="333"/>
      <c r="D3243" s="332"/>
      <c r="E3243" s="333" t="s">
        <v>624</v>
      </c>
      <c r="F3243" s="334" t="s">
        <v>630</v>
      </c>
      <c r="G3243" s="332" t="s">
        <v>631</v>
      </c>
      <c r="H3243" s="334" t="s">
        <v>627</v>
      </c>
      <c r="I3243" s="334"/>
    </row>
    <row r="3244" spans="2:9" x14ac:dyDescent="0.3">
      <c r="B3244" s="342"/>
      <c r="C3244" s="333"/>
      <c r="D3244" s="332"/>
      <c r="E3244" s="343"/>
      <c r="F3244" s="344"/>
      <c r="G3244" s="345"/>
      <c r="H3244" s="344"/>
      <c r="I3244" s="344"/>
    </row>
    <row r="3245" spans="2:9" x14ac:dyDescent="0.3">
      <c r="B3245" s="332"/>
      <c r="C3245" s="333"/>
      <c r="D3245" s="332"/>
      <c r="E3245" s="333"/>
      <c r="F3245" s="334"/>
      <c r="G3245" s="332"/>
      <c r="H3245" s="334"/>
      <c r="I3245" s="334"/>
    </row>
    <row r="3246" spans="2:9" x14ac:dyDescent="0.3">
      <c r="B3246" s="332"/>
      <c r="C3246" s="333"/>
      <c r="D3246" s="332"/>
      <c r="E3246" s="333"/>
      <c r="F3246" s="334"/>
      <c r="G3246" s="332"/>
      <c r="H3246" s="334"/>
      <c r="I3246" s="334"/>
    </row>
    <row r="3247" spans="2:9" x14ac:dyDescent="0.3">
      <c r="B3247" s="332"/>
      <c r="C3247" s="333"/>
      <c r="D3247" s="332"/>
      <c r="E3247" s="333"/>
      <c r="F3247" s="334"/>
      <c r="G3247" s="332"/>
      <c r="H3247" s="334"/>
      <c r="I3247" s="334"/>
    </row>
    <row r="3248" spans="2:9" x14ac:dyDescent="0.3">
      <c r="B3248" s="332"/>
      <c r="C3248" s="333"/>
      <c r="D3248" s="332"/>
      <c r="E3248" s="333"/>
      <c r="F3248" s="334"/>
      <c r="G3248" s="332"/>
      <c r="H3248" s="334" t="s">
        <v>628</v>
      </c>
      <c r="I3248" s="334">
        <f>SUM(H3244:H3247)</f>
        <v>0</v>
      </c>
    </row>
    <row r="3249" spans="2:9" x14ac:dyDescent="0.3">
      <c r="B3249" s="332" t="s">
        <v>632</v>
      </c>
      <c r="C3249" s="333"/>
      <c r="D3249" s="332"/>
      <c r="E3249" s="333" t="s">
        <v>624</v>
      </c>
      <c r="F3249" s="334" t="s">
        <v>633</v>
      </c>
      <c r="G3249" s="332" t="s">
        <v>634</v>
      </c>
      <c r="H3249" s="334" t="s">
        <v>627</v>
      </c>
      <c r="I3249" s="334"/>
    </row>
    <row r="3250" spans="2:9" x14ac:dyDescent="0.3">
      <c r="B3250" s="332"/>
      <c r="C3250" s="333"/>
      <c r="D3250" s="332"/>
      <c r="E3250" s="332"/>
      <c r="F3250" s="332"/>
      <c r="G3250" s="332"/>
      <c r="H3250" s="332"/>
      <c r="I3250" s="332"/>
    </row>
    <row r="3251" spans="2:9" x14ac:dyDescent="0.3">
      <c r="B3251" s="332"/>
      <c r="C3251" s="333"/>
      <c r="D3251" s="332"/>
      <c r="E3251" s="333"/>
      <c r="F3251" s="336"/>
      <c r="G3251" s="334"/>
      <c r="H3251" s="334"/>
      <c r="I3251" s="334"/>
    </row>
    <row r="3252" spans="2:9" x14ac:dyDescent="0.3">
      <c r="B3252" s="332"/>
      <c r="C3252" s="333"/>
      <c r="D3252" s="332"/>
      <c r="E3252" s="333"/>
      <c r="F3252" s="334"/>
      <c r="G3252" s="332"/>
      <c r="H3252" s="334" t="s">
        <v>628</v>
      </c>
      <c r="I3252" s="334">
        <f>SUM(H3251)</f>
        <v>0</v>
      </c>
    </row>
    <row r="3253" spans="2:9" x14ac:dyDescent="0.3">
      <c r="B3253" s="332" t="s">
        <v>635</v>
      </c>
      <c r="C3253" s="333"/>
      <c r="D3253" s="332"/>
      <c r="E3253" s="333"/>
      <c r="F3253" s="334"/>
      <c r="G3253" s="332"/>
      <c r="H3253" s="334"/>
      <c r="I3253" s="334"/>
    </row>
    <row r="3254" spans="2:9" x14ac:dyDescent="0.3">
      <c r="B3254" s="332" t="s">
        <v>636</v>
      </c>
      <c r="C3254" s="333"/>
      <c r="D3254" s="332"/>
      <c r="E3254" s="333" t="s">
        <v>637</v>
      </c>
      <c r="F3254" s="334" t="s">
        <v>638</v>
      </c>
      <c r="G3254" s="332" t="s">
        <v>626</v>
      </c>
      <c r="H3254" s="334" t="s">
        <v>627</v>
      </c>
      <c r="I3254" s="334"/>
    </row>
    <row r="3255" spans="2:9" ht="28.8" x14ac:dyDescent="0.3">
      <c r="B3255" s="342" t="s">
        <v>702</v>
      </c>
      <c r="C3255" s="333"/>
      <c r="D3255" s="332"/>
      <c r="E3255" s="346">
        <v>168000</v>
      </c>
      <c r="F3255" s="344">
        <v>1.8</v>
      </c>
      <c r="G3255" s="347">
        <v>25.199999381410596</v>
      </c>
      <c r="H3255" s="344">
        <f>E3255*F3255/G3255</f>
        <v>12000.000294566391</v>
      </c>
      <c r="I3255" s="344"/>
    </row>
    <row r="3256" spans="2:9" x14ac:dyDescent="0.3">
      <c r="B3256" s="332"/>
      <c r="C3256" s="333"/>
      <c r="D3256" s="332"/>
      <c r="E3256" s="333"/>
      <c r="F3256" s="334"/>
      <c r="G3256" s="332"/>
      <c r="H3256" s="334" t="s">
        <v>628</v>
      </c>
      <c r="I3256" s="334">
        <f>H3255</f>
        <v>12000.000294566391</v>
      </c>
    </row>
    <row r="3257" spans="2:9" x14ac:dyDescent="0.3">
      <c r="B3257" s="332"/>
      <c r="C3257" s="333"/>
      <c r="D3257" s="332"/>
      <c r="E3257" s="333"/>
      <c r="F3257" s="334"/>
      <c r="G3257" s="332"/>
      <c r="H3257" s="330" t="s">
        <v>640</v>
      </c>
      <c r="I3257" s="330">
        <f>I3256+I3248+I3241+I3252</f>
        <v>15000.000294566391</v>
      </c>
    </row>
    <row r="3259" spans="2:9" ht="129.6" x14ac:dyDescent="0.3">
      <c r="B3259" s="339" t="s">
        <v>777</v>
      </c>
      <c r="C3259" s="339" t="s">
        <v>621</v>
      </c>
      <c r="D3259" s="341" t="s">
        <v>560</v>
      </c>
      <c r="E3259" s="339"/>
      <c r="F3259" s="340"/>
      <c r="G3259" s="340" t="s">
        <v>622</v>
      </c>
      <c r="H3259" s="340" t="s">
        <v>33</v>
      </c>
      <c r="I3259" s="340">
        <f>+ROUND(I3281,0)</f>
        <v>20000</v>
      </c>
    </row>
    <row r="3260" spans="2:9" x14ac:dyDescent="0.3">
      <c r="B3260" s="332" t="s">
        <v>623</v>
      </c>
      <c r="C3260" s="333"/>
      <c r="D3260" s="332"/>
      <c r="E3260" s="333"/>
      <c r="F3260" s="334"/>
      <c r="G3260" s="332"/>
      <c r="H3260" s="334"/>
      <c r="I3260" s="334"/>
    </row>
    <row r="3261" spans="2:9" x14ac:dyDescent="0.3">
      <c r="B3261" s="332" t="s">
        <v>271</v>
      </c>
      <c r="C3261" s="333"/>
      <c r="D3261" s="332"/>
      <c r="E3261" s="333" t="s">
        <v>624</v>
      </c>
      <c r="F3261" s="334" t="s">
        <v>625</v>
      </c>
      <c r="G3261" s="332" t="s">
        <v>626</v>
      </c>
      <c r="H3261" s="334" t="s">
        <v>627</v>
      </c>
      <c r="I3261" s="334"/>
    </row>
    <row r="3262" spans="2:9" x14ac:dyDescent="0.3">
      <c r="B3262" s="332" t="s">
        <v>701</v>
      </c>
      <c r="C3262" s="333"/>
      <c r="D3262" s="332"/>
      <c r="E3262" s="333" t="s">
        <v>644</v>
      </c>
      <c r="F3262" s="334">
        <v>1500</v>
      </c>
      <c r="G3262" s="335">
        <v>2</v>
      </c>
      <c r="H3262" s="334">
        <f>F3262*G3262</f>
        <v>3000</v>
      </c>
      <c r="I3262" s="334"/>
    </row>
    <row r="3263" spans="2:9" x14ac:dyDescent="0.3">
      <c r="B3263" s="332"/>
      <c r="C3263" s="333"/>
      <c r="D3263" s="332"/>
      <c r="E3263" s="333"/>
      <c r="F3263" s="334"/>
      <c r="G3263" s="335"/>
      <c r="H3263" s="334"/>
      <c r="I3263" s="334"/>
    </row>
    <row r="3264" spans="2:9" x14ac:dyDescent="0.3">
      <c r="B3264" s="332"/>
      <c r="C3264" s="333"/>
      <c r="D3264" s="332"/>
      <c r="E3264" s="333"/>
      <c r="F3264" s="334"/>
      <c r="G3264" s="335"/>
      <c r="H3264" s="334"/>
      <c r="I3264" s="334"/>
    </row>
    <row r="3265" spans="2:9" x14ac:dyDescent="0.3">
      <c r="B3265" s="332"/>
      <c r="C3265" s="333"/>
      <c r="D3265" s="332"/>
      <c r="E3265" s="333"/>
      <c r="F3265" s="334"/>
      <c r="G3265" s="332"/>
      <c r="H3265" s="334" t="s">
        <v>628</v>
      </c>
      <c r="I3265" s="334">
        <f>SUM(H3262:H3264)</f>
        <v>3000</v>
      </c>
    </row>
    <row r="3266" spans="2:9" x14ac:dyDescent="0.3">
      <c r="B3266" s="332" t="s">
        <v>629</v>
      </c>
      <c r="C3266" s="333"/>
      <c r="D3266" s="332"/>
      <c r="E3266" s="333"/>
      <c r="F3266" s="334"/>
      <c r="G3266" s="332"/>
      <c r="H3266" s="334"/>
      <c r="I3266" s="334"/>
    </row>
    <row r="3267" spans="2:9" x14ac:dyDescent="0.3">
      <c r="B3267" s="332" t="s">
        <v>271</v>
      </c>
      <c r="C3267" s="333"/>
      <c r="D3267" s="332"/>
      <c r="E3267" s="333" t="s">
        <v>624</v>
      </c>
      <c r="F3267" s="334" t="s">
        <v>630</v>
      </c>
      <c r="G3267" s="332" t="s">
        <v>631</v>
      </c>
      <c r="H3267" s="334" t="s">
        <v>627</v>
      </c>
      <c r="I3267" s="334"/>
    </row>
    <row r="3268" spans="2:9" x14ac:dyDescent="0.3">
      <c r="B3268" s="342"/>
      <c r="C3268" s="333"/>
      <c r="D3268" s="332"/>
      <c r="E3268" s="343"/>
      <c r="F3268" s="344"/>
      <c r="G3268" s="345"/>
      <c r="H3268" s="344"/>
      <c r="I3268" s="344"/>
    </row>
    <row r="3269" spans="2:9" x14ac:dyDescent="0.3">
      <c r="B3269" s="332"/>
      <c r="C3269" s="333"/>
      <c r="D3269" s="332"/>
      <c r="E3269" s="333"/>
      <c r="F3269" s="334"/>
      <c r="G3269" s="332"/>
      <c r="H3269" s="334"/>
      <c r="I3269" s="334"/>
    </row>
    <row r="3270" spans="2:9" x14ac:dyDescent="0.3">
      <c r="B3270" s="332"/>
      <c r="C3270" s="333"/>
      <c r="D3270" s="332"/>
      <c r="E3270" s="333"/>
      <c r="F3270" s="334"/>
      <c r="G3270" s="332"/>
      <c r="H3270" s="334"/>
      <c r="I3270" s="334"/>
    </row>
    <row r="3271" spans="2:9" x14ac:dyDescent="0.3">
      <c r="B3271" s="332"/>
      <c r="C3271" s="333"/>
      <c r="D3271" s="332"/>
      <c r="E3271" s="333"/>
      <c r="F3271" s="334"/>
      <c r="G3271" s="332"/>
      <c r="H3271" s="334"/>
      <c r="I3271" s="334"/>
    </row>
    <row r="3272" spans="2:9" x14ac:dyDescent="0.3">
      <c r="B3272" s="332"/>
      <c r="C3272" s="333"/>
      <c r="D3272" s="332"/>
      <c r="E3272" s="333"/>
      <c r="F3272" s="334"/>
      <c r="G3272" s="332"/>
      <c r="H3272" s="334" t="s">
        <v>628</v>
      </c>
      <c r="I3272" s="334">
        <f>SUM(H3268:H3271)</f>
        <v>0</v>
      </c>
    </row>
    <row r="3273" spans="2:9" x14ac:dyDescent="0.3">
      <c r="B3273" s="332" t="s">
        <v>632</v>
      </c>
      <c r="C3273" s="333"/>
      <c r="D3273" s="332"/>
      <c r="E3273" s="333" t="s">
        <v>624</v>
      </c>
      <c r="F3273" s="334" t="s">
        <v>633</v>
      </c>
      <c r="G3273" s="332" t="s">
        <v>634</v>
      </c>
      <c r="H3273" s="334" t="s">
        <v>627</v>
      </c>
      <c r="I3273" s="334"/>
    </row>
    <row r="3274" spans="2:9" x14ac:dyDescent="0.3">
      <c r="B3274" s="332"/>
      <c r="C3274" s="333"/>
      <c r="D3274" s="332"/>
      <c r="E3274" s="332"/>
      <c r="F3274" s="332"/>
      <c r="G3274" s="332"/>
      <c r="H3274" s="332"/>
      <c r="I3274" s="332"/>
    </row>
    <row r="3275" spans="2:9" x14ac:dyDescent="0.3">
      <c r="B3275" s="332"/>
      <c r="C3275" s="333"/>
      <c r="D3275" s="332"/>
      <c r="E3275" s="333"/>
      <c r="F3275" s="336"/>
      <c r="G3275" s="334"/>
      <c r="H3275" s="334"/>
      <c r="I3275" s="334"/>
    </row>
    <row r="3276" spans="2:9" x14ac:dyDescent="0.3">
      <c r="B3276" s="332"/>
      <c r="C3276" s="333"/>
      <c r="D3276" s="332"/>
      <c r="E3276" s="333"/>
      <c r="F3276" s="334"/>
      <c r="G3276" s="332"/>
      <c r="H3276" s="334" t="s">
        <v>628</v>
      </c>
      <c r="I3276" s="334">
        <f>SUM(H3275)</f>
        <v>0</v>
      </c>
    </row>
    <row r="3277" spans="2:9" x14ac:dyDescent="0.3">
      <c r="B3277" s="332" t="s">
        <v>635</v>
      </c>
      <c r="C3277" s="333"/>
      <c r="D3277" s="332"/>
      <c r="E3277" s="333"/>
      <c r="F3277" s="334"/>
      <c r="G3277" s="332"/>
      <c r="H3277" s="334"/>
      <c r="I3277" s="334"/>
    </row>
    <row r="3278" spans="2:9" x14ac:dyDescent="0.3">
      <c r="B3278" s="332" t="s">
        <v>636</v>
      </c>
      <c r="C3278" s="333"/>
      <c r="D3278" s="332"/>
      <c r="E3278" s="333" t="s">
        <v>637</v>
      </c>
      <c r="F3278" s="334" t="s">
        <v>638</v>
      </c>
      <c r="G3278" s="332" t="s">
        <v>626</v>
      </c>
      <c r="H3278" s="334" t="s">
        <v>627</v>
      </c>
      <c r="I3278" s="334"/>
    </row>
    <row r="3279" spans="2:9" ht="28.8" x14ac:dyDescent="0.3">
      <c r="B3279" s="342" t="s">
        <v>702</v>
      </c>
      <c r="C3279" s="333"/>
      <c r="D3279" s="332"/>
      <c r="E3279" s="346">
        <v>168000</v>
      </c>
      <c r="F3279" s="344">
        <v>1.8</v>
      </c>
      <c r="G3279" s="347">
        <v>17.788235291403911</v>
      </c>
      <c r="H3279" s="344">
        <f>E3279*F3279/G3279</f>
        <v>17000.000002593486</v>
      </c>
      <c r="I3279" s="344"/>
    </row>
    <row r="3280" spans="2:9" x14ac:dyDescent="0.3">
      <c r="B3280" s="332"/>
      <c r="C3280" s="333"/>
      <c r="D3280" s="332"/>
      <c r="E3280" s="333"/>
      <c r="F3280" s="334"/>
      <c r="G3280" s="332"/>
      <c r="H3280" s="334" t="s">
        <v>628</v>
      </c>
      <c r="I3280" s="334">
        <f>H3279</f>
        <v>17000.000002593486</v>
      </c>
    </row>
    <row r="3281" spans="2:9" x14ac:dyDescent="0.3">
      <c r="B3281" s="332"/>
      <c r="C3281" s="333"/>
      <c r="D3281" s="332"/>
      <c r="E3281" s="333"/>
      <c r="F3281" s="334"/>
      <c r="G3281" s="332"/>
      <c r="H3281" s="330" t="s">
        <v>640</v>
      </c>
      <c r="I3281" s="330">
        <f>I3280+I3272+I3265+I3276</f>
        <v>20000.000002593486</v>
      </c>
    </row>
    <row r="3283" spans="2:9" ht="144" x14ac:dyDescent="0.3">
      <c r="B3283" s="339" t="s">
        <v>788</v>
      </c>
      <c r="C3283" s="339" t="s">
        <v>621</v>
      </c>
      <c r="D3283" s="341" t="s">
        <v>559</v>
      </c>
      <c r="E3283" s="339"/>
      <c r="F3283" s="340"/>
      <c r="G3283" s="340" t="s">
        <v>622</v>
      </c>
      <c r="H3283" s="340" t="s">
        <v>33</v>
      </c>
      <c r="I3283" s="340">
        <f>+ROUND(I3305,0)</f>
        <v>50000</v>
      </c>
    </row>
    <row r="3284" spans="2:9" x14ac:dyDescent="0.3">
      <c r="B3284" s="332" t="s">
        <v>623</v>
      </c>
      <c r="C3284" s="333"/>
      <c r="D3284" s="332"/>
      <c r="E3284" s="333"/>
      <c r="F3284" s="334"/>
      <c r="G3284" s="332"/>
      <c r="H3284" s="334"/>
      <c r="I3284" s="334"/>
    </row>
    <row r="3285" spans="2:9" x14ac:dyDescent="0.3">
      <c r="B3285" s="332" t="s">
        <v>271</v>
      </c>
      <c r="C3285" s="333"/>
      <c r="D3285" s="332"/>
      <c r="E3285" s="333" t="s">
        <v>624</v>
      </c>
      <c r="F3285" s="334" t="s">
        <v>625</v>
      </c>
      <c r="G3285" s="332" t="s">
        <v>626</v>
      </c>
      <c r="H3285" s="334" t="s">
        <v>627</v>
      </c>
      <c r="I3285" s="334"/>
    </row>
    <row r="3286" spans="2:9" x14ac:dyDescent="0.3">
      <c r="B3286" s="332" t="s">
        <v>701</v>
      </c>
      <c r="C3286" s="333"/>
      <c r="D3286" s="332"/>
      <c r="E3286" s="333" t="s">
        <v>644</v>
      </c>
      <c r="F3286" s="334">
        <v>1500</v>
      </c>
      <c r="G3286" s="335">
        <v>2</v>
      </c>
      <c r="H3286" s="334">
        <f>F3286*G3286</f>
        <v>3000</v>
      </c>
      <c r="I3286" s="334"/>
    </row>
    <row r="3287" spans="2:9" x14ac:dyDescent="0.3">
      <c r="B3287" s="332"/>
      <c r="C3287" s="333"/>
      <c r="D3287" s="332"/>
      <c r="E3287" s="333"/>
      <c r="F3287" s="334"/>
      <c r="G3287" s="335"/>
      <c r="H3287" s="334"/>
      <c r="I3287" s="334"/>
    </row>
    <row r="3288" spans="2:9" x14ac:dyDescent="0.3">
      <c r="B3288" s="332"/>
      <c r="C3288" s="333"/>
      <c r="D3288" s="332"/>
      <c r="E3288" s="333"/>
      <c r="F3288" s="334"/>
      <c r="G3288" s="335"/>
      <c r="H3288" s="334"/>
      <c r="I3288" s="334"/>
    </row>
    <row r="3289" spans="2:9" x14ac:dyDescent="0.3">
      <c r="B3289" s="332"/>
      <c r="C3289" s="333"/>
      <c r="D3289" s="332"/>
      <c r="E3289" s="333"/>
      <c r="F3289" s="334"/>
      <c r="G3289" s="332"/>
      <c r="H3289" s="334" t="s">
        <v>628</v>
      </c>
      <c r="I3289" s="334">
        <f>SUM(H3286:H3288)</f>
        <v>3000</v>
      </c>
    </row>
    <row r="3290" spans="2:9" x14ac:dyDescent="0.3">
      <c r="B3290" s="332" t="s">
        <v>629</v>
      </c>
      <c r="C3290" s="333"/>
      <c r="D3290" s="332"/>
      <c r="E3290" s="333"/>
      <c r="F3290" s="334"/>
      <c r="G3290" s="332"/>
      <c r="H3290" s="334"/>
      <c r="I3290" s="334"/>
    </row>
    <row r="3291" spans="2:9" x14ac:dyDescent="0.3">
      <c r="B3291" s="332" t="s">
        <v>271</v>
      </c>
      <c r="C3291" s="333"/>
      <c r="D3291" s="332"/>
      <c r="E3291" s="333" t="s">
        <v>624</v>
      </c>
      <c r="F3291" s="334" t="s">
        <v>630</v>
      </c>
      <c r="G3291" s="332" t="s">
        <v>631</v>
      </c>
      <c r="H3291" s="334" t="s">
        <v>627</v>
      </c>
      <c r="I3291" s="334"/>
    </row>
    <row r="3292" spans="2:9" x14ac:dyDescent="0.3">
      <c r="B3292" s="342"/>
      <c r="C3292" s="333"/>
      <c r="D3292" s="332"/>
      <c r="E3292" s="343"/>
      <c r="F3292" s="344"/>
      <c r="G3292" s="345"/>
      <c r="H3292" s="344"/>
      <c r="I3292" s="344"/>
    </row>
    <row r="3293" spans="2:9" x14ac:dyDescent="0.3">
      <c r="B3293" s="332"/>
      <c r="C3293" s="333"/>
      <c r="D3293" s="332"/>
      <c r="E3293" s="333"/>
      <c r="F3293" s="334"/>
      <c r="G3293" s="332"/>
      <c r="H3293" s="334"/>
      <c r="I3293" s="334"/>
    </row>
    <row r="3294" spans="2:9" x14ac:dyDescent="0.3">
      <c r="B3294" s="332"/>
      <c r="C3294" s="333"/>
      <c r="D3294" s="332"/>
      <c r="E3294" s="333"/>
      <c r="F3294" s="334"/>
      <c r="G3294" s="332"/>
      <c r="H3294" s="334"/>
      <c r="I3294" s="334"/>
    </row>
    <row r="3295" spans="2:9" x14ac:dyDescent="0.3">
      <c r="B3295" s="332"/>
      <c r="C3295" s="333"/>
      <c r="D3295" s="332"/>
      <c r="E3295" s="333"/>
      <c r="F3295" s="334"/>
      <c r="G3295" s="332"/>
      <c r="H3295" s="334"/>
      <c r="I3295" s="334"/>
    </row>
    <row r="3296" spans="2:9" x14ac:dyDescent="0.3">
      <c r="B3296" s="332"/>
      <c r="C3296" s="333"/>
      <c r="D3296" s="332"/>
      <c r="E3296" s="333"/>
      <c r="F3296" s="334"/>
      <c r="G3296" s="332"/>
      <c r="H3296" s="334" t="s">
        <v>628</v>
      </c>
      <c r="I3296" s="334">
        <f>SUM(H3292:H3295)</f>
        <v>0</v>
      </c>
    </row>
    <row r="3297" spans="2:9" x14ac:dyDescent="0.3">
      <c r="B3297" s="332" t="s">
        <v>632</v>
      </c>
      <c r="C3297" s="333"/>
      <c r="D3297" s="332"/>
      <c r="E3297" s="333" t="s">
        <v>624</v>
      </c>
      <c r="F3297" s="334" t="s">
        <v>633</v>
      </c>
      <c r="G3297" s="332" t="s">
        <v>634</v>
      </c>
      <c r="H3297" s="334" t="s">
        <v>627</v>
      </c>
      <c r="I3297" s="334"/>
    </row>
    <row r="3298" spans="2:9" x14ac:dyDescent="0.3">
      <c r="B3298" s="332"/>
      <c r="C3298" s="333"/>
      <c r="D3298" s="332"/>
      <c r="E3298" s="332"/>
      <c r="F3298" s="332"/>
      <c r="G3298" s="332"/>
      <c r="H3298" s="332"/>
      <c r="I3298" s="332"/>
    </row>
    <row r="3299" spans="2:9" x14ac:dyDescent="0.3">
      <c r="B3299" s="332"/>
      <c r="C3299" s="333"/>
      <c r="D3299" s="332"/>
      <c r="E3299" s="333"/>
      <c r="F3299" s="336"/>
      <c r="G3299" s="334"/>
      <c r="H3299" s="334"/>
      <c r="I3299" s="334"/>
    </row>
    <row r="3300" spans="2:9" x14ac:dyDescent="0.3">
      <c r="B3300" s="332"/>
      <c r="C3300" s="333"/>
      <c r="D3300" s="332"/>
      <c r="E3300" s="333"/>
      <c r="F3300" s="334"/>
      <c r="G3300" s="332"/>
      <c r="H3300" s="334" t="s">
        <v>628</v>
      </c>
      <c r="I3300" s="334">
        <f>SUM(H3299)</f>
        <v>0</v>
      </c>
    </row>
    <row r="3301" spans="2:9" x14ac:dyDescent="0.3">
      <c r="B3301" s="332" t="s">
        <v>635</v>
      </c>
      <c r="C3301" s="333"/>
      <c r="D3301" s="332"/>
      <c r="E3301" s="333"/>
      <c r="F3301" s="334"/>
      <c r="G3301" s="332"/>
      <c r="H3301" s="334"/>
      <c r="I3301" s="334"/>
    </row>
    <row r="3302" spans="2:9" x14ac:dyDescent="0.3">
      <c r="B3302" s="332" t="s">
        <v>636</v>
      </c>
      <c r="C3302" s="333"/>
      <c r="D3302" s="332"/>
      <c r="E3302" s="333" t="s">
        <v>637</v>
      </c>
      <c r="F3302" s="334" t="s">
        <v>638</v>
      </c>
      <c r="G3302" s="332" t="s">
        <v>626</v>
      </c>
      <c r="H3302" s="334" t="s">
        <v>627</v>
      </c>
      <c r="I3302" s="334"/>
    </row>
    <row r="3303" spans="2:9" ht="28.8" x14ac:dyDescent="0.3">
      <c r="B3303" s="342" t="s">
        <v>702</v>
      </c>
      <c r="C3303" s="333"/>
      <c r="D3303" s="332"/>
      <c r="E3303" s="346">
        <v>168000</v>
      </c>
      <c r="F3303" s="344">
        <v>1.8</v>
      </c>
      <c r="G3303" s="347">
        <v>6.4340425510279111</v>
      </c>
      <c r="H3303" s="344">
        <f>E3303*F3303/G3303</f>
        <v>47000.000015804711</v>
      </c>
      <c r="I3303" s="344"/>
    </row>
    <row r="3304" spans="2:9" x14ac:dyDescent="0.3">
      <c r="B3304" s="332"/>
      <c r="C3304" s="333"/>
      <c r="D3304" s="332"/>
      <c r="E3304" s="333"/>
      <c r="F3304" s="334"/>
      <c r="G3304" s="332"/>
      <c r="H3304" s="334" t="s">
        <v>628</v>
      </c>
      <c r="I3304" s="334">
        <f>H3303</f>
        <v>47000.000015804711</v>
      </c>
    </row>
    <row r="3305" spans="2:9" x14ac:dyDescent="0.3">
      <c r="B3305" s="332"/>
      <c r="C3305" s="333"/>
      <c r="D3305" s="332"/>
      <c r="E3305" s="333"/>
      <c r="F3305" s="334"/>
      <c r="G3305" s="332"/>
      <c r="H3305" s="330" t="s">
        <v>640</v>
      </c>
      <c r="I3305" s="330">
        <f>I3304+I3296+I3289+I3300</f>
        <v>50000.000015804711</v>
      </c>
    </row>
    <row r="3307" spans="2:9" ht="43.2" x14ac:dyDescent="0.3">
      <c r="B3307" s="339" t="s">
        <v>789</v>
      </c>
      <c r="C3307" s="339" t="s">
        <v>621</v>
      </c>
      <c r="D3307" s="341" t="s">
        <v>557</v>
      </c>
      <c r="E3307" s="339"/>
      <c r="F3307" s="340"/>
      <c r="G3307" s="340" t="s">
        <v>622</v>
      </c>
      <c r="H3307" s="340" t="s">
        <v>33</v>
      </c>
      <c r="I3307" s="340">
        <f>+ROUND(I3330,0)</f>
        <v>30000</v>
      </c>
    </row>
    <row r="3308" spans="2:9" x14ac:dyDescent="0.3">
      <c r="B3308" s="332" t="s">
        <v>623</v>
      </c>
      <c r="C3308" s="333"/>
      <c r="D3308" s="332"/>
      <c r="E3308" s="333"/>
      <c r="F3308" s="334"/>
      <c r="G3308" s="332"/>
      <c r="H3308" s="334"/>
      <c r="I3308" s="334"/>
    </row>
    <row r="3309" spans="2:9" x14ac:dyDescent="0.3">
      <c r="B3309" s="332" t="s">
        <v>271</v>
      </c>
      <c r="C3309" s="333"/>
      <c r="D3309" s="332"/>
      <c r="E3309" s="333" t="s">
        <v>624</v>
      </c>
      <c r="F3309" s="334" t="s">
        <v>625</v>
      </c>
      <c r="G3309" s="332" t="s">
        <v>626</v>
      </c>
      <c r="H3309" s="334" t="s">
        <v>627</v>
      </c>
      <c r="I3309" s="334"/>
    </row>
    <row r="3310" spans="2:9" x14ac:dyDescent="0.3">
      <c r="B3310" s="332" t="s">
        <v>701</v>
      </c>
      <c r="C3310" s="333"/>
      <c r="D3310" s="332"/>
      <c r="E3310" s="333" t="s">
        <v>644</v>
      </c>
      <c r="F3310" s="334">
        <v>1500</v>
      </c>
      <c r="G3310" s="335">
        <v>2</v>
      </c>
      <c r="H3310" s="334">
        <f>F3310*G3310</f>
        <v>3000</v>
      </c>
      <c r="I3310" s="334"/>
    </row>
    <row r="3311" spans="2:9" x14ac:dyDescent="0.3">
      <c r="B3311" s="332"/>
      <c r="C3311" s="333"/>
      <c r="D3311" s="332"/>
      <c r="E3311" s="333"/>
      <c r="F3311" s="334"/>
      <c r="G3311" s="335"/>
      <c r="H3311" s="334"/>
      <c r="I3311" s="334"/>
    </row>
    <row r="3312" spans="2:9" x14ac:dyDescent="0.3">
      <c r="B3312" s="332"/>
      <c r="C3312" s="333"/>
      <c r="D3312" s="332"/>
      <c r="E3312" s="333"/>
      <c r="F3312" s="334"/>
      <c r="G3312" s="335"/>
      <c r="H3312" s="334"/>
      <c r="I3312" s="334"/>
    </row>
    <row r="3313" spans="2:9" x14ac:dyDescent="0.3">
      <c r="B3313" s="332"/>
      <c r="C3313" s="333"/>
      <c r="D3313" s="332"/>
      <c r="E3313" s="333"/>
      <c r="F3313" s="334"/>
      <c r="G3313" s="332"/>
      <c r="H3313" s="334" t="s">
        <v>628</v>
      </c>
      <c r="I3313" s="334">
        <f>SUM(H3310:H3312)</f>
        <v>3000</v>
      </c>
    </row>
    <row r="3314" spans="2:9" x14ac:dyDescent="0.3">
      <c r="B3314" s="332" t="s">
        <v>629</v>
      </c>
      <c r="C3314" s="333"/>
      <c r="D3314" s="332"/>
      <c r="E3314" s="333"/>
      <c r="F3314" s="334"/>
      <c r="G3314" s="332"/>
      <c r="H3314" s="334"/>
      <c r="I3314" s="334"/>
    </row>
    <row r="3315" spans="2:9" x14ac:dyDescent="0.3">
      <c r="B3315" s="332" t="s">
        <v>271</v>
      </c>
      <c r="C3315" s="333"/>
      <c r="D3315" s="332"/>
      <c r="E3315" s="333" t="s">
        <v>624</v>
      </c>
      <c r="F3315" s="334" t="s">
        <v>630</v>
      </c>
      <c r="G3315" s="332" t="s">
        <v>631</v>
      </c>
      <c r="H3315" s="334" t="s">
        <v>627</v>
      </c>
      <c r="I3315" s="334"/>
    </row>
    <row r="3316" spans="2:9" x14ac:dyDescent="0.3">
      <c r="B3316" s="348" t="s">
        <v>716</v>
      </c>
      <c r="C3316" s="333"/>
      <c r="D3316" s="332"/>
      <c r="E3316" s="343" t="s">
        <v>33</v>
      </c>
      <c r="F3316" s="344">
        <v>16150</v>
      </c>
      <c r="G3316" s="345">
        <v>1</v>
      </c>
      <c r="H3316" s="344">
        <f>F3316*G3316</f>
        <v>16150</v>
      </c>
      <c r="I3316" s="344"/>
    </row>
    <row r="3317" spans="2:9" x14ac:dyDescent="0.3">
      <c r="B3317" s="332"/>
      <c r="C3317" s="333"/>
      <c r="D3317" s="332"/>
      <c r="E3317" s="333"/>
      <c r="F3317" s="334"/>
      <c r="G3317" s="332"/>
      <c r="H3317" s="344">
        <f>F3317*G3317</f>
        <v>0</v>
      </c>
      <c r="I3317" s="334"/>
    </row>
    <row r="3318" spans="2:9" x14ac:dyDescent="0.3">
      <c r="B3318" s="332"/>
      <c r="C3318" s="333"/>
      <c r="D3318" s="332"/>
      <c r="E3318" s="333"/>
      <c r="F3318" s="334"/>
      <c r="G3318" s="332"/>
      <c r="H3318" s="344">
        <f>F3318*G3318</f>
        <v>0</v>
      </c>
      <c r="I3318" s="334"/>
    </row>
    <row r="3319" spans="2:9" x14ac:dyDescent="0.3">
      <c r="B3319" s="332"/>
      <c r="C3319" s="333"/>
      <c r="D3319" s="332"/>
      <c r="E3319" s="333"/>
      <c r="F3319" s="334"/>
      <c r="G3319" s="332"/>
      <c r="H3319" s="344">
        <f>F3319*G3319</f>
        <v>0</v>
      </c>
      <c r="I3319" s="334"/>
    </row>
    <row r="3320" spans="2:9" x14ac:dyDescent="0.3">
      <c r="B3320" s="332"/>
      <c r="C3320" s="333"/>
      <c r="D3320" s="332"/>
      <c r="E3320" s="333"/>
      <c r="F3320" s="334"/>
      <c r="G3320" s="332"/>
      <c r="H3320" s="334"/>
      <c r="I3320" s="334"/>
    </row>
    <row r="3321" spans="2:9" x14ac:dyDescent="0.3">
      <c r="B3321" s="332"/>
      <c r="C3321" s="333"/>
      <c r="D3321" s="332"/>
      <c r="E3321" s="333"/>
      <c r="F3321" s="334"/>
      <c r="G3321" s="332"/>
      <c r="H3321" s="334" t="s">
        <v>628</v>
      </c>
      <c r="I3321" s="334">
        <f>SUM(H3316:H3320)</f>
        <v>16150</v>
      </c>
    </row>
    <row r="3322" spans="2:9" x14ac:dyDescent="0.3">
      <c r="B3322" s="332" t="s">
        <v>632</v>
      </c>
      <c r="C3322" s="333"/>
      <c r="D3322" s="332"/>
      <c r="E3322" s="333" t="s">
        <v>624</v>
      </c>
      <c r="F3322" s="334" t="s">
        <v>633</v>
      </c>
      <c r="G3322" s="332" t="s">
        <v>634</v>
      </c>
      <c r="H3322" s="334" t="s">
        <v>627</v>
      </c>
      <c r="I3322" s="334"/>
    </row>
    <row r="3323" spans="2:9" x14ac:dyDescent="0.3">
      <c r="B3323" s="332"/>
      <c r="C3323" s="333"/>
      <c r="D3323" s="332"/>
      <c r="E3323" s="332"/>
      <c r="F3323" s="332"/>
      <c r="G3323" s="332"/>
      <c r="H3323" s="332"/>
      <c r="I3323" s="332"/>
    </row>
    <row r="3324" spans="2:9" x14ac:dyDescent="0.3">
      <c r="B3324" s="332"/>
      <c r="C3324" s="333"/>
      <c r="D3324" s="332"/>
      <c r="E3324" s="333"/>
      <c r="F3324" s="336"/>
      <c r="G3324" s="334"/>
      <c r="H3324" s="334"/>
      <c r="I3324" s="334"/>
    </row>
    <row r="3325" spans="2:9" x14ac:dyDescent="0.3">
      <c r="B3325" s="332"/>
      <c r="C3325" s="333"/>
      <c r="D3325" s="332"/>
      <c r="E3325" s="333"/>
      <c r="F3325" s="334"/>
      <c r="G3325" s="332"/>
      <c r="H3325" s="334" t="s">
        <v>628</v>
      </c>
      <c r="I3325" s="334">
        <f>SUM(H3324)</f>
        <v>0</v>
      </c>
    </row>
    <row r="3326" spans="2:9" x14ac:dyDescent="0.3">
      <c r="B3326" s="332" t="s">
        <v>635</v>
      </c>
      <c r="C3326" s="333"/>
      <c r="D3326" s="332"/>
      <c r="E3326" s="333"/>
      <c r="F3326" s="334"/>
      <c r="G3326" s="332"/>
      <c r="H3326" s="334" t="s">
        <v>627</v>
      </c>
      <c r="I3326" s="334"/>
    </row>
    <row r="3327" spans="2:9" x14ac:dyDescent="0.3">
      <c r="B3327" s="332" t="s">
        <v>636</v>
      </c>
      <c r="C3327" s="333"/>
      <c r="D3327" s="332"/>
      <c r="E3327" s="333" t="s">
        <v>637</v>
      </c>
      <c r="F3327" s="334" t="s">
        <v>638</v>
      </c>
      <c r="G3327" s="332" t="s">
        <v>626</v>
      </c>
      <c r="I3327" s="334"/>
    </row>
    <row r="3328" spans="2:9" ht="28.8" x14ac:dyDescent="0.3">
      <c r="B3328" s="342" t="s">
        <v>702</v>
      </c>
      <c r="C3328" s="333"/>
      <c r="D3328" s="332"/>
      <c r="E3328" s="346">
        <v>168000</v>
      </c>
      <c r="F3328" s="344">
        <v>1.8</v>
      </c>
      <c r="G3328" s="347">
        <v>27.870967730580528</v>
      </c>
      <c r="H3328" s="344">
        <f>E3328*F3328/G3328</f>
        <v>10850.000004420415</v>
      </c>
      <c r="I3328" s="344"/>
    </row>
    <row r="3329" spans="2:9" x14ac:dyDescent="0.3">
      <c r="B3329" s="332"/>
      <c r="C3329" s="333"/>
      <c r="D3329" s="332"/>
      <c r="E3329" s="333"/>
      <c r="F3329" s="334"/>
      <c r="G3329" s="332"/>
      <c r="H3329" s="334" t="s">
        <v>628</v>
      </c>
      <c r="I3329" s="334">
        <f>H3328</f>
        <v>10850.000004420415</v>
      </c>
    </row>
    <row r="3330" spans="2:9" x14ac:dyDescent="0.3">
      <c r="B3330" s="332"/>
      <c r="C3330" s="333"/>
      <c r="D3330" s="332"/>
      <c r="E3330" s="333"/>
      <c r="F3330" s="334"/>
      <c r="G3330" s="332"/>
      <c r="H3330" s="330" t="s">
        <v>640</v>
      </c>
      <c r="I3330" s="330">
        <f>I3329+I3321+I3313+I3325</f>
        <v>30000.000004420413</v>
      </c>
    </row>
    <row r="3332" spans="2:9" ht="115.2" x14ac:dyDescent="0.3">
      <c r="B3332" s="339" t="s">
        <v>790</v>
      </c>
      <c r="C3332" s="339" t="s">
        <v>621</v>
      </c>
      <c r="D3332" s="341" t="s">
        <v>722</v>
      </c>
      <c r="E3332" s="339"/>
      <c r="F3332" s="340"/>
      <c r="G3332" s="340" t="s">
        <v>622</v>
      </c>
      <c r="H3332" s="340" t="s">
        <v>93</v>
      </c>
      <c r="I3332" s="340">
        <f>+ROUND(I3356,0)</f>
        <v>45000</v>
      </c>
    </row>
    <row r="3333" spans="2:9" x14ac:dyDescent="0.3">
      <c r="B3333" s="332" t="s">
        <v>623</v>
      </c>
      <c r="C3333" s="333"/>
      <c r="D3333" s="332"/>
      <c r="E3333" s="333"/>
      <c r="F3333" s="334"/>
      <c r="G3333" s="332"/>
      <c r="H3333" s="334"/>
      <c r="I3333" s="334"/>
    </row>
    <row r="3334" spans="2:9" x14ac:dyDescent="0.3">
      <c r="B3334" s="332" t="s">
        <v>271</v>
      </c>
      <c r="C3334" s="333"/>
      <c r="D3334" s="332"/>
      <c r="E3334" s="333" t="s">
        <v>624</v>
      </c>
      <c r="F3334" s="334" t="s">
        <v>625</v>
      </c>
      <c r="G3334" s="332" t="s">
        <v>626</v>
      </c>
      <c r="H3334" s="334" t="s">
        <v>627</v>
      </c>
      <c r="I3334" s="334"/>
    </row>
    <row r="3335" spans="2:9" x14ac:dyDescent="0.3">
      <c r="B3335" s="332" t="s">
        <v>701</v>
      </c>
      <c r="C3335" s="333"/>
      <c r="D3335" s="332"/>
      <c r="E3335" s="333" t="s">
        <v>644</v>
      </c>
      <c r="F3335" s="334">
        <v>1500</v>
      </c>
      <c r="G3335" s="335">
        <v>2</v>
      </c>
      <c r="H3335" s="334">
        <f>F3335*G3335</f>
        <v>3000</v>
      </c>
      <c r="I3335" s="334"/>
    </row>
    <row r="3336" spans="2:9" x14ac:dyDescent="0.3">
      <c r="B3336" s="332"/>
      <c r="C3336" s="333"/>
      <c r="D3336" s="332"/>
      <c r="E3336" s="333"/>
      <c r="F3336" s="334"/>
      <c r="G3336" s="335"/>
      <c r="H3336" s="334"/>
      <c r="I3336" s="334"/>
    </row>
    <row r="3337" spans="2:9" x14ac:dyDescent="0.3">
      <c r="B3337" s="332"/>
      <c r="C3337" s="333"/>
      <c r="D3337" s="332"/>
      <c r="E3337" s="333"/>
      <c r="F3337" s="334"/>
      <c r="G3337" s="335"/>
      <c r="H3337" s="334"/>
      <c r="I3337" s="334"/>
    </row>
    <row r="3338" spans="2:9" x14ac:dyDescent="0.3">
      <c r="B3338" s="332"/>
      <c r="C3338" s="333"/>
      <c r="D3338" s="332"/>
      <c r="E3338" s="333"/>
      <c r="F3338" s="334"/>
      <c r="G3338" s="332"/>
      <c r="H3338" s="334" t="s">
        <v>628</v>
      </c>
      <c r="I3338" s="334">
        <f>SUM(H3335:H3337)</f>
        <v>3000</v>
      </c>
    </row>
    <row r="3339" spans="2:9" x14ac:dyDescent="0.3">
      <c r="B3339" s="332" t="s">
        <v>629</v>
      </c>
      <c r="C3339" s="333"/>
      <c r="D3339" s="332"/>
      <c r="E3339" s="333"/>
      <c r="F3339" s="334"/>
      <c r="G3339" s="332"/>
      <c r="H3339" s="334"/>
      <c r="I3339" s="334"/>
    </row>
    <row r="3340" spans="2:9" x14ac:dyDescent="0.3">
      <c r="B3340" s="332" t="s">
        <v>271</v>
      </c>
      <c r="C3340" s="333"/>
      <c r="D3340" s="332"/>
      <c r="E3340" s="333" t="s">
        <v>624</v>
      </c>
      <c r="F3340" s="334" t="s">
        <v>630</v>
      </c>
      <c r="G3340" s="332" t="s">
        <v>631</v>
      </c>
      <c r="H3340" s="334" t="s">
        <v>627</v>
      </c>
      <c r="I3340" s="334"/>
    </row>
    <row r="3341" spans="2:9" x14ac:dyDescent="0.3">
      <c r="B3341" s="332" t="s">
        <v>723</v>
      </c>
      <c r="C3341" s="333"/>
      <c r="D3341" s="332"/>
      <c r="E3341" s="333" t="s">
        <v>93</v>
      </c>
      <c r="F3341" s="334">
        <v>10500</v>
      </c>
      <c r="G3341" s="332">
        <v>1.1000000000000001</v>
      </c>
      <c r="H3341" s="344">
        <f>F3341*G3341</f>
        <v>11550.000000000002</v>
      </c>
      <c r="I3341" s="344"/>
    </row>
    <row r="3342" spans="2:9" x14ac:dyDescent="0.3">
      <c r="B3342" s="332" t="s">
        <v>720</v>
      </c>
      <c r="C3342" s="333"/>
      <c r="D3342" s="332"/>
      <c r="E3342" s="333" t="s">
        <v>93</v>
      </c>
      <c r="F3342" s="334">
        <v>2500</v>
      </c>
      <c r="G3342" s="332">
        <v>2.2000000000000002</v>
      </c>
      <c r="H3342" s="344">
        <f>F3342*G3342</f>
        <v>5500</v>
      </c>
      <c r="I3342" s="334"/>
    </row>
    <row r="3343" spans="2:9" x14ac:dyDescent="0.3">
      <c r="B3343" s="332" t="s">
        <v>721</v>
      </c>
      <c r="C3343" s="333"/>
      <c r="D3343" s="332"/>
      <c r="E3343" s="333" t="s">
        <v>93</v>
      </c>
      <c r="F3343" s="334">
        <v>2500</v>
      </c>
      <c r="G3343" s="332">
        <v>1.1000000000000001</v>
      </c>
      <c r="H3343" s="344">
        <f>F3343*G3343</f>
        <v>2750</v>
      </c>
      <c r="I3343" s="334"/>
    </row>
    <row r="3344" spans="2:9" x14ac:dyDescent="0.3">
      <c r="B3344" s="332" t="s">
        <v>713</v>
      </c>
      <c r="C3344" s="333"/>
      <c r="D3344" s="332"/>
      <c r="E3344" s="333" t="s">
        <v>33</v>
      </c>
      <c r="F3344" s="334">
        <v>9900</v>
      </c>
      <c r="G3344" s="332">
        <v>0.05</v>
      </c>
      <c r="H3344" s="344">
        <f>F3344*G3344</f>
        <v>495</v>
      </c>
      <c r="I3344" s="334"/>
    </row>
    <row r="3345" spans="2:9" x14ac:dyDescent="0.3">
      <c r="B3345" s="332"/>
      <c r="C3345" s="333"/>
      <c r="D3345" s="332"/>
      <c r="E3345" s="333"/>
      <c r="F3345" s="334"/>
      <c r="G3345" s="332"/>
      <c r="H3345" s="344">
        <f>F3345*G3345</f>
        <v>0</v>
      </c>
      <c r="I3345" s="334"/>
    </row>
    <row r="3346" spans="2:9" x14ac:dyDescent="0.3">
      <c r="B3346" s="332"/>
      <c r="C3346" s="333"/>
      <c r="D3346" s="332"/>
      <c r="E3346" s="333"/>
      <c r="F3346" s="334"/>
      <c r="G3346" s="332"/>
      <c r="H3346" s="334"/>
      <c r="I3346" s="334"/>
    </row>
    <row r="3347" spans="2:9" x14ac:dyDescent="0.3">
      <c r="B3347" s="332"/>
      <c r="C3347" s="333"/>
      <c r="D3347" s="332"/>
      <c r="E3347" s="333"/>
      <c r="F3347" s="334"/>
      <c r="G3347" s="332"/>
      <c r="H3347" s="334" t="s">
        <v>628</v>
      </c>
      <c r="I3347" s="334">
        <f>SUM(H3341:H3346)</f>
        <v>20295</v>
      </c>
    </row>
    <row r="3348" spans="2:9" x14ac:dyDescent="0.3">
      <c r="B3348" s="332" t="s">
        <v>632</v>
      </c>
      <c r="C3348" s="333"/>
      <c r="D3348" s="332"/>
      <c r="E3348" s="333" t="s">
        <v>624</v>
      </c>
      <c r="F3348" s="334" t="s">
        <v>633</v>
      </c>
      <c r="G3348" s="332" t="s">
        <v>634</v>
      </c>
      <c r="H3348" s="334" t="s">
        <v>627</v>
      </c>
      <c r="I3348" s="334"/>
    </row>
    <row r="3349" spans="2:9" x14ac:dyDescent="0.3">
      <c r="B3349" s="332"/>
      <c r="C3349" s="333"/>
      <c r="D3349" s="332"/>
      <c r="E3349" s="332"/>
      <c r="F3349" s="332"/>
      <c r="G3349" s="332"/>
      <c r="H3349" s="332"/>
      <c r="I3349" s="332"/>
    </row>
    <row r="3350" spans="2:9" x14ac:dyDescent="0.3">
      <c r="B3350" s="332"/>
      <c r="C3350" s="333"/>
      <c r="D3350" s="332"/>
      <c r="E3350" s="333"/>
      <c r="F3350" s="336"/>
      <c r="G3350" s="334"/>
      <c r="H3350" s="334"/>
      <c r="I3350" s="334"/>
    </row>
    <row r="3351" spans="2:9" x14ac:dyDescent="0.3">
      <c r="B3351" s="332"/>
      <c r="C3351" s="333"/>
      <c r="D3351" s="332"/>
      <c r="E3351" s="333"/>
      <c r="F3351" s="334"/>
      <c r="G3351" s="332"/>
      <c r="H3351" s="334" t="s">
        <v>628</v>
      </c>
      <c r="I3351" s="334">
        <f>SUM(H3350)</f>
        <v>0</v>
      </c>
    </row>
    <row r="3352" spans="2:9" x14ac:dyDescent="0.3">
      <c r="B3352" s="332" t="s">
        <v>635</v>
      </c>
      <c r="C3352" s="333"/>
      <c r="D3352" s="332"/>
      <c r="E3352" s="333"/>
      <c r="F3352" s="334"/>
      <c r="G3352" s="332"/>
      <c r="H3352" s="334" t="s">
        <v>627</v>
      </c>
      <c r="I3352" s="334"/>
    </row>
    <row r="3353" spans="2:9" x14ac:dyDescent="0.3">
      <c r="B3353" s="332" t="s">
        <v>636</v>
      </c>
      <c r="C3353" s="333"/>
      <c r="D3353" s="332"/>
      <c r="E3353" s="333" t="s">
        <v>637</v>
      </c>
      <c r="F3353" s="334" t="s">
        <v>638</v>
      </c>
      <c r="G3353" s="332" t="s">
        <v>626</v>
      </c>
      <c r="I3353" s="334"/>
    </row>
    <row r="3354" spans="2:9" ht="28.8" x14ac:dyDescent="0.3">
      <c r="B3354" s="342" t="s">
        <v>702</v>
      </c>
      <c r="C3354" s="333"/>
      <c r="D3354" s="332"/>
      <c r="E3354" s="346">
        <v>168000</v>
      </c>
      <c r="F3354" s="344">
        <v>1.8</v>
      </c>
      <c r="G3354" s="347">
        <v>13.932273669712291</v>
      </c>
      <c r="H3354" s="344">
        <f>E3354*F3354/G3354</f>
        <v>21704.999999920667</v>
      </c>
      <c r="I3354" s="344"/>
    </row>
    <row r="3355" spans="2:9" x14ac:dyDescent="0.3">
      <c r="B3355" s="332"/>
      <c r="C3355" s="333"/>
      <c r="D3355" s="332"/>
      <c r="E3355" s="333"/>
      <c r="F3355" s="334"/>
      <c r="G3355" s="332"/>
      <c r="H3355" s="334" t="s">
        <v>628</v>
      </c>
      <c r="I3355" s="334">
        <f>H3354</f>
        <v>21704.999999920667</v>
      </c>
    </row>
    <row r="3356" spans="2:9" x14ac:dyDescent="0.3">
      <c r="B3356" s="332"/>
      <c r="C3356" s="333"/>
      <c r="D3356" s="332"/>
      <c r="E3356" s="333"/>
      <c r="F3356" s="334"/>
      <c r="G3356" s="332"/>
      <c r="H3356" s="330" t="s">
        <v>640</v>
      </c>
      <c r="I3356" s="330">
        <f>I3355+I3347+I3338+I3351</f>
        <v>44999.999999920663</v>
      </c>
    </row>
    <row r="3358" spans="2:9" ht="129.6" x14ac:dyDescent="0.3">
      <c r="B3358" s="339" t="s">
        <v>791</v>
      </c>
      <c r="C3358" s="339" t="s">
        <v>621</v>
      </c>
      <c r="D3358" s="341" t="s">
        <v>555</v>
      </c>
      <c r="E3358" s="339"/>
      <c r="F3358" s="340"/>
      <c r="G3358" s="340" t="s">
        <v>622</v>
      </c>
      <c r="H3358" s="340" t="s">
        <v>102</v>
      </c>
      <c r="I3358" s="340">
        <f>+ROUND(I3381,0)</f>
        <v>100000</v>
      </c>
    </row>
    <row r="3359" spans="2:9" x14ac:dyDescent="0.3">
      <c r="B3359" s="332" t="s">
        <v>623</v>
      </c>
      <c r="C3359" s="333"/>
      <c r="D3359" s="332"/>
      <c r="E3359" s="333"/>
      <c r="F3359" s="334"/>
      <c r="G3359" s="332"/>
      <c r="H3359" s="334"/>
      <c r="I3359" s="334"/>
    </row>
    <row r="3360" spans="2:9" x14ac:dyDescent="0.3">
      <c r="B3360" s="332" t="s">
        <v>271</v>
      </c>
      <c r="C3360" s="333"/>
      <c r="D3360" s="332"/>
      <c r="E3360" s="333" t="s">
        <v>624</v>
      </c>
      <c r="F3360" s="334" t="s">
        <v>625</v>
      </c>
      <c r="G3360" s="332" t="s">
        <v>626</v>
      </c>
      <c r="H3360" s="334" t="s">
        <v>627</v>
      </c>
      <c r="I3360" s="334"/>
    </row>
    <row r="3361" spans="2:9" x14ac:dyDescent="0.3">
      <c r="B3361" s="332" t="s">
        <v>701</v>
      </c>
      <c r="C3361" s="333"/>
      <c r="D3361" s="332"/>
      <c r="E3361" s="333" t="s">
        <v>644</v>
      </c>
      <c r="F3361" s="334">
        <v>1500</v>
      </c>
      <c r="G3361" s="335">
        <v>2</v>
      </c>
      <c r="H3361" s="334">
        <f>F3361*G3361</f>
        <v>3000</v>
      </c>
      <c r="I3361" s="334"/>
    </row>
    <row r="3362" spans="2:9" x14ac:dyDescent="0.3">
      <c r="B3362" s="332"/>
      <c r="C3362" s="333"/>
      <c r="D3362" s="332"/>
      <c r="E3362" s="333"/>
      <c r="F3362" s="334"/>
      <c r="G3362" s="335"/>
      <c r="H3362" s="334"/>
      <c r="I3362" s="334"/>
    </row>
    <row r="3363" spans="2:9" x14ac:dyDescent="0.3">
      <c r="B3363" s="332"/>
      <c r="C3363" s="333"/>
      <c r="D3363" s="332"/>
      <c r="E3363" s="333"/>
      <c r="F3363" s="334"/>
      <c r="G3363" s="335"/>
      <c r="H3363" s="334"/>
      <c r="I3363" s="334"/>
    </row>
    <row r="3364" spans="2:9" x14ac:dyDescent="0.3">
      <c r="B3364" s="332"/>
      <c r="C3364" s="333"/>
      <c r="D3364" s="332"/>
      <c r="E3364" s="333"/>
      <c r="F3364" s="334"/>
      <c r="G3364" s="332"/>
      <c r="H3364" s="334" t="s">
        <v>628</v>
      </c>
      <c r="I3364" s="334">
        <f>SUM(H3361:H3363)</f>
        <v>3000</v>
      </c>
    </row>
    <row r="3365" spans="2:9" x14ac:dyDescent="0.3">
      <c r="B3365" s="332" t="s">
        <v>629</v>
      </c>
      <c r="C3365" s="333"/>
      <c r="D3365" s="332"/>
      <c r="E3365" s="333"/>
      <c r="F3365" s="334"/>
      <c r="G3365" s="332"/>
      <c r="H3365" s="334"/>
      <c r="I3365" s="334"/>
    </row>
    <row r="3366" spans="2:9" x14ac:dyDescent="0.3">
      <c r="B3366" s="332" t="s">
        <v>271</v>
      </c>
      <c r="C3366" s="333"/>
      <c r="D3366" s="332"/>
      <c r="E3366" s="333" t="s">
        <v>624</v>
      </c>
      <c r="F3366" s="334" t="s">
        <v>630</v>
      </c>
      <c r="G3366" s="332" t="s">
        <v>631</v>
      </c>
      <c r="H3366" s="334" t="s">
        <v>627</v>
      </c>
      <c r="I3366" s="334"/>
    </row>
    <row r="3367" spans="2:9" x14ac:dyDescent="0.3">
      <c r="B3367" s="332" t="s">
        <v>723</v>
      </c>
      <c r="C3367" s="333"/>
      <c r="D3367" s="332"/>
      <c r="E3367" s="333" t="s">
        <v>93</v>
      </c>
      <c r="F3367" s="334">
        <v>10500</v>
      </c>
      <c r="G3367" s="332">
        <v>2</v>
      </c>
      <c r="H3367" s="344">
        <f>F3367*G3367</f>
        <v>21000</v>
      </c>
      <c r="I3367" s="344"/>
    </row>
    <row r="3368" spans="2:9" x14ac:dyDescent="0.3">
      <c r="B3368" s="332" t="s">
        <v>721</v>
      </c>
      <c r="C3368" s="333"/>
      <c r="D3368" s="332"/>
      <c r="E3368" s="333" t="s">
        <v>93</v>
      </c>
      <c r="F3368" s="334">
        <v>2500</v>
      </c>
      <c r="G3368" s="332">
        <v>5</v>
      </c>
      <c r="H3368" s="344">
        <f>F3368*G3368</f>
        <v>12500</v>
      </c>
      <c r="I3368" s="334"/>
    </row>
    <row r="3369" spans="2:9" x14ac:dyDescent="0.3">
      <c r="B3369" s="332" t="s">
        <v>713</v>
      </c>
      <c r="C3369" s="333"/>
      <c r="D3369" s="332"/>
      <c r="E3369" s="333" t="s">
        <v>33</v>
      </c>
      <c r="F3369" s="334">
        <v>9900</v>
      </c>
      <c r="G3369" s="332">
        <v>1</v>
      </c>
      <c r="H3369" s="344">
        <f>F3369*G3369</f>
        <v>9900</v>
      </c>
      <c r="I3369" s="334"/>
    </row>
    <row r="3370" spans="2:9" x14ac:dyDescent="0.3">
      <c r="B3370" s="332"/>
      <c r="C3370" s="333"/>
      <c r="D3370" s="332"/>
      <c r="E3370" s="333"/>
      <c r="F3370" s="334"/>
      <c r="G3370" s="332"/>
      <c r="H3370" s="344"/>
      <c r="I3370" s="334"/>
    </row>
    <row r="3371" spans="2:9" x14ac:dyDescent="0.3">
      <c r="B3371" s="332"/>
      <c r="C3371" s="333"/>
      <c r="D3371" s="332"/>
      <c r="E3371" s="333"/>
      <c r="F3371" s="334"/>
      <c r="G3371" s="332"/>
      <c r="H3371" s="334"/>
      <c r="I3371" s="334"/>
    </row>
    <row r="3372" spans="2:9" x14ac:dyDescent="0.3">
      <c r="B3372" s="332"/>
      <c r="C3372" s="333"/>
      <c r="D3372" s="332"/>
      <c r="E3372" s="333"/>
      <c r="F3372" s="334"/>
      <c r="G3372" s="332"/>
      <c r="H3372" s="334" t="s">
        <v>628</v>
      </c>
      <c r="I3372" s="334">
        <f>SUM(H3367:H3371)</f>
        <v>43400</v>
      </c>
    </row>
    <row r="3373" spans="2:9" x14ac:dyDescent="0.3">
      <c r="B3373" s="332" t="s">
        <v>632</v>
      </c>
      <c r="C3373" s="333"/>
      <c r="D3373" s="332"/>
      <c r="E3373" s="333" t="s">
        <v>624</v>
      </c>
      <c r="F3373" s="334" t="s">
        <v>633</v>
      </c>
      <c r="G3373" s="332" t="s">
        <v>634</v>
      </c>
      <c r="H3373" s="334" t="s">
        <v>627</v>
      </c>
      <c r="I3373" s="334"/>
    </row>
    <row r="3374" spans="2:9" x14ac:dyDescent="0.3">
      <c r="B3374" s="332"/>
      <c r="C3374" s="333"/>
      <c r="D3374" s="332"/>
      <c r="E3374" s="332"/>
      <c r="F3374" s="332"/>
      <c r="G3374" s="332"/>
      <c r="H3374" s="332"/>
      <c r="I3374" s="332"/>
    </row>
    <row r="3375" spans="2:9" x14ac:dyDescent="0.3">
      <c r="B3375" s="332"/>
      <c r="C3375" s="333"/>
      <c r="D3375" s="332"/>
      <c r="E3375" s="333"/>
      <c r="F3375" s="336"/>
      <c r="G3375" s="334"/>
      <c r="H3375" s="334"/>
      <c r="I3375" s="334"/>
    </row>
    <row r="3376" spans="2:9" x14ac:dyDescent="0.3">
      <c r="B3376" s="332"/>
      <c r="C3376" s="333"/>
      <c r="D3376" s="332"/>
      <c r="E3376" s="333"/>
      <c r="F3376" s="334"/>
      <c r="G3376" s="332"/>
      <c r="H3376" s="334" t="s">
        <v>628</v>
      </c>
      <c r="I3376" s="334">
        <f>SUM(H3375)</f>
        <v>0</v>
      </c>
    </row>
    <row r="3377" spans="2:9" x14ac:dyDescent="0.3">
      <c r="B3377" s="332" t="s">
        <v>635</v>
      </c>
      <c r="C3377" s="333"/>
      <c r="D3377" s="332"/>
      <c r="E3377" s="333"/>
      <c r="F3377" s="334"/>
      <c r="G3377" s="332"/>
      <c r="H3377" s="334" t="s">
        <v>627</v>
      </c>
      <c r="I3377" s="334"/>
    </row>
    <row r="3378" spans="2:9" x14ac:dyDescent="0.3">
      <c r="B3378" s="332" t="s">
        <v>636</v>
      </c>
      <c r="C3378" s="333"/>
      <c r="D3378" s="332"/>
      <c r="E3378" s="333" t="s">
        <v>637</v>
      </c>
      <c r="F3378" s="334" t="s">
        <v>638</v>
      </c>
      <c r="G3378" s="332" t="s">
        <v>626</v>
      </c>
      <c r="I3378" s="334"/>
    </row>
    <row r="3379" spans="2:9" ht="28.8" x14ac:dyDescent="0.3">
      <c r="B3379" s="342" t="s">
        <v>702</v>
      </c>
      <c r="C3379" s="333"/>
      <c r="D3379" s="332"/>
      <c r="E3379" s="346">
        <v>168000</v>
      </c>
      <c r="F3379" s="344">
        <v>1.8</v>
      </c>
      <c r="G3379" s="347">
        <v>5.6417910447686968</v>
      </c>
      <c r="H3379" s="344">
        <f>E3379*F3379/G3379</f>
        <v>53600.000000070519</v>
      </c>
      <c r="I3379" s="344"/>
    </row>
    <row r="3380" spans="2:9" x14ac:dyDescent="0.3">
      <c r="B3380" s="332"/>
      <c r="C3380" s="333"/>
      <c r="D3380" s="332"/>
      <c r="E3380" s="333"/>
      <c r="F3380" s="334"/>
      <c r="G3380" s="332"/>
      <c r="H3380" s="334" t="s">
        <v>628</v>
      </c>
      <c r="I3380" s="334">
        <f>H3379</f>
        <v>53600.000000070519</v>
      </c>
    </row>
    <row r="3381" spans="2:9" x14ac:dyDescent="0.3">
      <c r="B3381" s="332"/>
      <c r="C3381" s="333"/>
      <c r="D3381" s="332"/>
      <c r="E3381" s="333"/>
      <c r="F3381" s="334"/>
      <c r="G3381" s="332"/>
      <c r="H3381" s="330" t="s">
        <v>640</v>
      </c>
      <c r="I3381" s="330">
        <f>I3380+I3372+I3364+I3376</f>
        <v>100000.00000007052</v>
      </c>
    </row>
    <row r="3383" spans="2:9" x14ac:dyDescent="0.3">
      <c r="B3383" s="339" t="s">
        <v>686</v>
      </c>
      <c r="C3383" s="339" t="s">
        <v>621</v>
      </c>
      <c r="D3383" s="352" t="s">
        <v>503</v>
      </c>
      <c r="E3383" s="329"/>
      <c r="F3383" s="353"/>
      <c r="G3383" s="353" t="s">
        <v>622</v>
      </c>
      <c r="H3383" s="353" t="s">
        <v>641</v>
      </c>
      <c r="I3383" s="340">
        <f>+ROUND(I3405,0)</f>
        <v>600000</v>
      </c>
    </row>
    <row r="3384" spans="2:9" x14ac:dyDescent="0.3">
      <c r="B3384" s="332" t="s">
        <v>623</v>
      </c>
      <c r="C3384" s="333"/>
      <c r="D3384" s="332"/>
      <c r="E3384" s="333"/>
      <c r="F3384" s="334"/>
      <c r="G3384" s="332"/>
      <c r="H3384" s="334"/>
      <c r="I3384" s="334"/>
    </row>
    <row r="3385" spans="2:9" x14ac:dyDescent="0.3">
      <c r="B3385" s="332" t="s">
        <v>271</v>
      </c>
      <c r="C3385" s="333"/>
      <c r="D3385" s="332"/>
      <c r="E3385" s="333" t="s">
        <v>624</v>
      </c>
      <c r="F3385" s="334" t="s">
        <v>625</v>
      </c>
      <c r="G3385" s="332" t="s">
        <v>626</v>
      </c>
      <c r="H3385" s="334" t="s">
        <v>627</v>
      </c>
      <c r="I3385" s="334"/>
    </row>
    <row r="3386" spans="2:9" x14ac:dyDescent="0.3">
      <c r="B3386" s="332" t="s">
        <v>642</v>
      </c>
      <c r="C3386" s="333"/>
      <c r="D3386" s="332"/>
      <c r="E3386" s="333" t="s">
        <v>644</v>
      </c>
      <c r="F3386" s="334">
        <v>1500</v>
      </c>
      <c r="G3386" s="335">
        <v>8</v>
      </c>
      <c r="H3386" s="334">
        <f>F3386*G3386</f>
        <v>12000</v>
      </c>
      <c r="I3386" s="334"/>
    </row>
    <row r="3387" spans="2:9" x14ac:dyDescent="0.3">
      <c r="B3387" s="332"/>
      <c r="C3387" s="333"/>
      <c r="D3387" s="332"/>
      <c r="E3387" s="333"/>
      <c r="F3387" s="334"/>
      <c r="G3387" s="335"/>
      <c r="H3387" s="334"/>
      <c r="I3387" s="334"/>
    </row>
    <row r="3388" spans="2:9" x14ac:dyDescent="0.3">
      <c r="B3388" s="332"/>
      <c r="C3388" s="333"/>
      <c r="D3388" s="332"/>
      <c r="E3388" s="333"/>
      <c r="F3388" s="334"/>
      <c r="G3388" s="335"/>
      <c r="H3388" s="334"/>
      <c r="I3388" s="334"/>
    </row>
    <row r="3389" spans="2:9" x14ac:dyDescent="0.3">
      <c r="B3389" s="332"/>
      <c r="C3389" s="333"/>
      <c r="D3389" s="332"/>
      <c r="E3389" s="333"/>
      <c r="F3389" s="334"/>
      <c r="G3389" s="332"/>
      <c r="H3389" s="334" t="s">
        <v>628</v>
      </c>
      <c r="I3389" s="334">
        <f>SUM(H3386:H3388)</f>
        <v>12000</v>
      </c>
    </row>
    <row r="3390" spans="2:9" x14ac:dyDescent="0.3">
      <c r="B3390" s="332" t="s">
        <v>629</v>
      </c>
      <c r="C3390" s="333"/>
      <c r="D3390" s="332"/>
      <c r="E3390" s="333"/>
      <c r="F3390" s="334"/>
      <c r="G3390" s="332"/>
      <c r="H3390" s="334"/>
      <c r="I3390" s="334"/>
    </row>
    <row r="3391" spans="2:9" x14ac:dyDescent="0.3">
      <c r="B3391" s="332" t="s">
        <v>271</v>
      </c>
      <c r="C3391" s="333"/>
      <c r="D3391" s="332"/>
      <c r="E3391" s="333" t="s">
        <v>624</v>
      </c>
      <c r="F3391" s="334" t="s">
        <v>630</v>
      </c>
      <c r="G3391" s="332" t="s">
        <v>631</v>
      </c>
      <c r="H3391" s="334" t="s">
        <v>627</v>
      </c>
      <c r="I3391" s="334"/>
    </row>
    <row r="3392" spans="2:9" x14ac:dyDescent="0.3">
      <c r="B3392" s="332"/>
      <c r="C3392" s="333"/>
      <c r="D3392" s="332"/>
      <c r="E3392" s="333"/>
      <c r="F3392" s="334"/>
      <c r="G3392" s="332"/>
      <c r="H3392" s="334"/>
      <c r="I3392" s="334"/>
    </row>
    <row r="3393" spans="2:9" x14ac:dyDescent="0.3">
      <c r="B3393" s="332"/>
      <c r="C3393" s="333"/>
      <c r="D3393" s="332"/>
      <c r="E3393" s="333"/>
      <c r="F3393" s="334"/>
      <c r="G3393" s="332"/>
      <c r="H3393" s="334"/>
      <c r="I3393" s="334"/>
    </row>
    <row r="3394" spans="2:9" x14ac:dyDescent="0.3">
      <c r="B3394" s="332"/>
      <c r="C3394" s="333"/>
      <c r="D3394" s="332"/>
      <c r="E3394" s="333"/>
      <c r="F3394" s="334"/>
      <c r="G3394" s="332"/>
      <c r="H3394" s="334"/>
      <c r="I3394" s="334"/>
    </row>
    <row r="3395" spans="2:9" x14ac:dyDescent="0.3">
      <c r="B3395" s="332"/>
      <c r="C3395" s="333"/>
      <c r="D3395" s="332"/>
      <c r="E3395" s="333"/>
      <c r="F3395" s="334"/>
      <c r="G3395" s="332"/>
      <c r="H3395" s="334"/>
      <c r="I3395" s="334"/>
    </row>
    <row r="3396" spans="2:9" x14ac:dyDescent="0.3">
      <c r="B3396" s="332"/>
      <c r="C3396" s="333"/>
      <c r="D3396" s="332"/>
      <c r="E3396" s="333"/>
      <c r="F3396" s="334"/>
      <c r="G3396" s="332"/>
      <c r="H3396" s="334" t="s">
        <v>628</v>
      </c>
      <c r="I3396" s="334">
        <f>SUM(H3392:H3395)</f>
        <v>0</v>
      </c>
    </row>
    <row r="3397" spans="2:9" x14ac:dyDescent="0.3">
      <c r="B3397" s="332" t="s">
        <v>632</v>
      </c>
      <c r="C3397" s="333"/>
      <c r="D3397" s="332"/>
      <c r="E3397" s="333" t="s">
        <v>624</v>
      </c>
      <c r="F3397" s="334" t="s">
        <v>633</v>
      </c>
      <c r="G3397" s="332" t="s">
        <v>634</v>
      </c>
      <c r="H3397" s="334" t="s">
        <v>627</v>
      </c>
      <c r="I3397" s="334"/>
    </row>
    <row r="3398" spans="2:9" x14ac:dyDescent="0.3">
      <c r="B3398" s="332"/>
      <c r="C3398" s="333"/>
      <c r="D3398" s="332"/>
      <c r="E3398" s="332"/>
      <c r="F3398" s="332"/>
      <c r="G3398" s="332"/>
      <c r="H3398" s="332"/>
      <c r="I3398" s="332"/>
    </row>
    <row r="3399" spans="2:9" x14ac:dyDescent="0.3">
      <c r="B3399" s="332"/>
      <c r="C3399" s="333"/>
      <c r="D3399" s="332"/>
      <c r="E3399" s="333"/>
      <c r="F3399" s="336"/>
      <c r="G3399" s="334"/>
      <c r="H3399" s="334"/>
      <c r="I3399" s="334"/>
    </row>
    <row r="3400" spans="2:9" x14ac:dyDescent="0.3">
      <c r="B3400" s="332"/>
      <c r="C3400" s="333"/>
      <c r="D3400" s="332"/>
      <c r="E3400" s="333"/>
      <c r="F3400" s="334"/>
      <c r="G3400" s="332"/>
      <c r="H3400" s="334" t="s">
        <v>628</v>
      </c>
      <c r="I3400" s="334">
        <f>SUM(H3399)</f>
        <v>0</v>
      </c>
    </row>
    <row r="3401" spans="2:9" x14ac:dyDescent="0.3">
      <c r="B3401" s="332" t="s">
        <v>635</v>
      </c>
      <c r="C3401" s="333"/>
      <c r="D3401" s="332"/>
      <c r="E3401" s="333"/>
      <c r="F3401" s="334"/>
      <c r="G3401" s="332"/>
      <c r="H3401" s="334"/>
      <c r="I3401" s="334"/>
    </row>
    <row r="3402" spans="2:9" x14ac:dyDescent="0.3">
      <c r="B3402" s="332" t="s">
        <v>636</v>
      </c>
      <c r="C3402" s="333"/>
      <c r="D3402" s="332"/>
      <c r="E3402" s="333" t="s">
        <v>637</v>
      </c>
      <c r="F3402" s="334" t="s">
        <v>638</v>
      </c>
      <c r="G3402" s="332" t="s">
        <v>639</v>
      </c>
      <c r="H3402" s="334" t="s">
        <v>627</v>
      </c>
      <c r="I3402" s="334"/>
    </row>
    <row r="3403" spans="2:9" x14ac:dyDescent="0.3">
      <c r="B3403" s="332" t="s">
        <v>645</v>
      </c>
      <c r="C3403" s="333"/>
      <c r="D3403" s="332"/>
      <c r="E3403" s="337">
        <v>168000</v>
      </c>
      <c r="F3403" s="334">
        <v>1.8</v>
      </c>
      <c r="G3403" s="335">
        <v>0.51428571417796698</v>
      </c>
      <c r="H3403" s="334">
        <f>E3403*F3403/G3403</f>
        <v>588000.00012319104</v>
      </c>
      <c r="I3403" s="334"/>
    </row>
    <row r="3404" spans="2:9" x14ac:dyDescent="0.3">
      <c r="B3404" s="332"/>
      <c r="C3404" s="333"/>
      <c r="D3404" s="332"/>
      <c r="E3404" s="333"/>
      <c r="F3404" s="334"/>
      <c r="G3404" s="332"/>
      <c r="H3404" s="334" t="s">
        <v>628</v>
      </c>
      <c r="I3404" s="334">
        <f>H3403</f>
        <v>588000.00012319104</v>
      </c>
    </row>
    <row r="3405" spans="2:9" x14ac:dyDescent="0.3">
      <c r="B3405" s="332"/>
      <c r="C3405" s="333"/>
      <c r="D3405" s="332"/>
      <c r="E3405" s="333"/>
      <c r="F3405" s="334"/>
      <c r="G3405" s="332"/>
      <c r="H3405" s="330" t="s">
        <v>640</v>
      </c>
      <c r="I3405" s="330">
        <f>I3404+I3396+I3389+I3400</f>
        <v>600000.00012319104</v>
      </c>
    </row>
    <row r="3408" spans="2:9" x14ac:dyDescent="0.3">
      <c r="B3408" s="358" t="s">
        <v>792</v>
      </c>
    </row>
    <row r="3410" spans="2:9" x14ac:dyDescent="0.3">
      <c r="B3410" s="339" t="s">
        <v>646</v>
      </c>
      <c r="C3410" s="339" t="s">
        <v>621</v>
      </c>
      <c r="D3410" s="341" t="s">
        <v>524</v>
      </c>
      <c r="E3410" s="339"/>
      <c r="F3410" s="340"/>
      <c r="G3410" s="340" t="s">
        <v>622</v>
      </c>
      <c r="H3410" s="340" t="s">
        <v>489</v>
      </c>
      <c r="I3410" s="340">
        <f>+ROUND(I3432,0)</f>
        <v>7468</v>
      </c>
    </row>
    <row r="3411" spans="2:9" x14ac:dyDescent="0.3">
      <c r="B3411" s="332" t="s">
        <v>623</v>
      </c>
      <c r="C3411" s="333"/>
      <c r="D3411" s="332"/>
      <c r="E3411" s="333"/>
      <c r="F3411" s="334"/>
      <c r="G3411" s="332"/>
      <c r="H3411" s="334"/>
      <c r="I3411" s="334"/>
    </row>
    <row r="3412" spans="2:9" x14ac:dyDescent="0.3">
      <c r="B3412" s="332" t="s">
        <v>271</v>
      </c>
      <c r="C3412" s="333"/>
      <c r="D3412" s="332"/>
      <c r="E3412" s="333" t="s">
        <v>624</v>
      </c>
      <c r="F3412" s="334" t="s">
        <v>625</v>
      </c>
      <c r="G3412" s="332" t="s">
        <v>626</v>
      </c>
      <c r="H3412" s="334" t="s">
        <v>627</v>
      </c>
      <c r="I3412" s="334"/>
    </row>
    <row r="3413" spans="2:9" x14ac:dyDescent="0.3">
      <c r="B3413" s="332" t="s">
        <v>642</v>
      </c>
      <c r="C3413" s="333"/>
      <c r="D3413" s="332"/>
      <c r="E3413" s="333" t="s">
        <v>644</v>
      </c>
      <c r="F3413" s="334">
        <v>1500</v>
      </c>
      <c r="G3413" s="335">
        <v>3</v>
      </c>
      <c r="H3413" s="334">
        <f>F3413*G3413</f>
        <v>4500</v>
      </c>
      <c r="I3413" s="334"/>
    </row>
    <row r="3414" spans="2:9" x14ac:dyDescent="0.3">
      <c r="B3414" s="332"/>
      <c r="C3414" s="333"/>
      <c r="D3414" s="332"/>
      <c r="E3414" s="333"/>
      <c r="F3414" s="334"/>
      <c r="G3414" s="335"/>
      <c r="H3414" s="334"/>
      <c r="I3414" s="334"/>
    </row>
    <row r="3415" spans="2:9" x14ac:dyDescent="0.3">
      <c r="B3415" s="332"/>
      <c r="C3415" s="333"/>
      <c r="D3415" s="332"/>
      <c r="E3415" s="333"/>
      <c r="F3415" s="334"/>
      <c r="G3415" s="335"/>
      <c r="H3415" s="334"/>
      <c r="I3415" s="334"/>
    </row>
    <row r="3416" spans="2:9" x14ac:dyDescent="0.3">
      <c r="B3416" s="332"/>
      <c r="C3416" s="333"/>
      <c r="D3416" s="332"/>
      <c r="E3416" s="333"/>
      <c r="F3416" s="334"/>
      <c r="G3416" s="332"/>
      <c r="H3416" s="334" t="s">
        <v>628</v>
      </c>
      <c r="I3416" s="334">
        <f>SUM(H3413:H3415)</f>
        <v>4500</v>
      </c>
    </row>
    <row r="3417" spans="2:9" x14ac:dyDescent="0.3">
      <c r="B3417" s="332" t="s">
        <v>629</v>
      </c>
      <c r="C3417" s="333"/>
      <c r="D3417" s="332"/>
      <c r="E3417" s="333"/>
      <c r="F3417" s="334"/>
      <c r="G3417" s="332"/>
      <c r="H3417" s="334"/>
      <c r="I3417" s="334"/>
    </row>
    <row r="3418" spans="2:9" x14ac:dyDescent="0.3">
      <c r="B3418" s="332" t="s">
        <v>271</v>
      </c>
      <c r="C3418" s="333"/>
      <c r="D3418" s="332"/>
      <c r="E3418" s="333" t="s">
        <v>624</v>
      </c>
      <c r="F3418" s="334" t="s">
        <v>630</v>
      </c>
      <c r="G3418" s="332" t="s">
        <v>631</v>
      </c>
      <c r="H3418" s="334" t="s">
        <v>627</v>
      </c>
      <c r="I3418" s="334"/>
    </row>
    <row r="3419" spans="2:9" x14ac:dyDescent="0.3">
      <c r="B3419" s="332"/>
      <c r="C3419" s="333"/>
      <c r="D3419" s="332"/>
      <c r="E3419" s="333"/>
      <c r="F3419" s="334"/>
      <c r="G3419" s="332"/>
      <c r="H3419" s="334"/>
      <c r="I3419" s="334"/>
    </row>
    <row r="3420" spans="2:9" x14ac:dyDescent="0.3">
      <c r="B3420" s="332"/>
      <c r="C3420" s="333"/>
      <c r="D3420" s="332"/>
      <c r="E3420" s="333"/>
      <c r="F3420" s="334"/>
      <c r="G3420" s="332"/>
      <c r="H3420" s="334"/>
      <c r="I3420" s="334"/>
    </row>
    <row r="3421" spans="2:9" x14ac:dyDescent="0.3">
      <c r="B3421" s="332"/>
      <c r="C3421" s="333"/>
      <c r="D3421" s="332"/>
      <c r="E3421" s="333"/>
      <c r="F3421" s="334"/>
      <c r="G3421" s="332"/>
      <c r="H3421" s="334"/>
      <c r="I3421" s="334"/>
    </row>
    <row r="3422" spans="2:9" x14ac:dyDescent="0.3">
      <c r="B3422" s="332"/>
      <c r="C3422" s="333"/>
      <c r="D3422" s="332"/>
      <c r="E3422" s="333"/>
      <c r="F3422" s="334"/>
      <c r="G3422" s="332"/>
      <c r="H3422" s="334"/>
      <c r="I3422" s="334"/>
    </row>
    <row r="3423" spans="2:9" x14ac:dyDescent="0.3">
      <c r="B3423" s="332"/>
      <c r="C3423" s="333"/>
      <c r="D3423" s="332"/>
      <c r="E3423" s="333"/>
      <c r="F3423" s="334"/>
      <c r="G3423" s="332"/>
      <c r="H3423" s="334" t="s">
        <v>628</v>
      </c>
      <c r="I3423" s="334">
        <f>SUM(H3419:H3422)</f>
        <v>0</v>
      </c>
    </row>
    <row r="3424" spans="2:9" x14ac:dyDescent="0.3">
      <c r="B3424" s="332" t="s">
        <v>632</v>
      </c>
      <c r="C3424" s="333"/>
      <c r="D3424" s="332"/>
      <c r="E3424" s="333" t="s">
        <v>624</v>
      </c>
      <c r="F3424" s="334" t="s">
        <v>633</v>
      </c>
      <c r="G3424" s="332" t="s">
        <v>634</v>
      </c>
      <c r="H3424" s="334" t="s">
        <v>627</v>
      </c>
      <c r="I3424" s="334"/>
    </row>
    <row r="3425" spans="2:9" x14ac:dyDescent="0.3">
      <c r="B3425" s="332"/>
      <c r="C3425" s="333"/>
      <c r="D3425" s="332"/>
      <c r="E3425" s="332"/>
      <c r="F3425" s="332"/>
      <c r="G3425" s="332"/>
      <c r="H3425" s="332"/>
      <c r="I3425" s="332"/>
    </row>
    <row r="3426" spans="2:9" x14ac:dyDescent="0.3">
      <c r="B3426" s="332"/>
      <c r="C3426" s="333"/>
      <c r="D3426" s="332"/>
      <c r="E3426" s="333"/>
      <c r="F3426" s="336"/>
      <c r="G3426" s="334"/>
      <c r="H3426" s="334"/>
      <c r="I3426" s="334"/>
    </row>
    <row r="3427" spans="2:9" x14ac:dyDescent="0.3">
      <c r="B3427" s="332"/>
      <c r="C3427" s="333"/>
      <c r="D3427" s="332"/>
      <c r="E3427" s="333"/>
      <c r="F3427" s="334"/>
      <c r="G3427" s="332"/>
      <c r="H3427" s="334" t="s">
        <v>628</v>
      </c>
      <c r="I3427" s="334">
        <f>SUM(H3426)</f>
        <v>0</v>
      </c>
    </row>
    <row r="3428" spans="2:9" x14ac:dyDescent="0.3">
      <c r="B3428" s="332" t="s">
        <v>635</v>
      </c>
      <c r="C3428" s="333"/>
      <c r="D3428" s="332"/>
      <c r="E3428" s="333"/>
      <c r="F3428" s="334"/>
      <c r="G3428" s="332"/>
      <c r="H3428" s="334"/>
      <c r="I3428" s="334"/>
    </row>
    <row r="3429" spans="2:9" x14ac:dyDescent="0.3">
      <c r="B3429" s="332" t="s">
        <v>636</v>
      </c>
      <c r="C3429" s="333"/>
      <c r="D3429" s="332"/>
      <c r="E3429" s="333" t="s">
        <v>637</v>
      </c>
      <c r="F3429" s="334" t="s">
        <v>638</v>
      </c>
      <c r="G3429" s="332" t="s">
        <v>639</v>
      </c>
      <c r="H3429" s="334" t="s">
        <v>627</v>
      </c>
      <c r="I3429" s="334"/>
    </row>
    <row r="3430" spans="2:9" x14ac:dyDescent="0.3">
      <c r="B3430" s="332" t="s">
        <v>645</v>
      </c>
      <c r="C3430" s="333"/>
      <c r="D3430" s="332"/>
      <c r="E3430" s="337">
        <v>168000</v>
      </c>
      <c r="F3430" s="334">
        <v>1.8</v>
      </c>
      <c r="G3430" s="338">
        <v>101.88680622432933</v>
      </c>
      <c r="H3430" s="334">
        <f>E3430*F3430/G3430</f>
        <v>2967.9995988311834</v>
      </c>
      <c r="I3430" s="334"/>
    </row>
    <row r="3431" spans="2:9" x14ac:dyDescent="0.3">
      <c r="B3431" s="332"/>
      <c r="C3431" s="333"/>
      <c r="D3431" s="332"/>
      <c r="E3431" s="333"/>
      <c r="F3431" s="334"/>
      <c r="G3431" s="332"/>
      <c r="H3431" s="334" t="s">
        <v>628</v>
      </c>
      <c r="I3431" s="334">
        <f>H3430</f>
        <v>2967.9995988311834</v>
      </c>
    </row>
    <row r="3432" spans="2:9" x14ac:dyDescent="0.3">
      <c r="B3432" s="332"/>
      <c r="C3432" s="333"/>
      <c r="D3432" s="332"/>
      <c r="E3432" s="333"/>
      <c r="F3432" s="334"/>
      <c r="G3432" s="332"/>
      <c r="H3432" s="330" t="s">
        <v>640</v>
      </c>
      <c r="I3432" s="330">
        <f>I3431+I3423+I3416+I3427</f>
        <v>7467.9995988311839</v>
      </c>
    </row>
    <row r="3434" spans="2:9" ht="86.4" x14ac:dyDescent="0.3">
      <c r="B3434" s="339" t="s">
        <v>648</v>
      </c>
      <c r="C3434" s="339" t="s">
        <v>621</v>
      </c>
      <c r="D3434" s="341" t="s">
        <v>525</v>
      </c>
      <c r="E3434" s="339"/>
      <c r="F3434" s="340"/>
      <c r="G3434" s="340" t="s">
        <v>622</v>
      </c>
      <c r="H3434" s="340" t="s">
        <v>93</v>
      </c>
      <c r="I3434" s="340">
        <f>+ROUND(I3456,0)</f>
        <v>25000</v>
      </c>
    </row>
    <row r="3435" spans="2:9" x14ac:dyDescent="0.3">
      <c r="B3435" s="332" t="s">
        <v>623</v>
      </c>
      <c r="C3435" s="333"/>
      <c r="D3435" s="332"/>
      <c r="E3435" s="333"/>
      <c r="F3435" s="334"/>
      <c r="G3435" s="332"/>
      <c r="H3435" s="334"/>
      <c r="I3435" s="334"/>
    </row>
    <row r="3436" spans="2:9" x14ac:dyDescent="0.3">
      <c r="B3436" s="332" t="s">
        <v>271</v>
      </c>
      <c r="C3436" s="333"/>
      <c r="D3436" s="332"/>
      <c r="E3436" s="333" t="s">
        <v>624</v>
      </c>
      <c r="F3436" s="334" t="s">
        <v>625</v>
      </c>
      <c r="G3436" s="332" t="s">
        <v>626</v>
      </c>
      <c r="H3436" s="334" t="s">
        <v>627</v>
      </c>
      <c r="I3436" s="334"/>
    </row>
    <row r="3437" spans="2:9" x14ac:dyDescent="0.3">
      <c r="B3437" s="332" t="s">
        <v>642</v>
      </c>
      <c r="C3437" s="333"/>
      <c r="D3437" s="332"/>
      <c r="E3437" s="333" t="s">
        <v>644</v>
      </c>
      <c r="F3437" s="334">
        <v>1500</v>
      </c>
      <c r="G3437" s="335">
        <v>8</v>
      </c>
      <c r="H3437" s="334">
        <f>F3437*G3437</f>
        <v>12000</v>
      </c>
      <c r="I3437" s="334"/>
    </row>
    <row r="3438" spans="2:9" x14ac:dyDescent="0.3">
      <c r="B3438" s="332"/>
      <c r="C3438" s="333"/>
      <c r="D3438" s="332"/>
      <c r="E3438" s="333"/>
      <c r="F3438" s="334"/>
      <c r="G3438" s="335"/>
      <c r="H3438" s="334"/>
      <c r="I3438" s="334"/>
    </row>
    <row r="3439" spans="2:9" x14ac:dyDescent="0.3">
      <c r="B3439" s="332"/>
      <c r="C3439" s="333"/>
      <c r="D3439" s="332"/>
      <c r="E3439" s="333"/>
      <c r="F3439" s="334"/>
      <c r="G3439" s="335"/>
      <c r="H3439" s="334"/>
      <c r="I3439" s="334"/>
    </row>
    <row r="3440" spans="2:9" x14ac:dyDescent="0.3">
      <c r="B3440" s="332"/>
      <c r="C3440" s="333"/>
      <c r="D3440" s="332"/>
      <c r="E3440" s="333"/>
      <c r="F3440" s="334"/>
      <c r="G3440" s="332"/>
      <c r="H3440" s="334" t="s">
        <v>628</v>
      </c>
      <c r="I3440" s="334">
        <f>SUM(H3437:H3439)</f>
        <v>12000</v>
      </c>
    </row>
    <row r="3441" spans="2:9" x14ac:dyDescent="0.3">
      <c r="B3441" s="332" t="s">
        <v>629</v>
      </c>
      <c r="C3441" s="333"/>
      <c r="D3441" s="332"/>
      <c r="E3441" s="333"/>
      <c r="F3441" s="334"/>
      <c r="G3441" s="332"/>
      <c r="H3441" s="334"/>
      <c r="I3441" s="334"/>
    </row>
    <row r="3442" spans="2:9" x14ac:dyDescent="0.3">
      <c r="B3442" s="332" t="s">
        <v>271</v>
      </c>
      <c r="C3442" s="333"/>
      <c r="D3442" s="332"/>
      <c r="E3442" s="333" t="s">
        <v>624</v>
      </c>
      <c r="F3442" s="334" t="s">
        <v>630</v>
      </c>
      <c r="G3442" s="332" t="s">
        <v>631</v>
      </c>
      <c r="H3442" s="334" t="s">
        <v>627</v>
      </c>
      <c r="I3442" s="334"/>
    </row>
    <row r="3443" spans="2:9" x14ac:dyDescent="0.3">
      <c r="B3443" s="332" t="s">
        <v>654</v>
      </c>
      <c r="C3443" s="333"/>
      <c r="D3443" s="332"/>
      <c r="E3443" s="333" t="s">
        <v>159</v>
      </c>
      <c r="F3443" s="334">
        <v>250</v>
      </c>
      <c r="G3443" s="332">
        <v>1.1000000000000001</v>
      </c>
      <c r="H3443" s="334">
        <f>F3443*G3443</f>
        <v>275</v>
      </c>
      <c r="I3443" s="334"/>
    </row>
    <row r="3444" spans="2:9" x14ac:dyDescent="0.3">
      <c r="B3444" s="332" t="s">
        <v>650</v>
      </c>
      <c r="C3444" s="333"/>
      <c r="D3444" s="332"/>
      <c r="E3444" s="333" t="s">
        <v>651</v>
      </c>
      <c r="F3444" s="334">
        <v>46800</v>
      </c>
      <c r="G3444" s="332">
        <v>8.4000000000000012E-3</v>
      </c>
      <c r="H3444" s="334">
        <f t="shared" ref="H3444:H3446" si="3">F3444*G3444</f>
        <v>393.12000000000006</v>
      </c>
      <c r="I3444" s="334"/>
    </row>
    <row r="3445" spans="2:9" x14ac:dyDescent="0.3">
      <c r="B3445" s="332" t="s">
        <v>652</v>
      </c>
      <c r="C3445" s="333"/>
      <c r="D3445" s="332"/>
      <c r="E3445" s="333" t="s">
        <v>653</v>
      </c>
      <c r="F3445" s="334">
        <v>2500</v>
      </c>
      <c r="G3445" s="332">
        <v>0.5</v>
      </c>
      <c r="H3445" s="334">
        <f t="shared" si="3"/>
        <v>1250</v>
      </c>
      <c r="I3445" s="334"/>
    </row>
    <row r="3446" spans="2:9" x14ac:dyDescent="0.3">
      <c r="B3446" s="354" t="s">
        <v>750</v>
      </c>
      <c r="C3446" s="333"/>
      <c r="D3446" s="332"/>
      <c r="E3446" s="355" t="s">
        <v>93</v>
      </c>
      <c r="F3446" s="334">
        <v>109000</v>
      </c>
      <c r="G3446" s="332">
        <v>7.0000000000000007E-2</v>
      </c>
      <c r="H3446" s="334">
        <f t="shared" si="3"/>
        <v>7630.0000000000009</v>
      </c>
      <c r="I3446" s="334"/>
    </row>
    <row r="3447" spans="2:9" x14ac:dyDescent="0.3">
      <c r="B3447" s="332"/>
      <c r="C3447" s="333"/>
      <c r="D3447" s="332"/>
      <c r="E3447" s="333"/>
      <c r="F3447" s="334"/>
      <c r="G3447" s="332"/>
      <c r="H3447" s="334" t="s">
        <v>628</v>
      </c>
      <c r="I3447" s="334">
        <f>SUM(H3443:H3446)</f>
        <v>9548.1200000000008</v>
      </c>
    </row>
    <row r="3448" spans="2:9" x14ac:dyDescent="0.3">
      <c r="B3448" s="332" t="s">
        <v>632</v>
      </c>
      <c r="C3448" s="333"/>
      <c r="D3448" s="332"/>
      <c r="E3448" s="333" t="s">
        <v>624</v>
      </c>
      <c r="F3448" s="334" t="s">
        <v>633</v>
      </c>
      <c r="G3448" s="332" t="s">
        <v>634</v>
      </c>
      <c r="H3448" s="334" t="s">
        <v>627</v>
      </c>
      <c r="I3448" s="334"/>
    </row>
    <row r="3449" spans="2:9" x14ac:dyDescent="0.3">
      <c r="B3449" s="332"/>
      <c r="C3449" s="333"/>
      <c r="D3449" s="332"/>
      <c r="E3449" s="332"/>
      <c r="F3449" s="332"/>
      <c r="G3449" s="332"/>
      <c r="H3449" s="332"/>
      <c r="I3449" s="332"/>
    </row>
    <row r="3450" spans="2:9" x14ac:dyDescent="0.3">
      <c r="B3450" s="332"/>
      <c r="C3450" s="333"/>
      <c r="D3450" s="332"/>
      <c r="E3450" s="333"/>
      <c r="F3450" s="336"/>
      <c r="G3450" s="334"/>
      <c r="H3450" s="334"/>
      <c r="I3450" s="334"/>
    </row>
    <row r="3451" spans="2:9" x14ac:dyDescent="0.3">
      <c r="B3451" s="332"/>
      <c r="C3451" s="333"/>
      <c r="D3451" s="332"/>
      <c r="E3451" s="333"/>
      <c r="F3451" s="334"/>
      <c r="G3451" s="332"/>
      <c r="H3451" s="334" t="s">
        <v>628</v>
      </c>
      <c r="I3451" s="334">
        <f>SUM(H3450)</f>
        <v>0</v>
      </c>
    </row>
    <row r="3452" spans="2:9" x14ac:dyDescent="0.3">
      <c r="B3452" s="332" t="s">
        <v>635</v>
      </c>
      <c r="C3452" s="333"/>
      <c r="D3452" s="332"/>
      <c r="E3452" s="333"/>
      <c r="F3452" s="334"/>
      <c r="G3452" s="332"/>
      <c r="H3452" s="334"/>
      <c r="I3452" s="334"/>
    </row>
    <row r="3453" spans="2:9" x14ac:dyDescent="0.3">
      <c r="B3453" s="332" t="s">
        <v>636</v>
      </c>
      <c r="C3453" s="333"/>
      <c r="D3453" s="332"/>
      <c r="E3453" s="333" t="s">
        <v>637</v>
      </c>
      <c r="F3453" s="334" t="s">
        <v>638</v>
      </c>
      <c r="G3453" s="332" t="s">
        <v>639</v>
      </c>
      <c r="H3453" s="334" t="s">
        <v>627</v>
      </c>
      <c r="I3453" s="334"/>
    </row>
    <row r="3454" spans="2:9" x14ac:dyDescent="0.3">
      <c r="B3454" s="332" t="s">
        <v>645</v>
      </c>
      <c r="C3454" s="333"/>
      <c r="D3454" s="332"/>
      <c r="E3454" s="337">
        <v>168000</v>
      </c>
      <c r="F3454" s="334">
        <v>1.8</v>
      </c>
      <c r="G3454" s="338">
        <v>87.604435840702877</v>
      </c>
      <c r="H3454" s="334">
        <f>E3454*F3454/G3454</f>
        <v>3451.8800001163704</v>
      </c>
      <c r="I3454" s="334"/>
    </row>
    <row r="3455" spans="2:9" x14ac:dyDescent="0.3">
      <c r="B3455" s="332"/>
      <c r="C3455" s="333"/>
      <c r="D3455" s="332"/>
      <c r="E3455" s="333"/>
      <c r="F3455" s="334"/>
      <c r="G3455" s="332"/>
      <c r="H3455" s="334" t="s">
        <v>628</v>
      </c>
      <c r="I3455" s="334">
        <f>H3454</f>
        <v>3451.8800001163704</v>
      </c>
    </row>
    <row r="3456" spans="2:9" x14ac:dyDescent="0.3">
      <c r="B3456" s="332"/>
      <c r="C3456" s="333"/>
      <c r="D3456" s="332"/>
      <c r="E3456" s="333"/>
      <c r="F3456" s="334"/>
      <c r="G3456" s="332"/>
      <c r="H3456" s="330" t="s">
        <v>640</v>
      </c>
      <c r="I3456" s="330">
        <f>I3455+I3447+I3440+I3451</f>
        <v>25000.000000116372</v>
      </c>
    </row>
    <row r="3458" spans="2:9" ht="100.8" x14ac:dyDescent="0.3">
      <c r="B3458" s="339" t="s">
        <v>657</v>
      </c>
      <c r="C3458" s="339" t="s">
        <v>621</v>
      </c>
      <c r="D3458" s="341" t="s">
        <v>610</v>
      </c>
      <c r="E3458" s="339"/>
      <c r="F3458" s="340"/>
      <c r="G3458" s="340" t="s">
        <v>622</v>
      </c>
      <c r="H3458" s="340" t="s">
        <v>33</v>
      </c>
      <c r="I3458" s="340">
        <f>+ROUND(I3480,0)</f>
        <v>120000</v>
      </c>
    </row>
    <row r="3459" spans="2:9" x14ac:dyDescent="0.3">
      <c r="B3459" s="332" t="s">
        <v>623</v>
      </c>
      <c r="C3459" s="333"/>
      <c r="D3459" s="332"/>
      <c r="E3459" s="333"/>
      <c r="F3459" s="334"/>
      <c r="G3459" s="332"/>
      <c r="H3459" s="334"/>
      <c r="I3459" s="334"/>
    </row>
    <row r="3460" spans="2:9" x14ac:dyDescent="0.3">
      <c r="B3460" s="332" t="s">
        <v>271</v>
      </c>
      <c r="C3460" s="333"/>
      <c r="D3460" s="332"/>
      <c r="E3460" s="333" t="s">
        <v>624</v>
      </c>
      <c r="F3460" s="334" t="s">
        <v>625</v>
      </c>
      <c r="G3460" s="332" t="s">
        <v>626</v>
      </c>
      <c r="H3460" s="334" t="s">
        <v>627</v>
      </c>
      <c r="I3460" s="334"/>
    </row>
    <row r="3461" spans="2:9" x14ac:dyDescent="0.3">
      <c r="B3461" s="332" t="s">
        <v>642</v>
      </c>
      <c r="C3461" s="333"/>
      <c r="D3461" s="332"/>
      <c r="E3461" s="333" t="s">
        <v>644</v>
      </c>
      <c r="F3461" s="334">
        <v>1500</v>
      </c>
      <c r="G3461" s="335">
        <v>8</v>
      </c>
      <c r="H3461" s="334">
        <f>F3461*G3461</f>
        <v>12000</v>
      </c>
      <c r="I3461" s="334"/>
    </row>
    <row r="3462" spans="2:9" x14ac:dyDescent="0.3">
      <c r="B3462" s="332"/>
      <c r="C3462" s="333"/>
      <c r="D3462" s="332"/>
      <c r="E3462" s="333"/>
      <c r="F3462" s="334"/>
      <c r="G3462" s="335"/>
      <c r="H3462" s="334"/>
      <c r="I3462" s="334"/>
    </row>
    <row r="3463" spans="2:9" x14ac:dyDescent="0.3">
      <c r="B3463" s="332"/>
      <c r="C3463" s="333"/>
      <c r="D3463" s="332"/>
      <c r="E3463" s="333"/>
      <c r="F3463" s="334"/>
      <c r="G3463" s="335"/>
      <c r="H3463" s="334"/>
      <c r="I3463" s="334"/>
    </row>
    <row r="3464" spans="2:9" x14ac:dyDescent="0.3">
      <c r="B3464" s="332"/>
      <c r="C3464" s="333"/>
      <c r="D3464" s="332"/>
      <c r="E3464" s="333"/>
      <c r="F3464" s="334"/>
      <c r="G3464" s="332"/>
      <c r="H3464" s="334" t="s">
        <v>628</v>
      </c>
      <c r="I3464" s="334">
        <f>SUM(H3461:H3463)</f>
        <v>12000</v>
      </c>
    </row>
    <row r="3465" spans="2:9" x14ac:dyDescent="0.3">
      <c r="B3465" s="332" t="s">
        <v>629</v>
      </c>
      <c r="C3465" s="333"/>
      <c r="D3465" s="332"/>
      <c r="E3465" s="333"/>
      <c r="F3465" s="334"/>
      <c r="G3465" s="332"/>
      <c r="H3465" s="334"/>
      <c r="I3465" s="334"/>
    </row>
    <row r="3466" spans="2:9" x14ac:dyDescent="0.3">
      <c r="B3466" s="332" t="s">
        <v>271</v>
      </c>
      <c r="C3466" s="333"/>
      <c r="D3466" s="332"/>
      <c r="E3466" s="333" t="s">
        <v>624</v>
      </c>
      <c r="F3466" s="334" t="s">
        <v>630</v>
      </c>
      <c r="G3466" s="332" t="s">
        <v>631</v>
      </c>
      <c r="H3466" s="334" t="s">
        <v>627</v>
      </c>
      <c r="I3466" s="334"/>
    </row>
    <row r="3467" spans="2:9" x14ac:dyDescent="0.3">
      <c r="B3467" s="332" t="s">
        <v>654</v>
      </c>
      <c r="C3467" s="333"/>
      <c r="D3467" s="332"/>
      <c r="E3467" s="333" t="s">
        <v>159</v>
      </c>
      <c r="F3467" s="334">
        <v>250</v>
      </c>
      <c r="G3467" s="332">
        <v>1.1000000000000001</v>
      </c>
      <c r="H3467" s="334">
        <f>F3467*G3467</f>
        <v>275</v>
      </c>
      <c r="I3467" s="334"/>
    </row>
    <row r="3468" spans="2:9" x14ac:dyDescent="0.3">
      <c r="B3468" s="332" t="s">
        <v>650</v>
      </c>
      <c r="C3468" s="333"/>
      <c r="D3468" s="332"/>
      <c r="E3468" s="333" t="s">
        <v>651</v>
      </c>
      <c r="F3468" s="334">
        <v>46800</v>
      </c>
      <c r="G3468" s="332">
        <v>8.4000000000000012E-3</v>
      </c>
      <c r="H3468" s="334">
        <f t="shared" ref="H3468:H3470" si="4">F3468*G3468</f>
        <v>393.12000000000006</v>
      </c>
      <c r="I3468" s="334"/>
    </row>
    <row r="3469" spans="2:9" x14ac:dyDescent="0.3">
      <c r="B3469" s="332" t="s">
        <v>652</v>
      </c>
      <c r="C3469" s="333"/>
      <c r="D3469" s="332"/>
      <c r="E3469" s="333" t="s">
        <v>653</v>
      </c>
      <c r="F3469" s="334">
        <v>2500</v>
      </c>
      <c r="G3469" s="332">
        <v>0.5</v>
      </c>
      <c r="H3469" s="334">
        <f t="shared" si="4"/>
        <v>1250</v>
      </c>
      <c r="I3469" s="334"/>
    </row>
    <row r="3470" spans="2:9" x14ac:dyDescent="0.3">
      <c r="B3470" s="354" t="s">
        <v>793</v>
      </c>
      <c r="C3470" s="333"/>
      <c r="D3470" s="332"/>
      <c r="E3470" s="355" t="s">
        <v>93</v>
      </c>
      <c r="F3470" s="334">
        <v>109000</v>
      </c>
      <c r="G3470" s="332">
        <v>0.8</v>
      </c>
      <c r="H3470" s="334">
        <f t="shared" si="4"/>
        <v>87200</v>
      </c>
      <c r="I3470" s="334"/>
    </row>
    <row r="3471" spans="2:9" x14ac:dyDescent="0.3">
      <c r="B3471" s="332"/>
      <c r="C3471" s="333"/>
      <c r="D3471" s="332"/>
      <c r="E3471" s="333"/>
      <c r="F3471" s="334"/>
      <c r="G3471" s="332"/>
      <c r="H3471" s="334" t="s">
        <v>628</v>
      </c>
      <c r="I3471" s="334">
        <f>SUM(H3467:H3470)</f>
        <v>89118.12</v>
      </c>
    </row>
    <row r="3472" spans="2:9" x14ac:dyDescent="0.3">
      <c r="B3472" s="332" t="s">
        <v>632</v>
      </c>
      <c r="C3472" s="333"/>
      <c r="D3472" s="332"/>
      <c r="E3472" s="333" t="s">
        <v>624</v>
      </c>
      <c r="F3472" s="334" t="s">
        <v>633</v>
      </c>
      <c r="G3472" s="332" t="s">
        <v>634</v>
      </c>
      <c r="H3472" s="334" t="s">
        <v>627</v>
      </c>
      <c r="I3472" s="334"/>
    </row>
    <row r="3473" spans="2:9" x14ac:dyDescent="0.3">
      <c r="B3473" s="332"/>
      <c r="C3473" s="333"/>
      <c r="D3473" s="332"/>
      <c r="E3473" s="332"/>
      <c r="F3473" s="332"/>
      <c r="G3473" s="332"/>
      <c r="H3473" s="332"/>
      <c r="I3473" s="332"/>
    </row>
    <row r="3474" spans="2:9" x14ac:dyDescent="0.3">
      <c r="B3474" s="332"/>
      <c r="C3474" s="333"/>
      <c r="D3474" s="332"/>
      <c r="E3474" s="333"/>
      <c r="F3474" s="336"/>
      <c r="G3474" s="334"/>
      <c r="H3474" s="334"/>
      <c r="I3474" s="334"/>
    </row>
    <row r="3475" spans="2:9" x14ac:dyDescent="0.3">
      <c r="B3475" s="332"/>
      <c r="C3475" s="333"/>
      <c r="D3475" s="332"/>
      <c r="E3475" s="333"/>
      <c r="F3475" s="334"/>
      <c r="G3475" s="332"/>
      <c r="H3475" s="334" t="s">
        <v>628</v>
      </c>
      <c r="I3475" s="334">
        <f>SUM(H3474)</f>
        <v>0</v>
      </c>
    </row>
    <row r="3476" spans="2:9" x14ac:dyDescent="0.3">
      <c r="B3476" s="332" t="s">
        <v>635</v>
      </c>
      <c r="C3476" s="333"/>
      <c r="D3476" s="332"/>
      <c r="E3476" s="333"/>
      <c r="F3476" s="334"/>
      <c r="G3476" s="332"/>
      <c r="H3476" s="334"/>
      <c r="I3476" s="334"/>
    </row>
    <row r="3477" spans="2:9" x14ac:dyDescent="0.3">
      <c r="B3477" s="332" t="s">
        <v>636</v>
      </c>
      <c r="C3477" s="333"/>
      <c r="D3477" s="332"/>
      <c r="E3477" s="333" t="s">
        <v>637</v>
      </c>
      <c r="F3477" s="334" t="s">
        <v>638</v>
      </c>
      <c r="G3477" s="332" t="s">
        <v>639</v>
      </c>
      <c r="H3477" s="334" t="s">
        <v>627</v>
      </c>
      <c r="I3477" s="334"/>
    </row>
    <row r="3478" spans="2:9" x14ac:dyDescent="0.3">
      <c r="B3478" s="332" t="s">
        <v>645</v>
      </c>
      <c r="C3478" s="333"/>
      <c r="D3478" s="332"/>
      <c r="E3478" s="337">
        <v>168000</v>
      </c>
      <c r="F3478" s="334">
        <v>1.8</v>
      </c>
      <c r="G3478" s="338">
        <v>16.015354420206847</v>
      </c>
      <c r="H3478" s="334">
        <f>E3478*F3478/G3478</f>
        <v>18881.87998003071</v>
      </c>
      <c r="I3478" s="334"/>
    </row>
    <row r="3479" spans="2:9" x14ac:dyDescent="0.3">
      <c r="B3479" s="332"/>
      <c r="C3479" s="333"/>
      <c r="D3479" s="332"/>
      <c r="E3479" s="333"/>
      <c r="F3479" s="334"/>
      <c r="G3479" s="332"/>
      <c r="H3479" s="334" t="s">
        <v>628</v>
      </c>
      <c r="I3479" s="334">
        <f>H3478</f>
        <v>18881.87998003071</v>
      </c>
    </row>
    <row r="3480" spans="2:9" x14ac:dyDescent="0.3">
      <c r="B3480" s="332"/>
      <c r="C3480" s="333"/>
      <c r="D3480" s="332"/>
      <c r="E3480" s="333"/>
      <c r="F3480" s="334"/>
      <c r="G3480" s="332"/>
      <c r="H3480" s="330" t="s">
        <v>640</v>
      </c>
      <c r="I3480" s="330">
        <f>I3479+I3471+I3464+I3475</f>
        <v>119999.9999800307</v>
      </c>
    </row>
    <row r="3482" spans="2:9" ht="43.2" x14ac:dyDescent="0.3">
      <c r="B3482" s="339" t="s">
        <v>664</v>
      </c>
      <c r="C3482" s="339" t="s">
        <v>621</v>
      </c>
      <c r="D3482" s="341" t="s">
        <v>602</v>
      </c>
      <c r="E3482" s="339"/>
      <c r="F3482" s="340"/>
      <c r="G3482" s="340" t="s">
        <v>622</v>
      </c>
      <c r="H3482" s="340" t="s">
        <v>33</v>
      </c>
      <c r="I3482" s="340">
        <f>+ROUND(I3504,0)</f>
        <v>691616</v>
      </c>
    </row>
    <row r="3483" spans="2:9" x14ac:dyDescent="0.3">
      <c r="B3483" s="332" t="s">
        <v>623</v>
      </c>
      <c r="C3483" s="333"/>
      <c r="D3483" s="332"/>
      <c r="E3483" s="333"/>
      <c r="F3483" s="334"/>
      <c r="G3483" s="332"/>
      <c r="H3483" s="334"/>
      <c r="I3483" s="334"/>
    </row>
    <row r="3484" spans="2:9" x14ac:dyDescent="0.3">
      <c r="B3484" s="332" t="s">
        <v>271</v>
      </c>
      <c r="C3484" s="333"/>
      <c r="D3484" s="332"/>
      <c r="E3484" s="333" t="s">
        <v>624</v>
      </c>
      <c r="F3484" s="334" t="s">
        <v>625</v>
      </c>
      <c r="G3484" s="332" t="s">
        <v>626</v>
      </c>
      <c r="H3484" s="334" t="s">
        <v>627</v>
      </c>
      <c r="I3484" s="334"/>
    </row>
    <row r="3485" spans="2:9" x14ac:dyDescent="0.3">
      <c r="B3485" s="332" t="s">
        <v>642</v>
      </c>
      <c r="C3485" s="333"/>
      <c r="D3485" s="332"/>
      <c r="E3485" s="333" t="s">
        <v>644</v>
      </c>
      <c r="F3485" s="334">
        <v>1500</v>
      </c>
      <c r="G3485" s="335">
        <v>4</v>
      </c>
      <c r="H3485" s="334">
        <f>F3485*G3485</f>
        <v>6000</v>
      </c>
      <c r="I3485" s="334"/>
    </row>
    <row r="3486" spans="2:9" x14ac:dyDescent="0.3">
      <c r="B3486" s="332"/>
      <c r="C3486" s="333"/>
      <c r="D3486" s="332"/>
      <c r="E3486" s="333"/>
      <c r="F3486" s="334"/>
      <c r="G3486" s="335"/>
      <c r="H3486" s="334"/>
      <c r="I3486" s="334"/>
    </row>
    <row r="3487" spans="2:9" x14ac:dyDescent="0.3">
      <c r="B3487" s="332"/>
      <c r="C3487" s="333"/>
      <c r="D3487" s="332"/>
      <c r="E3487" s="333"/>
      <c r="F3487" s="334"/>
      <c r="G3487" s="335"/>
      <c r="H3487" s="334"/>
      <c r="I3487" s="334"/>
    </row>
    <row r="3488" spans="2:9" x14ac:dyDescent="0.3">
      <c r="B3488" s="332"/>
      <c r="C3488" s="333"/>
      <c r="D3488" s="332"/>
      <c r="E3488" s="333"/>
      <c r="F3488" s="334"/>
      <c r="G3488" s="332"/>
      <c r="H3488" s="334" t="s">
        <v>628</v>
      </c>
      <c r="I3488" s="334">
        <f>SUM(H3485:H3487)</f>
        <v>6000</v>
      </c>
    </row>
    <row r="3489" spans="2:9" x14ac:dyDescent="0.3">
      <c r="B3489" s="332" t="s">
        <v>629</v>
      </c>
      <c r="C3489" s="333"/>
      <c r="D3489" s="332"/>
      <c r="E3489" s="333"/>
      <c r="F3489" s="334"/>
      <c r="G3489" s="332"/>
      <c r="H3489" s="334"/>
      <c r="I3489" s="334"/>
    </row>
    <row r="3490" spans="2:9" x14ac:dyDescent="0.3">
      <c r="B3490" s="332" t="s">
        <v>271</v>
      </c>
      <c r="C3490" s="333"/>
      <c r="D3490" s="332"/>
      <c r="E3490" s="333" t="s">
        <v>624</v>
      </c>
      <c r="F3490" s="334" t="s">
        <v>630</v>
      </c>
      <c r="G3490" s="332" t="s">
        <v>631</v>
      </c>
      <c r="H3490" s="334" t="s">
        <v>627</v>
      </c>
      <c r="I3490" s="334"/>
    </row>
    <row r="3491" spans="2:9" ht="43.2" x14ac:dyDescent="0.3">
      <c r="B3491" s="356" t="s">
        <v>752</v>
      </c>
      <c r="C3491" s="333"/>
      <c r="D3491" s="332"/>
      <c r="E3491" s="357" t="s">
        <v>33</v>
      </c>
      <c r="F3491" s="344">
        <v>655000</v>
      </c>
      <c r="G3491" s="345">
        <v>1</v>
      </c>
      <c r="H3491" s="344">
        <f>F3491*G3491</f>
        <v>655000</v>
      </c>
      <c r="I3491" s="344"/>
    </row>
    <row r="3492" spans="2:9" x14ac:dyDescent="0.3">
      <c r="B3492" s="332"/>
      <c r="C3492" s="333"/>
      <c r="D3492" s="332"/>
      <c r="E3492" s="333"/>
      <c r="F3492" s="334"/>
      <c r="G3492" s="332"/>
      <c r="H3492" s="334">
        <f>F3492*G3492</f>
        <v>0</v>
      </c>
      <c r="I3492" s="334"/>
    </row>
    <row r="3493" spans="2:9" x14ac:dyDescent="0.3">
      <c r="B3493" s="332"/>
      <c r="C3493" s="333"/>
      <c r="D3493" s="332"/>
      <c r="E3493" s="333"/>
      <c r="F3493" s="334"/>
      <c r="G3493" s="332"/>
      <c r="H3493" s="334"/>
      <c r="I3493" s="334"/>
    </row>
    <row r="3494" spans="2:9" x14ac:dyDescent="0.3">
      <c r="B3494" s="332"/>
      <c r="C3494" s="333"/>
      <c r="D3494" s="332"/>
      <c r="E3494" s="333"/>
      <c r="F3494" s="334"/>
      <c r="G3494" s="332"/>
      <c r="H3494" s="334"/>
      <c r="I3494" s="334"/>
    </row>
    <row r="3495" spans="2:9" x14ac:dyDescent="0.3">
      <c r="B3495" s="332"/>
      <c r="C3495" s="333"/>
      <c r="D3495" s="332"/>
      <c r="E3495" s="333"/>
      <c r="F3495" s="334"/>
      <c r="G3495" s="332"/>
      <c r="H3495" s="334" t="s">
        <v>628</v>
      </c>
      <c r="I3495" s="334">
        <f>SUM(H3491:H3494)</f>
        <v>655000</v>
      </c>
    </row>
    <row r="3496" spans="2:9" x14ac:dyDescent="0.3">
      <c r="B3496" s="332" t="s">
        <v>632</v>
      </c>
      <c r="C3496" s="333"/>
      <c r="D3496" s="332"/>
      <c r="E3496" s="333" t="s">
        <v>624</v>
      </c>
      <c r="F3496" s="334" t="s">
        <v>633</v>
      </c>
      <c r="G3496" s="332" t="s">
        <v>634</v>
      </c>
      <c r="H3496" s="334" t="s">
        <v>627</v>
      </c>
      <c r="I3496" s="334"/>
    </row>
    <row r="3497" spans="2:9" x14ac:dyDescent="0.3">
      <c r="B3497" s="332"/>
      <c r="C3497" s="333"/>
      <c r="D3497" s="332"/>
      <c r="E3497" s="332"/>
      <c r="F3497" s="332"/>
      <c r="G3497" s="332"/>
      <c r="H3497" s="332"/>
      <c r="I3497" s="332"/>
    </row>
    <row r="3498" spans="2:9" x14ac:dyDescent="0.3">
      <c r="B3498" s="332"/>
      <c r="C3498" s="333"/>
      <c r="D3498" s="332"/>
      <c r="E3498" s="333"/>
      <c r="F3498" s="336"/>
      <c r="G3498" s="334"/>
      <c r="H3498" s="334"/>
      <c r="I3498" s="334"/>
    </row>
    <row r="3499" spans="2:9" x14ac:dyDescent="0.3">
      <c r="B3499" s="332"/>
      <c r="C3499" s="333"/>
      <c r="D3499" s="332"/>
      <c r="E3499" s="333"/>
      <c r="F3499" s="334"/>
      <c r="G3499" s="332"/>
      <c r="H3499" s="334" t="s">
        <v>628</v>
      </c>
      <c r="I3499" s="334">
        <f>SUM(H3498)</f>
        <v>0</v>
      </c>
    </row>
    <row r="3500" spans="2:9" x14ac:dyDescent="0.3">
      <c r="B3500" s="332" t="s">
        <v>635</v>
      </c>
      <c r="C3500" s="333"/>
      <c r="D3500" s="332"/>
      <c r="E3500" s="333"/>
      <c r="F3500" s="334"/>
      <c r="G3500" s="332"/>
      <c r="H3500" s="334"/>
      <c r="I3500" s="334"/>
    </row>
    <row r="3501" spans="2:9" x14ac:dyDescent="0.3">
      <c r="B3501" s="332" t="s">
        <v>636</v>
      </c>
      <c r="C3501" s="333"/>
      <c r="D3501" s="332"/>
      <c r="E3501" s="333" t="s">
        <v>637</v>
      </c>
      <c r="F3501" s="334" t="s">
        <v>638</v>
      </c>
      <c r="G3501" s="332" t="s">
        <v>639</v>
      </c>
      <c r="H3501" s="334" t="s">
        <v>627</v>
      </c>
      <c r="I3501" s="334"/>
    </row>
    <row r="3502" spans="2:9" x14ac:dyDescent="0.3">
      <c r="B3502" s="332" t="s">
        <v>645</v>
      </c>
      <c r="C3502" s="333"/>
      <c r="D3502" s="332"/>
      <c r="E3502" s="337">
        <v>168000</v>
      </c>
      <c r="F3502" s="334">
        <v>1.8</v>
      </c>
      <c r="G3502" s="338">
        <v>9.8771884094756874</v>
      </c>
      <c r="H3502" s="334">
        <f>E3502*F3502/G3502</f>
        <v>30615.999965120878</v>
      </c>
      <c r="I3502" s="334"/>
    </row>
    <row r="3503" spans="2:9" x14ac:dyDescent="0.3">
      <c r="B3503" s="332"/>
      <c r="C3503" s="333"/>
      <c r="D3503" s="332"/>
      <c r="E3503" s="333"/>
      <c r="F3503" s="334"/>
      <c r="G3503" s="332"/>
      <c r="H3503" s="334" t="s">
        <v>628</v>
      </c>
      <c r="I3503" s="334">
        <f>H3502</f>
        <v>30615.999965120878</v>
      </c>
    </row>
    <row r="3504" spans="2:9" x14ac:dyDescent="0.3">
      <c r="B3504" s="332"/>
      <c r="C3504" s="333"/>
      <c r="D3504" s="332"/>
      <c r="E3504" s="333"/>
      <c r="F3504" s="334"/>
      <c r="G3504" s="332"/>
      <c r="H3504" s="330" t="s">
        <v>640</v>
      </c>
      <c r="I3504" s="330">
        <f>I3503+I3495+I3488+I3499</f>
        <v>691615.99996512092</v>
      </c>
    </row>
    <row r="3506" spans="2:9" ht="115.2" x14ac:dyDescent="0.3">
      <c r="B3506" s="339" t="s">
        <v>664</v>
      </c>
      <c r="C3506" s="339" t="s">
        <v>621</v>
      </c>
      <c r="D3506" s="341" t="s">
        <v>603</v>
      </c>
      <c r="E3506" s="339"/>
      <c r="F3506" s="340"/>
      <c r="G3506" s="340" t="s">
        <v>622</v>
      </c>
      <c r="H3506" s="340" t="s">
        <v>33</v>
      </c>
      <c r="I3506" s="340">
        <f>+ROUND(I3528,0)</f>
        <v>1800000</v>
      </c>
    </row>
    <row r="3507" spans="2:9" x14ac:dyDescent="0.3">
      <c r="B3507" s="332" t="s">
        <v>623</v>
      </c>
      <c r="C3507" s="333"/>
      <c r="D3507" s="332"/>
      <c r="E3507" s="333"/>
      <c r="F3507" s="334"/>
      <c r="G3507" s="332"/>
      <c r="H3507" s="334"/>
      <c r="I3507" s="334"/>
    </row>
    <row r="3508" spans="2:9" x14ac:dyDescent="0.3">
      <c r="B3508" s="332" t="s">
        <v>271</v>
      </c>
      <c r="C3508" s="333"/>
      <c r="D3508" s="332"/>
      <c r="E3508" s="333" t="s">
        <v>624</v>
      </c>
      <c r="F3508" s="334" t="s">
        <v>625</v>
      </c>
      <c r="G3508" s="332" t="s">
        <v>626</v>
      </c>
      <c r="H3508" s="334" t="s">
        <v>627</v>
      </c>
      <c r="I3508" s="334"/>
    </row>
    <row r="3509" spans="2:9" x14ac:dyDescent="0.3">
      <c r="B3509" s="332" t="s">
        <v>642</v>
      </c>
      <c r="C3509" s="333"/>
      <c r="D3509" s="332"/>
      <c r="E3509" s="333" t="s">
        <v>644</v>
      </c>
      <c r="F3509" s="334">
        <v>1500</v>
      </c>
      <c r="G3509" s="335">
        <v>2</v>
      </c>
      <c r="H3509" s="334">
        <f>F3509*G3509</f>
        <v>3000</v>
      </c>
      <c r="I3509" s="334"/>
    </row>
    <row r="3510" spans="2:9" x14ac:dyDescent="0.3">
      <c r="B3510" s="332"/>
      <c r="C3510" s="333"/>
      <c r="D3510" s="332"/>
      <c r="E3510" s="333"/>
      <c r="F3510" s="334"/>
      <c r="G3510" s="335"/>
      <c r="H3510" s="334"/>
      <c r="I3510" s="334"/>
    </row>
    <row r="3511" spans="2:9" x14ac:dyDescent="0.3">
      <c r="B3511" s="332"/>
      <c r="C3511" s="333"/>
      <c r="D3511" s="332"/>
      <c r="E3511" s="333"/>
      <c r="F3511" s="334"/>
      <c r="G3511" s="335"/>
      <c r="H3511" s="334"/>
      <c r="I3511" s="334"/>
    </row>
    <row r="3512" spans="2:9" x14ac:dyDescent="0.3">
      <c r="B3512" s="332"/>
      <c r="C3512" s="333"/>
      <c r="D3512" s="332"/>
      <c r="E3512" s="333"/>
      <c r="F3512" s="334"/>
      <c r="G3512" s="332"/>
      <c r="H3512" s="334" t="s">
        <v>628</v>
      </c>
      <c r="I3512" s="334">
        <f>SUM(H3509:H3511)</f>
        <v>3000</v>
      </c>
    </row>
    <row r="3513" spans="2:9" x14ac:dyDescent="0.3">
      <c r="B3513" s="332" t="s">
        <v>629</v>
      </c>
      <c r="C3513" s="333"/>
      <c r="D3513" s="332"/>
      <c r="E3513" s="333"/>
      <c r="F3513" s="334"/>
      <c r="G3513" s="332"/>
      <c r="H3513" s="334"/>
      <c r="I3513" s="334"/>
    </row>
    <row r="3514" spans="2:9" x14ac:dyDescent="0.3">
      <c r="B3514" s="332" t="s">
        <v>271</v>
      </c>
      <c r="C3514" s="333"/>
      <c r="D3514" s="332"/>
      <c r="E3514" s="333" t="s">
        <v>624</v>
      </c>
      <c r="F3514" s="334" t="s">
        <v>630</v>
      </c>
      <c r="G3514" s="332" t="s">
        <v>631</v>
      </c>
      <c r="H3514" s="334" t="s">
        <v>627</v>
      </c>
      <c r="I3514" s="334"/>
    </row>
    <row r="3515" spans="2:9" ht="72" x14ac:dyDescent="0.3">
      <c r="B3515" s="356" t="s">
        <v>794</v>
      </c>
      <c r="C3515" s="333"/>
      <c r="D3515" s="332"/>
      <c r="E3515" s="357" t="s">
        <v>60</v>
      </c>
      <c r="F3515" s="344">
        <v>420000</v>
      </c>
      <c r="G3515" s="345">
        <v>2.75</v>
      </c>
      <c r="H3515" s="344">
        <f>F3515*G3515</f>
        <v>1155000</v>
      </c>
      <c r="I3515" s="344"/>
    </row>
    <row r="3516" spans="2:9" x14ac:dyDescent="0.3">
      <c r="B3516" s="332"/>
      <c r="C3516" s="333"/>
      <c r="D3516" s="332"/>
      <c r="E3516" s="333"/>
      <c r="F3516" s="334"/>
      <c r="G3516" s="332"/>
      <c r="H3516" s="334"/>
      <c r="I3516" s="334"/>
    </row>
    <row r="3517" spans="2:9" x14ac:dyDescent="0.3">
      <c r="B3517" s="332"/>
      <c r="C3517" s="333"/>
      <c r="D3517" s="332"/>
      <c r="E3517" s="333"/>
      <c r="F3517" s="334"/>
      <c r="G3517" s="332"/>
      <c r="H3517" s="334"/>
      <c r="I3517" s="334"/>
    </row>
    <row r="3518" spans="2:9" x14ac:dyDescent="0.3">
      <c r="B3518" s="332"/>
      <c r="C3518" s="333"/>
      <c r="D3518" s="332"/>
      <c r="E3518" s="333"/>
      <c r="F3518" s="334"/>
      <c r="G3518" s="332"/>
      <c r="H3518" s="334"/>
      <c r="I3518" s="334"/>
    </row>
    <row r="3519" spans="2:9" x14ac:dyDescent="0.3">
      <c r="B3519" s="332"/>
      <c r="C3519" s="333"/>
      <c r="D3519" s="332"/>
      <c r="E3519" s="333"/>
      <c r="F3519" s="334"/>
      <c r="G3519" s="332"/>
      <c r="H3519" s="334" t="s">
        <v>628</v>
      </c>
      <c r="I3519" s="334">
        <f>SUM(H3515:H3518)</f>
        <v>1155000</v>
      </c>
    </row>
    <row r="3520" spans="2:9" x14ac:dyDescent="0.3">
      <c r="B3520" s="332" t="s">
        <v>632</v>
      </c>
      <c r="C3520" s="333"/>
      <c r="D3520" s="332"/>
      <c r="E3520" s="333" t="s">
        <v>624</v>
      </c>
      <c r="F3520" s="334" t="s">
        <v>633</v>
      </c>
      <c r="G3520" s="332" t="s">
        <v>634</v>
      </c>
      <c r="H3520" s="334" t="s">
        <v>627</v>
      </c>
      <c r="I3520" s="334"/>
    </row>
    <row r="3521" spans="2:9" x14ac:dyDescent="0.3">
      <c r="B3521" s="332"/>
      <c r="C3521" s="333"/>
      <c r="D3521" s="332"/>
      <c r="E3521" s="332"/>
      <c r="F3521" s="332"/>
      <c r="G3521" s="332"/>
      <c r="H3521" s="332"/>
      <c r="I3521" s="332"/>
    </row>
    <row r="3522" spans="2:9" x14ac:dyDescent="0.3">
      <c r="B3522" s="332"/>
      <c r="C3522" s="333"/>
      <c r="D3522" s="332"/>
      <c r="E3522" s="333"/>
      <c r="F3522" s="336"/>
      <c r="G3522" s="334"/>
      <c r="H3522" s="334"/>
      <c r="I3522" s="334"/>
    </row>
    <row r="3523" spans="2:9" x14ac:dyDescent="0.3">
      <c r="B3523" s="332"/>
      <c r="C3523" s="333"/>
      <c r="D3523" s="332"/>
      <c r="E3523" s="333"/>
      <c r="F3523" s="334"/>
      <c r="G3523" s="332"/>
      <c r="H3523" s="334" t="s">
        <v>628</v>
      </c>
      <c r="I3523" s="334">
        <f>SUM(H3522)</f>
        <v>0</v>
      </c>
    </row>
    <row r="3524" spans="2:9" x14ac:dyDescent="0.3">
      <c r="B3524" s="332" t="s">
        <v>635</v>
      </c>
      <c r="C3524" s="333"/>
      <c r="D3524" s="332"/>
      <c r="E3524" s="333"/>
      <c r="F3524" s="334"/>
      <c r="G3524" s="332"/>
      <c r="H3524" s="334"/>
      <c r="I3524" s="334"/>
    </row>
    <row r="3525" spans="2:9" x14ac:dyDescent="0.3">
      <c r="B3525" s="332" t="s">
        <v>636</v>
      </c>
      <c r="C3525" s="333"/>
      <c r="D3525" s="332"/>
      <c r="E3525" s="333" t="s">
        <v>637</v>
      </c>
      <c r="F3525" s="334" t="s">
        <v>638</v>
      </c>
      <c r="G3525" s="332" t="s">
        <v>626</v>
      </c>
      <c r="H3525" s="334" t="s">
        <v>627</v>
      </c>
      <c r="I3525" s="334"/>
    </row>
    <row r="3526" spans="2:9" x14ac:dyDescent="0.3">
      <c r="B3526" s="332" t="s">
        <v>645</v>
      </c>
      <c r="C3526" s="333"/>
      <c r="D3526" s="332"/>
      <c r="E3526" s="337">
        <v>168000</v>
      </c>
      <c r="F3526" s="334">
        <v>1.8</v>
      </c>
      <c r="G3526" s="338">
        <v>0.47102803740641536</v>
      </c>
      <c r="H3526" s="334">
        <f>E3526*F3526/G3526</f>
        <v>641999.99996832747</v>
      </c>
      <c r="I3526" s="334"/>
    </row>
    <row r="3527" spans="2:9" x14ac:dyDescent="0.3">
      <c r="B3527" s="332"/>
      <c r="C3527" s="333"/>
      <c r="D3527" s="332"/>
      <c r="E3527" s="333"/>
      <c r="F3527" s="334"/>
      <c r="G3527" s="332"/>
      <c r="H3527" s="334" t="s">
        <v>628</v>
      </c>
      <c r="I3527" s="334">
        <f>H3526</f>
        <v>641999.99996832747</v>
      </c>
    </row>
    <row r="3528" spans="2:9" x14ac:dyDescent="0.3">
      <c r="B3528" s="332"/>
      <c r="C3528" s="333"/>
      <c r="D3528" s="332"/>
      <c r="E3528" s="333"/>
      <c r="F3528" s="334"/>
      <c r="G3528" s="332"/>
      <c r="H3528" s="330" t="s">
        <v>640</v>
      </c>
      <c r="I3528" s="330">
        <f>I3527+I3519+I3512+I3523</f>
        <v>1799999.9999683276</v>
      </c>
    </row>
    <row r="3530" spans="2:9" ht="28.8" x14ac:dyDescent="0.3">
      <c r="B3530" s="339" t="s">
        <v>751</v>
      </c>
      <c r="C3530" s="339" t="s">
        <v>621</v>
      </c>
      <c r="D3530" s="341" t="s">
        <v>604</v>
      </c>
      <c r="E3530" s="339"/>
      <c r="F3530" s="340"/>
      <c r="G3530" s="340" t="s">
        <v>622</v>
      </c>
      <c r="H3530" s="340" t="s">
        <v>33</v>
      </c>
      <c r="I3530" s="340">
        <f>+ROUND(I3552,0)</f>
        <v>100000</v>
      </c>
    </row>
    <row r="3531" spans="2:9" x14ac:dyDescent="0.3">
      <c r="B3531" s="332" t="s">
        <v>623</v>
      </c>
      <c r="C3531" s="333"/>
      <c r="D3531" s="332"/>
      <c r="E3531" s="333"/>
      <c r="F3531" s="334"/>
      <c r="G3531" s="332"/>
      <c r="H3531" s="334"/>
      <c r="I3531" s="334"/>
    </row>
    <row r="3532" spans="2:9" x14ac:dyDescent="0.3">
      <c r="B3532" s="332" t="s">
        <v>271</v>
      </c>
      <c r="C3532" s="333"/>
      <c r="D3532" s="332"/>
      <c r="E3532" s="333" t="s">
        <v>624</v>
      </c>
      <c r="F3532" s="334" t="s">
        <v>625</v>
      </c>
      <c r="G3532" s="332" t="s">
        <v>626</v>
      </c>
      <c r="H3532" s="334" t="s">
        <v>627</v>
      </c>
      <c r="I3532" s="334"/>
    </row>
    <row r="3533" spans="2:9" x14ac:dyDescent="0.3">
      <c r="B3533" s="332" t="s">
        <v>642</v>
      </c>
      <c r="C3533" s="333"/>
      <c r="D3533" s="332"/>
      <c r="E3533" s="333" t="s">
        <v>644</v>
      </c>
      <c r="F3533" s="334">
        <v>1500</v>
      </c>
      <c r="G3533" s="335">
        <v>2</v>
      </c>
      <c r="H3533" s="334">
        <f>F3533*G3533</f>
        <v>3000</v>
      </c>
      <c r="I3533" s="334"/>
    </row>
    <row r="3534" spans="2:9" x14ac:dyDescent="0.3">
      <c r="B3534" s="332"/>
      <c r="C3534" s="333"/>
      <c r="D3534" s="332"/>
      <c r="E3534" s="333"/>
      <c r="F3534" s="334"/>
      <c r="G3534" s="335"/>
      <c r="H3534" s="334"/>
      <c r="I3534" s="334"/>
    </row>
    <row r="3535" spans="2:9" x14ac:dyDescent="0.3">
      <c r="B3535" s="332"/>
      <c r="C3535" s="333"/>
      <c r="D3535" s="332"/>
      <c r="E3535" s="333"/>
      <c r="F3535" s="334"/>
      <c r="G3535" s="335"/>
      <c r="H3535" s="334"/>
      <c r="I3535" s="334"/>
    </row>
    <row r="3536" spans="2:9" x14ac:dyDescent="0.3">
      <c r="B3536" s="332"/>
      <c r="C3536" s="333"/>
      <c r="D3536" s="332"/>
      <c r="E3536" s="333"/>
      <c r="F3536" s="334"/>
      <c r="G3536" s="332"/>
      <c r="H3536" s="334" t="s">
        <v>628</v>
      </c>
      <c r="I3536" s="334">
        <f>SUM(H3533:H3535)</f>
        <v>3000</v>
      </c>
    </row>
    <row r="3537" spans="2:9" x14ac:dyDescent="0.3">
      <c r="B3537" s="332" t="s">
        <v>629</v>
      </c>
      <c r="C3537" s="333"/>
      <c r="D3537" s="332"/>
      <c r="E3537" s="333"/>
      <c r="F3537" s="334"/>
      <c r="G3537" s="332"/>
      <c r="H3537" s="334"/>
      <c r="I3537" s="334"/>
    </row>
    <row r="3538" spans="2:9" x14ac:dyDescent="0.3">
      <c r="B3538" s="332" t="s">
        <v>271</v>
      </c>
      <c r="C3538" s="333"/>
      <c r="D3538" s="332"/>
      <c r="E3538" s="333" t="s">
        <v>624</v>
      </c>
      <c r="F3538" s="334" t="s">
        <v>630</v>
      </c>
      <c r="G3538" s="332" t="s">
        <v>631</v>
      </c>
      <c r="H3538" s="334" t="s">
        <v>627</v>
      </c>
      <c r="I3538" s="334"/>
    </row>
    <row r="3539" spans="2:9" ht="28.8" x14ac:dyDescent="0.3">
      <c r="B3539" s="356" t="s">
        <v>795</v>
      </c>
      <c r="C3539" s="333"/>
      <c r="D3539" s="332"/>
      <c r="E3539" s="357" t="s">
        <v>60</v>
      </c>
      <c r="F3539" s="344">
        <v>200000</v>
      </c>
      <c r="G3539" s="345">
        <v>0.44</v>
      </c>
      <c r="H3539" s="344">
        <f>F3539*G3539</f>
        <v>88000</v>
      </c>
      <c r="I3539" s="344"/>
    </row>
    <row r="3540" spans="2:9" x14ac:dyDescent="0.3">
      <c r="B3540" s="332"/>
      <c r="C3540" s="333"/>
      <c r="D3540" s="332"/>
      <c r="E3540" s="333"/>
      <c r="F3540" s="334"/>
      <c r="G3540" s="332"/>
      <c r="H3540" s="334"/>
      <c r="I3540" s="334"/>
    </row>
    <row r="3541" spans="2:9" x14ac:dyDescent="0.3">
      <c r="B3541" s="332"/>
      <c r="C3541" s="333"/>
      <c r="D3541" s="332"/>
      <c r="E3541" s="333"/>
      <c r="F3541" s="334"/>
      <c r="G3541" s="332"/>
      <c r="H3541" s="334"/>
      <c r="I3541" s="334"/>
    </row>
    <row r="3542" spans="2:9" x14ac:dyDescent="0.3">
      <c r="B3542" s="332"/>
      <c r="C3542" s="333"/>
      <c r="D3542" s="332"/>
      <c r="E3542" s="333"/>
      <c r="F3542" s="334"/>
      <c r="G3542" s="332"/>
      <c r="H3542" s="334"/>
      <c r="I3542" s="334"/>
    </row>
    <row r="3543" spans="2:9" x14ac:dyDescent="0.3">
      <c r="B3543" s="332"/>
      <c r="C3543" s="333"/>
      <c r="D3543" s="332"/>
      <c r="E3543" s="333"/>
      <c r="F3543" s="334"/>
      <c r="G3543" s="332"/>
      <c r="H3543" s="334" t="s">
        <v>628</v>
      </c>
      <c r="I3543" s="334">
        <f>SUM(H3539:H3542)</f>
        <v>88000</v>
      </c>
    </row>
    <row r="3544" spans="2:9" x14ac:dyDescent="0.3">
      <c r="B3544" s="332" t="s">
        <v>632</v>
      </c>
      <c r="C3544" s="333"/>
      <c r="D3544" s="332"/>
      <c r="E3544" s="333" t="s">
        <v>624</v>
      </c>
      <c r="F3544" s="334" t="s">
        <v>633</v>
      </c>
      <c r="G3544" s="332" t="s">
        <v>634</v>
      </c>
      <c r="H3544" s="334" t="s">
        <v>627</v>
      </c>
      <c r="I3544" s="334"/>
    </row>
    <row r="3545" spans="2:9" x14ac:dyDescent="0.3">
      <c r="B3545" s="332"/>
      <c r="C3545" s="333"/>
      <c r="D3545" s="332"/>
      <c r="E3545" s="332"/>
      <c r="F3545" s="332"/>
      <c r="G3545" s="332"/>
      <c r="H3545" s="332"/>
      <c r="I3545" s="332"/>
    </row>
    <row r="3546" spans="2:9" x14ac:dyDescent="0.3">
      <c r="B3546" s="332"/>
      <c r="C3546" s="333"/>
      <c r="D3546" s="332"/>
      <c r="E3546" s="333"/>
      <c r="F3546" s="336"/>
      <c r="G3546" s="334"/>
      <c r="H3546" s="334"/>
      <c r="I3546" s="334"/>
    </row>
    <row r="3547" spans="2:9" x14ac:dyDescent="0.3">
      <c r="B3547" s="332"/>
      <c r="C3547" s="333"/>
      <c r="D3547" s="332"/>
      <c r="E3547" s="333"/>
      <c r="F3547" s="334"/>
      <c r="G3547" s="332"/>
      <c r="H3547" s="334" t="s">
        <v>628</v>
      </c>
      <c r="I3547" s="334">
        <f>SUM(H3546)</f>
        <v>0</v>
      </c>
    </row>
    <row r="3548" spans="2:9" x14ac:dyDescent="0.3">
      <c r="B3548" s="332" t="s">
        <v>635</v>
      </c>
      <c r="C3548" s="333"/>
      <c r="D3548" s="332"/>
      <c r="E3548" s="333"/>
      <c r="F3548" s="334"/>
      <c r="G3548" s="332"/>
      <c r="H3548" s="334"/>
      <c r="I3548" s="334"/>
    </row>
    <row r="3549" spans="2:9" x14ac:dyDescent="0.3">
      <c r="B3549" s="332" t="s">
        <v>636</v>
      </c>
      <c r="C3549" s="333"/>
      <c r="D3549" s="332"/>
      <c r="E3549" s="333" t="s">
        <v>637</v>
      </c>
      <c r="F3549" s="334" t="s">
        <v>638</v>
      </c>
      <c r="G3549" s="332" t="s">
        <v>626</v>
      </c>
      <c r="H3549" s="334" t="s">
        <v>627</v>
      </c>
      <c r="I3549" s="334"/>
    </row>
    <row r="3550" spans="2:9" x14ac:dyDescent="0.3">
      <c r="B3550" s="332" t="s">
        <v>645</v>
      </c>
      <c r="C3550" s="333"/>
      <c r="D3550" s="332"/>
      <c r="E3550" s="337">
        <v>168000</v>
      </c>
      <c r="F3550" s="334">
        <v>1.8</v>
      </c>
      <c r="G3550" s="338">
        <v>33.600000227759786</v>
      </c>
      <c r="H3550" s="334">
        <f>E3550*F3550/G3550</f>
        <v>8999.9999389929144</v>
      </c>
      <c r="I3550" s="334"/>
    </row>
    <row r="3551" spans="2:9" x14ac:dyDescent="0.3">
      <c r="B3551" s="332"/>
      <c r="C3551" s="333"/>
      <c r="D3551" s="332"/>
      <c r="E3551" s="333"/>
      <c r="F3551" s="334"/>
      <c r="G3551" s="332"/>
      <c r="H3551" s="334" t="s">
        <v>628</v>
      </c>
      <c r="I3551" s="334">
        <f>H3550</f>
        <v>8999.9999389929144</v>
      </c>
    </row>
    <row r="3552" spans="2:9" x14ac:dyDescent="0.3">
      <c r="B3552" s="332"/>
      <c r="C3552" s="333"/>
      <c r="D3552" s="332"/>
      <c r="E3552" s="333"/>
      <c r="F3552" s="334"/>
      <c r="G3552" s="332"/>
      <c r="H3552" s="330" t="s">
        <v>640</v>
      </c>
      <c r="I3552" s="330">
        <f>I3551+I3543+I3536+I3547</f>
        <v>99999.999938992914</v>
      </c>
    </row>
    <row r="3554" spans="2:9" ht="72" x14ac:dyDescent="0.3">
      <c r="B3554" s="339" t="s">
        <v>669</v>
      </c>
      <c r="C3554" s="339" t="s">
        <v>621</v>
      </c>
      <c r="D3554" s="341" t="s">
        <v>609</v>
      </c>
      <c r="E3554" s="339"/>
      <c r="F3554" s="340"/>
      <c r="G3554" s="340" t="s">
        <v>622</v>
      </c>
      <c r="H3554" s="340" t="s">
        <v>60</v>
      </c>
      <c r="I3554" s="340">
        <f>+ROUND(I3577,0)</f>
        <v>68040</v>
      </c>
    </row>
    <row r="3555" spans="2:9" x14ac:dyDescent="0.3">
      <c r="B3555" s="332" t="s">
        <v>623</v>
      </c>
      <c r="C3555" s="333"/>
      <c r="D3555" s="332"/>
      <c r="E3555" s="333"/>
      <c r="F3555" s="334"/>
      <c r="G3555" s="332"/>
      <c r="H3555" s="334"/>
      <c r="I3555" s="334"/>
    </row>
    <row r="3556" spans="2:9" x14ac:dyDescent="0.3">
      <c r="B3556" s="332" t="s">
        <v>271</v>
      </c>
      <c r="C3556" s="333"/>
      <c r="D3556" s="332"/>
      <c r="E3556" s="333" t="s">
        <v>624</v>
      </c>
      <c r="F3556" s="334" t="s">
        <v>625</v>
      </c>
      <c r="G3556" s="332" t="s">
        <v>626</v>
      </c>
      <c r="H3556" s="334" t="s">
        <v>627</v>
      </c>
      <c r="I3556" s="334"/>
    </row>
    <row r="3557" spans="2:9" x14ac:dyDescent="0.3">
      <c r="B3557" s="332" t="s">
        <v>642</v>
      </c>
      <c r="C3557" s="333"/>
      <c r="D3557" s="332"/>
      <c r="E3557" s="333" t="s">
        <v>644</v>
      </c>
      <c r="F3557" s="334">
        <v>1500</v>
      </c>
      <c r="G3557" s="335">
        <v>4</v>
      </c>
      <c r="H3557" s="334">
        <f>F3557*G3557</f>
        <v>6000</v>
      </c>
      <c r="I3557" s="334"/>
    </row>
    <row r="3558" spans="2:9" x14ac:dyDescent="0.3">
      <c r="B3558" s="332"/>
      <c r="C3558" s="333"/>
      <c r="D3558" s="332"/>
      <c r="E3558" s="333"/>
      <c r="F3558" s="334"/>
      <c r="G3558" s="335"/>
      <c r="H3558" s="334"/>
      <c r="I3558" s="334"/>
    </row>
    <row r="3559" spans="2:9" x14ac:dyDescent="0.3">
      <c r="B3559" s="332"/>
      <c r="C3559" s="333"/>
      <c r="D3559" s="332"/>
      <c r="E3559" s="333"/>
      <c r="F3559" s="334"/>
      <c r="G3559" s="335"/>
      <c r="H3559" s="334"/>
      <c r="I3559" s="334"/>
    </row>
    <row r="3560" spans="2:9" x14ac:dyDescent="0.3">
      <c r="B3560" s="332"/>
      <c r="C3560" s="333"/>
      <c r="D3560" s="332"/>
      <c r="E3560" s="333"/>
      <c r="F3560" s="334"/>
      <c r="G3560" s="332"/>
      <c r="H3560" s="334" t="s">
        <v>628</v>
      </c>
      <c r="I3560" s="334">
        <f>SUM(H3557:H3559)</f>
        <v>6000</v>
      </c>
    </row>
    <row r="3561" spans="2:9" x14ac:dyDescent="0.3">
      <c r="B3561" s="332" t="s">
        <v>629</v>
      </c>
      <c r="C3561" s="333"/>
      <c r="D3561" s="332"/>
      <c r="E3561" s="333"/>
      <c r="F3561" s="334"/>
      <c r="G3561" s="332"/>
      <c r="H3561" s="334"/>
      <c r="I3561" s="334"/>
    </row>
    <row r="3562" spans="2:9" x14ac:dyDescent="0.3">
      <c r="B3562" s="332" t="s">
        <v>271</v>
      </c>
      <c r="C3562" s="333"/>
      <c r="D3562" s="332"/>
      <c r="E3562" s="333" t="s">
        <v>624</v>
      </c>
      <c r="F3562" s="334" t="s">
        <v>630</v>
      </c>
      <c r="G3562" s="332" t="s">
        <v>631</v>
      </c>
      <c r="H3562" s="334" t="s">
        <v>627</v>
      </c>
      <c r="I3562" s="334"/>
    </row>
    <row r="3563" spans="2:9" ht="28.8" x14ac:dyDescent="0.3">
      <c r="B3563" s="356" t="s">
        <v>756</v>
      </c>
      <c r="C3563" s="333"/>
      <c r="D3563" s="332"/>
      <c r="E3563" s="343" t="s">
        <v>60</v>
      </c>
      <c r="F3563" s="344">
        <v>113501</v>
      </c>
      <c r="G3563" s="345">
        <v>0.45</v>
      </c>
      <c r="H3563" s="344">
        <f>F3563*G3563</f>
        <v>51075.450000000004</v>
      </c>
      <c r="I3563" s="344"/>
    </row>
    <row r="3564" spans="2:9" x14ac:dyDescent="0.3">
      <c r="B3564" s="354" t="s">
        <v>757</v>
      </c>
      <c r="C3564" s="333"/>
      <c r="D3564" s="332"/>
      <c r="E3564" s="355" t="s">
        <v>758</v>
      </c>
      <c r="F3564" s="334">
        <v>15000</v>
      </c>
      <c r="G3564" s="345">
        <v>0.05</v>
      </c>
      <c r="H3564" s="334">
        <f>F3564*G3564</f>
        <v>750</v>
      </c>
      <c r="I3564" s="334"/>
    </row>
    <row r="3565" spans="2:9" x14ac:dyDescent="0.3">
      <c r="B3565" s="354" t="s">
        <v>760</v>
      </c>
      <c r="C3565" s="333"/>
      <c r="D3565" s="332"/>
      <c r="E3565" s="355" t="s">
        <v>759</v>
      </c>
      <c r="F3565" s="334">
        <v>19990</v>
      </c>
      <c r="G3565" s="332">
        <v>0.1</v>
      </c>
      <c r="H3565" s="334">
        <f>F3565*G3565</f>
        <v>1999</v>
      </c>
      <c r="I3565" s="334"/>
    </row>
    <row r="3566" spans="2:9" x14ac:dyDescent="0.3">
      <c r="B3566" s="354" t="s">
        <v>761</v>
      </c>
      <c r="C3566" s="333"/>
      <c r="D3566" s="332"/>
      <c r="E3566" s="355" t="s">
        <v>1</v>
      </c>
      <c r="F3566" s="334">
        <v>2997</v>
      </c>
      <c r="G3566" s="332">
        <v>0.2</v>
      </c>
      <c r="H3566" s="334">
        <f>F3566*G3566</f>
        <v>599.4</v>
      </c>
      <c r="I3566" s="334"/>
    </row>
    <row r="3567" spans="2:9" x14ac:dyDescent="0.3">
      <c r="B3567" s="354" t="s">
        <v>762</v>
      </c>
      <c r="C3567" s="333"/>
      <c r="D3567" s="332"/>
      <c r="E3567" s="355" t="s">
        <v>1</v>
      </c>
      <c r="F3567" s="334">
        <v>8732</v>
      </c>
      <c r="G3567" s="332">
        <v>0.2</v>
      </c>
      <c r="H3567" s="334">
        <f>F3567*G3567</f>
        <v>1746.4</v>
      </c>
      <c r="I3567" s="334"/>
    </row>
    <row r="3568" spans="2:9" x14ac:dyDescent="0.3">
      <c r="B3568" s="332"/>
      <c r="C3568" s="333"/>
      <c r="D3568" s="332"/>
      <c r="E3568" s="333"/>
      <c r="F3568" s="334"/>
      <c r="G3568" s="332"/>
      <c r="H3568" s="334" t="s">
        <v>628</v>
      </c>
      <c r="I3568" s="334">
        <f>SUM(H3563:H3567)</f>
        <v>56170.250000000007</v>
      </c>
    </row>
    <row r="3569" spans="2:9" x14ac:dyDescent="0.3">
      <c r="B3569" s="332" t="s">
        <v>632</v>
      </c>
      <c r="C3569" s="333"/>
      <c r="D3569" s="332"/>
      <c r="E3569" s="333" t="s">
        <v>624</v>
      </c>
      <c r="F3569" s="334" t="s">
        <v>633</v>
      </c>
      <c r="G3569" s="332" t="s">
        <v>634</v>
      </c>
      <c r="H3569" s="334" t="s">
        <v>627</v>
      </c>
      <c r="I3569" s="334"/>
    </row>
    <row r="3570" spans="2:9" x14ac:dyDescent="0.3">
      <c r="B3570" s="332"/>
      <c r="C3570" s="333"/>
      <c r="D3570" s="332"/>
      <c r="E3570" s="332"/>
      <c r="F3570" s="332"/>
      <c r="G3570" s="332"/>
      <c r="H3570" s="332"/>
      <c r="I3570" s="332"/>
    </row>
    <row r="3571" spans="2:9" x14ac:dyDescent="0.3">
      <c r="B3571" s="332"/>
      <c r="C3571" s="333"/>
      <c r="D3571" s="332"/>
      <c r="E3571" s="333"/>
      <c r="F3571" s="336"/>
      <c r="G3571" s="334"/>
      <c r="H3571" s="334"/>
      <c r="I3571" s="334"/>
    </row>
    <row r="3572" spans="2:9" x14ac:dyDescent="0.3">
      <c r="B3572" s="332"/>
      <c r="C3572" s="333"/>
      <c r="D3572" s="332"/>
      <c r="E3572" s="333"/>
      <c r="F3572" s="334"/>
      <c r="G3572" s="332"/>
      <c r="H3572" s="334" t="s">
        <v>628</v>
      </c>
      <c r="I3572" s="334">
        <f>SUM(H3571)</f>
        <v>0</v>
      </c>
    </row>
    <row r="3573" spans="2:9" x14ac:dyDescent="0.3">
      <c r="B3573" s="332" t="s">
        <v>635</v>
      </c>
      <c r="C3573" s="333"/>
      <c r="D3573" s="332"/>
      <c r="E3573" s="333"/>
      <c r="F3573" s="334"/>
      <c r="G3573" s="332"/>
      <c r="H3573" s="334"/>
      <c r="I3573" s="334"/>
    </row>
    <row r="3574" spans="2:9" x14ac:dyDescent="0.3">
      <c r="B3574" s="332" t="s">
        <v>636</v>
      </c>
      <c r="C3574" s="333"/>
      <c r="D3574" s="332"/>
      <c r="E3574" s="333" t="s">
        <v>637</v>
      </c>
      <c r="F3574" s="334" t="s">
        <v>638</v>
      </c>
      <c r="G3574" s="332" t="s">
        <v>639</v>
      </c>
      <c r="H3574" s="334" t="s">
        <v>627</v>
      </c>
      <c r="I3574" s="334"/>
    </row>
    <row r="3575" spans="2:9" x14ac:dyDescent="0.3">
      <c r="B3575" s="332" t="s">
        <v>645</v>
      </c>
      <c r="C3575" s="333"/>
      <c r="D3575" s="332"/>
      <c r="E3575" s="337">
        <v>168000</v>
      </c>
      <c r="F3575" s="334">
        <v>1.8</v>
      </c>
      <c r="G3575" s="338">
        <v>51.518378115645682</v>
      </c>
      <c r="H3575" s="334">
        <f>E3575*F3575/G3575</f>
        <v>5869.750001080949</v>
      </c>
      <c r="I3575" s="334"/>
    </row>
    <row r="3576" spans="2:9" x14ac:dyDescent="0.3">
      <c r="B3576" s="332"/>
      <c r="C3576" s="333"/>
      <c r="D3576" s="332"/>
      <c r="E3576" s="333"/>
      <c r="F3576" s="334"/>
      <c r="G3576" s="332"/>
      <c r="H3576" s="334" t="s">
        <v>628</v>
      </c>
      <c r="I3576" s="334">
        <f>H3575</f>
        <v>5869.750001080949</v>
      </c>
    </row>
    <row r="3577" spans="2:9" x14ac:dyDescent="0.3">
      <c r="B3577" s="332"/>
      <c r="C3577" s="333"/>
      <c r="D3577" s="332"/>
      <c r="E3577" s="333"/>
      <c r="F3577" s="334"/>
      <c r="G3577" s="332"/>
      <c r="H3577" s="330" t="s">
        <v>640</v>
      </c>
      <c r="I3577" s="330">
        <f>I3576+I3568+I3560+I3572</f>
        <v>68040.00000108096</v>
      </c>
    </row>
    <row r="3579" spans="2:9" ht="86.4" x14ac:dyDescent="0.3">
      <c r="B3579" s="339" t="s">
        <v>672</v>
      </c>
      <c r="C3579" s="339" t="s">
        <v>621</v>
      </c>
      <c r="D3579" s="341" t="s">
        <v>552</v>
      </c>
      <c r="E3579" s="339"/>
      <c r="F3579" s="340"/>
      <c r="G3579" s="340" t="s">
        <v>622</v>
      </c>
      <c r="H3579" s="340" t="s">
        <v>60</v>
      </c>
      <c r="I3579" s="340">
        <f>+ROUND(I3601,0)</f>
        <v>30000</v>
      </c>
    </row>
    <row r="3580" spans="2:9" x14ac:dyDescent="0.3">
      <c r="B3580" s="332" t="s">
        <v>623</v>
      </c>
      <c r="C3580" s="333"/>
      <c r="D3580" s="332"/>
      <c r="E3580" s="333"/>
      <c r="F3580" s="334"/>
      <c r="G3580" s="332"/>
      <c r="H3580" s="334"/>
      <c r="I3580" s="334"/>
    </row>
    <row r="3581" spans="2:9" x14ac:dyDescent="0.3">
      <c r="B3581" s="332" t="s">
        <v>271</v>
      </c>
      <c r="C3581" s="333"/>
      <c r="D3581" s="332"/>
      <c r="E3581" s="333" t="s">
        <v>624</v>
      </c>
      <c r="F3581" s="334" t="s">
        <v>625</v>
      </c>
      <c r="G3581" s="332" t="s">
        <v>626</v>
      </c>
      <c r="H3581" s="334" t="s">
        <v>627</v>
      </c>
      <c r="I3581" s="334"/>
    </row>
    <row r="3582" spans="2:9" x14ac:dyDescent="0.3">
      <c r="B3582" s="332" t="s">
        <v>642</v>
      </c>
      <c r="C3582" s="333"/>
      <c r="D3582" s="332"/>
      <c r="E3582" s="333" t="s">
        <v>644</v>
      </c>
      <c r="F3582" s="334">
        <v>1500</v>
      </c>
      <c r="G3582" s="335">
        <v>2</v>
      </c>
      <c r="H3582" s="334">
        <f>F3582*G3582</f>
        <v>3000</v>
      </c>
      <c r="I3582" s="334"/>
    </row>
    <row r="3583" spans="2:9" x14ac:dyDescent="0.3">
      <c r="B3583" s="332"/>
      <c r="C3583" s="333"/>
      <c r="D3583" s="332"/>
      <c r="E3583" s="333"/>
      <c r="F3583" s="334"/>
      <c r="G3583" s="335"/>
      <c r="H3583" s="334"/>
      <c r="I3583" s="334"/>
    </row>
    <row r="3584" spans="2:9" x14ac:dyDescent="0.3">
      <c r="B3584" s="332"/>
      <c r="C3584" s="333"/>
      <c r="D3584" s="332"/>
      <c r="E3584" s="333"/>
      <c r="F3584" s="334"/>
      <c r="G3584" s="335"/>
      <c r="H3584" s="334"/>
      <c r="I3584" s="334"/>
    </row>
    <row r="3585" spans="2:9" x14ac:dyDescent="0.3">
      <c r="B3585" s="332"/>
      <c r="C3585" s="333"/>
      <c r="D3585" s="332"/>
      <c r="E3585" s="333"/>
      <c r="F3585" s="334"/>
      <c r="G3585" s="332"/>
      <c r="H3585" s="334" t="s">
        <v>628</v>
      </c>
      <c r="I3585" s="334">
        <f>SUM(H3582:H3584)</f>
        <v>3000</v>
      </c>
    </row>
    <row r="3586" spans="2:9" x14ac:dyDescent="0.3">
      <c r="B3586" s="332" t="s">
        <v>629</v>
      </c>
      <c r="C3586" s="333"/>
      <c r="D3586" s="332"/>
      <c r="E3586" s="333"/>
      <c r="F3586" s="334"/>
      <c r="G3586" s="332"/>
      <c r="H3586" s="334"/>
      <c r="I3586" s="334"/>
    </row>
    <row r="3587" spans="2:9" x14ac:dyDescent="0.3">
      <c r="B3587" s="332" t="s">
        <v>271</v>
      </c>
      <c r="C3587" s="333"/>
      <c r="D3587" s="332"/>
      <c r="E3587" s="333" t="s">
        <v>624</v>
      </c>
      <c r="F3587" s="334" t="s">
        <v>630</v>
      </c>
      <c r="G3587" s="332" t="s">
        <v>631</v>
      </c>
      <c r="H3587" s="334" t="s">
        <v>627</v>
      </c>
      <c r="I3587" s="334"/>
    </row>
    <row r="3588" spans="2:9" x14ac:dyDescent="0.3">
      <c r="B3588" s="342"/>
      <c r="C3588" s="333"/>
      <c r="D3588" s="332"/>
      <c r="E3588" s="343"/>
      <c r="F3588" s="344"/>
      <c r="G3588" s="345"/>
      <c r="H3588" s="344"/>
      <c r="I3588" s="344"/>
    </row>
    <row r="3589" spans="2:9" x14ac:dyDescent="0.3">
      <c r="B3589" s="332"/>
      <c r="C3589" s="333"/>
      <c r="D3589" s="332"/>
      <c r="E3589" s="333"/>
      <c r="F3589" s="334"/>
      <c r="G3589" s="332"/>
      <c r="H3589" s="334"/>
      <c r="I3589" s="334"/>
    </row>
    <row r="3590" spans="2:9" x14ac:dyDescent="0.3">
      <c r="B3590" s="332"/>
      <c r="C3590" s="333"/>
      <c r="D3590" s="332"/>
      <c r="E3590" s="333"/>
      <c r="F3590" s="334"/>
      <c r="G3590" s="332"/>
      <c r="H3590" s="334"/>
      <c r="I3590" s="334"/>
    </row>
    <row r="3591" spans="2:9" x14ac:dyDescent="0.3">
      <c r="B3591" s="332"/>
      <c r="C3591" s="333"/>
      <c r="D3591" s="332"/>
      <c r="E3591" s="333"/>
      <c r="F3591" s="334"/>
      <c r="G3591" s="332"/>
      <c r="H3591" s="334"/>
      <c r="I3591" s="334"/>
    </row>
    <row r="3592" spans="2:9" x14ac:dyDescent="0.3">
      <c r="B3592" s="332"/>
      <c r="C3592" s="333"/>
      <c r="D3592" s="332"/>
      <c r="E3592" s="333"/>
      <c r="F3592" s="334"/>
      <c r="G3592" s="332"/>
      <c r="H3592" s="334" t="s">
        <v>628</v>
      </c>
      <c r="I3592" s="334">
        <f>SUM(H3588:H3591)</f>
        <v>0</v>
      </c>
    </row>
    <row r="3593" spans="2:9" x14ac:dyDescent="0.3">
      <c r="B3593" s="332" t="s">
        <v>632</v>
      </c>
      <c r="C3593" s="333"/>
      <c r="D3593" s="332"/>
      <c r="E3593" s="333" t="s">
        <v>624</v>
      </c>
      <c r="F3593" s="334" t="s">
        <v>633</v>
      </c>
      <c r="G3593" s="332" t="s">
        <v>634</v>
      </c>
      <c r="H3593" s="334" t="s">
        <v>627</v>
      </c>
      <c r="I3593" s="334"/>
    </row>
    <row r="3594" spans="2:9" x14ac:dyDescent="0.3">
      <c r="B3594" s="332"/>
      <c r="C3594" s="333"/>
      <c r="D3594" s="332"/>
      <c r="E3594" s="332"/>
      <c r="F3594" s="332"/>
      <c r="G3594" s="332"/>
      <c r="H3594" s="332"/>
      <c r="I3594" s="332"/>
    </row>
    <row r="3595" spans="2:9" x14ac:dyDescent="0.3">
      <c r="B3595" s="332"/>
      <c r="C3595" s="333"/>
      <c r="D3595" s="332"/>
      <c r="E3595" s="333"/>
      <c r="F3595" s="336"/>
      <c r="G3595" s="334"/>
      <c r="H3595" s="334"/>
      <c r="I3595" s="334"/>
    </row>
    <row r="3596" spans="2:9" x14ac:dyDescent="0.3">
      <c r="B3596" s="332"/>
      <c r="C3596" s="333"/>
      <c r="D3596" s="332"/>
      <c r="E3596" s="333"/>
      <c r="F3596" s="334"/>
      <c r="G3596" s="332"/>
      <c r="H3596" s="334" t="s">
        <v>628</v>
      </c>
      <c r="I3596" s="334">
        <f>SUM(H3595)</f>
        <v>0</v>
      </c>
    </row>
    <row r="3597" spans="2:9" x14ac:dyDescent="0.3">
      <c r="B3597" s="332" t="s">
        <v>635</v>
      </c>
      <c r="C3597" s="333"/>
      <c r="D3597" s="332"/>
      <c r="E3597" s="333"/>
      <c r="F3597" s="334"/>
      <c r="G3597" s="332"/>
      <c r="H3597" s="334"/>
      <c r="I3597" s="334"/>
    </row>
    <row r="3598" spans="2:9" x14ac:dyDescent="0.3">
      <c r="B3598" s="332" t="s">
        <v>636</v>
      </c>
      <c r="C3598" s="333"/>
      <c r="D3598" s="332"/>
      <c r="E3598" s="333" t="s">
        <v>637</v>
      </c>
      <c r="F3598" s="334" t="s">
        <v>638</v>
      </c>
      <c r="G3598" s="332" t="s">
        <v>639</v>
      </c>
      <c r="H3598" s="334" t="s">
        <v>627</v>
      </c>
      <c r="I3598" s="334"/>
    </row>
    <row r="3599" spans="2:9" x14ac:dyDescent="0.3">
      <c r="B3599" s="332" t="s">
        <v>645</v>
      </c>
      <c r="C3599" s="333"/>
      <c r="D3599" s="332"/>
      <c r="E3599" s="337">
        <v>168000</v>
      </c>
      <c r="F3599" s="334">
        <v>1.8</v>
      </c>
      <c r="G3599" s="338">
        <v>11.199999874112965</v>
      </c>
      <c r="H3599" s="334">
        <f>E3599*F3599/G3599</f>
        <v>27000.000303477678</v>
      </c>
      <c r="I3599" s="334"/>
    </row>
    <row r="3600" spans="2:9" x14ac:dyDescent="0.3">
      <c r="B3600" s="332"/>
      <c r="C3600" s="333"/>
      <c r="D3600" s="332"/>
      <c r="E3600" s="333"/>
      <c r="F3600" s="334"/>
      <c r="G3600" s="332"/>
      <c r="H3600" s="334" t="s">
        <v>628</v>
      </c>
      <c r="I3600" s="334">
        <f>H3599</f>
        <v>27000.000303477678</v>
      </c>
    </row>
    <row r="3601" spans="2:9" x14ac:dyDescent="0.3">
      <c r="B3601" s="332"/>
      <c r="C3601" s="333"/>
      <c r="D3601" s="332"/>
      <c r="E3601" s="333"/>
      <c r="F3601" s="334"/>
      <c r="G3601" s="332"/>
      <c r="H3601" s="330" t="s">
        <v>640</v>
      </c>
      <c r="I3601" s="330">
        <f>I3600+I3592+I3585+I3596</f>
        <v>30000.000303477678</v>
      </c>
    </row>
    <row r="3603" spans="2:9" ht="57.6" x14ac:dyDescent="0.3">
      <c r="B3603" s="339" t="s">
        <v>674</v>
      </c>
      <c r="C3603" s="339" t="s">
        <v>621</v>
      </c>
      <c r="D3603" s="341" t="s">
        <v>516</v>
      </c>
      <c r="E3603" s="339"/>
      <c r="F3603" s="340"/>
      <c r="G3603" s="340" t="s">
        <v>622</v>
      </c>
      <c r="H3603" s="340" t="s">
        <v>33</v>
      </c>
      <c r="I3603" s="340">
        <f>+ROUND(I3625,0)</f>
        <v>932882</v>
      </c>
    </row>
    <row r="3604" spans="2:9" x14ac:dyDescent="0.3">
      <c r="B3604" s="332" t="s">
        <v>623</v>
      </c>
      <c r="C3604" s="333"/>
      <c r="D3604" s="332"/>
      <c r="E3604" s="333"/>
      <c r="F3604" s="334"/>
      <c r="G3604" s="332"/>
      <c r="H3604" s="334"/>
      <c r="I3604" s="334"/>
    </row>
    <row r="3605" spans="2:9" x14ac:dyDescent="0.3">
      <c r="B3605" s="332" t="s">
        <v>271</v>
      </c>
      <c r="C3605" s="333"/>
      <c r="D3605" s="332"/>
      <c r="E3605" s="333" t="s">
        <v>624</v>
      </c>
      <c r="F3605" s="334" t="s">
        <v>625</v>
      </c>
      <c r="G3605" s="332" t="s">
        <v>626</v>
      </c>
      <c r="H3605" s="334" t="s">
        <v>627</v>
      </c>
      <c r="I3605" s="334"/>
    </row>
    <row r="3606" spans="2:9" x14ac:dyDescent="0.3">
      <c r="B3606" s="332" t="s">
        <v>642</v>
      </c>
      <c r="C3606" s="333"/>
      <c r="D3606" s="332"/>
      <c r="E3606" s="333" t="s">
        <v>644</v>
      </c>
      <c r="F3606" s="334">
        <v>1500</v>
      </c>
      <c r="G3606" s="335">
        <v>2</v>
      </c>
      <c r="H3606" s="334">
        <f>F3606*G3606</f>
        <v>3000</v>
      </c>
      <c r="I3606" s="334"/>
    </row>
    <row r="3607" spans="2:9" x14ac:dyDescent="0.3">
      <c r="B3607" s="332"/>
      <c r="C3607" s="333"/>
      <c r="D3607" s="332"/>
      <c r="E3607" s="333"/>
      <c r="F3607" s="334"/>
      <c r="G3607" s="335"/>
      <c r="H3607" s="334"/>
      <c r="I3607" s="334"/>
    </row>
    <row r="3608" spans="2:9" x14ac:dyDescent="0.3">
      <c r="B3608" s="332"/>
      <c r="C3608" s="333"/>
      <c r="D3608" s="332"/>
      <c r="E3608" s="333"/>
      <c r="F3608" s="334"/>
      <c r="G3608" s="335"/>
      <c r="H3608" s="334"/>
      <c r="I3608" s="334"/>
    </row>
    <row r="3609" spans="2:9" x14ac:dyDescent="0.3">
      <c r="B3609" s="332"/>
      <c r="C3609" s="333"/>
      <c r="D3609" s="332"/>
      <c r="E3609" s="333"/>
      <c r="F3609" s="334"/>
      <c r="G3609" s="332"/>
      <c r="H3609" s="334" t="s">
        <v>628</v>
      </c>
      <c r="I3609" s="334">
        <f>SUM(H3606:H3608)</f>
        <v>3000</v>
      </c>
    </row>
    <row r="3610" spans="2:9" x14ac:dyDescent="0.3">
      <c r="B3610" s="332" t="s">
        <v>629</v>
      </c>
      <c r="C3610" s="333"/>
      <c r="D3610" s="332"/>
      <c r="E3610" s="333"/>
      <c r="F3610" s="334"/>
      <c r="G3610" s="332"/>
      <c r="H3610" s="334"/>
      <c r="I3610" s="334"/>
    </row>
    <row r="3611" spans="2:9" x14ac:dyDescent="0.3">
      <c r="B3611" s="332" t="s">
        <v>271</v>
      </c>
      <c r="C3611" s="333"/>
      <c r="D3611" s="332"/>
      <c r="E3611" s="333" t="s">
        <v>624</v>
      </c>
      <c r="F3611" s="334" t="s">
        <v>630</v>
      </c>
      <c r="G3611" s="332" t="s">
        <v>631</v>
      </c>
      <c r="H3611" s="334" t="s">
        <v>627</v>
      </c>
      <c r="I3611" s="334"/>
    </row>
    <row r="3612" spans="2:9" ht="28.8" x14ac:dyDescent="0.3">
      <c r="B3612" s="356" t="s">
        <v>796</v>
      </c>
      <c r="C3612" s="333"/>
      <c r="D3612" s="332"/>
      <c r="E3612" s="343" t="s">
        <v>93</v>
      </c>
      <c r="F3612" s="344">
        <v>5400</v>
      </c>
      <c r="G3612" s="345">
        <v>18</v>
      </c>
      <c r="H3612" s="344">
        <f>F3612*G3612</f>
        <v>97200</v>
      </c>
      <c r="I3612" s="344"/>
    </row>
    <row r="3613" spans="2:9" x14ac:dyDescent="0.3">
      <c r="B3613" s="354" t="s">
        <v>797</v>
      </c>
      <c r="C3613" s="333"/>
      <c r="D3613" s="332"/>
      <c r="E3613" s="355" t="s">
        <v>93</v>
      </c>
      <c r="F3613" s="334">
        <v>7900</v>
      </c>
      <c r="G3613" s="332">
        <v>20</v>
      </c>
      <c r="H3613" s="344">
        <f>F3613*G3613</f>
        <v>158000</v>
      </c>
      <c r="I3613" s="334"/>
    </row>
    <row r="3614" spans="2:9" x14ac:dyDescent="0.3">
      <c r="B3614" s="342" t="s">
        <v>670</v>
      </c>
      <c r="C3614" s="333"/>
      <c r="D3614" s="332"/>
      <c r="E3614" s="343" t="s">
        <v>671</v>
      </c>
      <c r="F3614" s="344">
        <v>626828.6</v>
      </c>
      <c r="G3614" s="345">
        <v>1</v>
      </c>
      <c r="H3614" s="344">
        <f>F3614*G3614</f>
        <v>626828.6</v>
      </c>
      <c r="I3614" s="344"/>
    </row>
    <row r="3615" spans="2:9" x14ac:dyDescent="0.3">
      <c r="B3615" s="332"/>
      <c r="C3615" s="333"/>
      <c r="D3615" s="332"/>
      <c r="E3615" s="333"/>
      <c r="F3615" s="334"/>
      <c r="G3615" s="332"/>
      <c r="H3615" s="334"/>
      <c r="I3615" s="334"/>
    </row>
    <row r="3616" spans="2:9" x14ac:dyDescent="0.3">
      <c r="B3616" s="332"/>
      <c r="C3616" s="333"/>
      <c r="D3616" s="332"/>
      <c r="E3616" s="333"/>
      <c r="F3616" s="334"/>
      <c r="G3616" s="332"/>
      <c r="H3616" s="334" t="s">
        <v>628</v>
      </c>
      <c r="I3616" s="334">
        <f>SUM(H3612:H3615)</f>
        <v>882028.6</v>
      </c>
    </row>
    <row r="3617" spans="2:9" x14ac:dyDescent="0.3">
      <c r="B3617" s="332" t="s">
        <v>632</v>
      </c>
      <c r="C3617" s="333"/>
      <c r="D3617" s="332"/>
      <c r="E3617" s="333" t="s">
        <v>624</v>
      </c>
      <c r="F3617" s="334" t="s">
        <v>633</v>
      </c>
      <c r="G3617" s="332" t="s">
        <v>634</v>
      </c>
      <c r="H3617" s="334" t="s">
        <v>627</v>
      </c>
      <c r="I3617" s="334"/>
    </row>
    <row r="3618" spans="2:9" x14ac:dyDescent="0.3">
      <c r="B3618" s="332"/>
      <c r="C3618" s="333"/>
      <c r="D3618" s="332"/>
      <c r="E3618" s="332"/>
      <c r="F3618" s="332"/>
      <c r="G3618" s="332"/>
      <c r="H3618" s="332"/>
      <c r="I3618" s="332"/>
    </row>
    <row r="3619" spans="2:9" x14ac:dyDescent="0.3">
      <c r="B3619" s="332"/>
      <c r="C3619" s="333"/>
      <c r="D3619" s="332"/>
      <c r="E3619" s="333"/>
      <c r="F3619" s="336"/>
      <c r="G3619" s="334"/>
      <c r="H3619" s="334"/>
      <c r="I3619" s="334"/>
    </row>
    <row r="3620" spans="2:9" x14ac:dyDescent="0.3">
      <c r="B3620" s="332"/>
      <c r="C3620" s="333"/>
      <c r="D3620" s="332"/>
      <c r="E3620" s="333"/>
      <c r="F3620" s="334"/>
      <c r="G3620" s="332"/>
      <c r="H3620" s="334" t="s">
        <v>628</v>
      </c>
      <c r="I3620" s="334">
        <f>SUM(H3619)</f>
        <v>0</v>
      </c>
    </row>
    <row r="3621" spans="2:9" x14ac:dyDescent="0.3">
      <c r="B3621" s="332" t="s">
        <v>635</v>
      </c>
      <c r="C3621" s="333"/>
      <c r="D3621" s="332"/>
      <c r="E3621" s="333"/>
      <c r="F3621" s="334"/>
      <c r="G3621" s="332"/>
      <c r="H3621" s="334"/>
      <c r="I3621" s="334"/>
    </row>
    <row r="3622" spans="2:9" x14ac:dyDescent="0.3">
      <c r="B3622" s="332" t="s">
        <v>636</v>
      </c>
      <c r="C3622" s="333"/>
      <c r="D3622" s="332"/>
      <c r="E3622" s="333" t="s">
        <v>637</v>
      </c>
      <c r="F3622" s="334" t="s">
        <v>638</v>
      </c>
      <c r="G3622" s="332" t="s">
        <v>626</v>
      </c>
      <c r="H3622" s="334" t="s">
        <v>627</v>
      </c>
      <c r="I3622" s="334"/>
    </row>
    <row r="3623" spans="2:9" x14ac:dyDescent="0.3">
      <c r="B3623" s="332" t="s">
        <v>645</v>
      </c>
      <c r="C3623" s="333"/>
      <c r="D3623" s="332"/>
      <c r="E3623" s="337">
        <v>168000</v>
      </c>
      <c r="F3623" s="334">
        <v>1.8</v>
      </c>
      <c r="G3623" s="338">
        <v>6.3193001406878357</v>
      </c>
      <c r="H3623" s="334">
        <f>E3623*F3623/G3623</f>
        <v>47853.400418971825</v>
      </c>
      <c r="I3623" s="334"/>
    </row>
    <row r="3624" spans="2:9" x14ac:dyDescent="0.3">
      <c r="B3624" s="332"/>
      <c r="C3624" s="333"/>
      <c r="D3624" s="332"/>
      <c r="E3624" s="333"/>
      <c r="F3624" s="334"/>
      <c r="G3624" s="332"/>
      <c r="H3624" s="334" t="s">
        <v>628</v>
      </c>
      <c r="I3624" s="334">
        <f>H3623</f>
        <v>47853.400418971825</v>
      </c>
    </row>
    <row r="3625" spans="2:9" s="301" customFormat="1" x14ac:dyDescent="0.3">
      <c r="B3625" s="332"/>
      <c r="C3625" s="333"/>
      <c r="D3625" s="332"/>
      <c r="E3625" s="333"/>
      <c r="F3625" s="334"/>
      <c r="G3625" s="332"/>
      <c r="H3625" s="330" t="s">
        <v>640</v>
      </c>
      <c r="I3625" s="330">
        <f>I3624+I3616+I3609+I3620</f>
        <v>932882.00041897176</v>
      </c>
    </row>
    <row r="3626" spans="2:9" s="301" customFormat="1" x14ac:dyDescent="0.3">
      <c r="C3626" s="349"/>
      <c r="E3626" s="349"/>
      <c r="F3626" s="350"/>
      <c r="H3626" s="351"/>
      <c r="I3626" s="351"/>
    </row>
    <row r="3627" spans="2:9" s="301" customFormat="1" x14ac:dyDescent="0.3">
      <c r="B3627" s="339" t="s">
        <v>679</v>
      </c>
      <c r="C3627" s="339" t="s">
        <v>621</v>
      </c>
      <c r="D3627" s="341" t="s">
        <v>523</v>
      </c>
      <c r="E3627" s="339"/>
      <c r="F3627" s="340"/>
      <c r="G3627" s="340" t="s">
        <v>622</v>
      </c>
      <c r="H3627" s="340" t="s">
        <v>671</v>
      </c>
      <c r="I3627" s="340">
        <f>+ROUND(I3649,0)</f>
        <v>25000</v>
      </c>
    </row>
    <row r="3628" spans="2:9" x14ac:dyDescent="0.3">
      <c r="B3628" s="332" t="s">
        <v>623</v>
      </c>
      <c r="C3628" s="333"/>
      <c r="D3628" s="332"/>
      <c r="E3628" s="333"/>
      <c r="F3628" s="334"/>
      <c r="G3628" s="332"/>
      <c r="H3628" s="334"/>
      <c r="I3628" s="334"/>
    </row>
    <row r="3629" spans="2:9" x14ac:dyDescent="0.3">
      <c r="B3629" s="332" t="s">
        <v>271</v>
      </c>
      <c r="C3629" s="333"/>
      <c r="D3629" s="332"/>
      <c r="E3629" s="333" t="s">
        <v>624</v>
      </c>
      <c r="F3629" s="334" t="s">
        <v>625</v>
      </c>
      <c r="G3629" s="332" t="s">
        <v>626</v>
      </c>
      <c r="H3629" s="334" t="s">
        <v>627</v>
      </c>
      <c r="I3629" s="334"/>
    </row>
    <row r="3630" spans="2:9" x14ac:dyDescent="0.3">
      <c r="B3630" s="332" t="s">
        <v>642</v>
      </c>
      <c r="C3630" s="333"/>
      <c r="D3630" s="332"/>
      <c r="E3630" s="333" t="s">
        <v>644</v>
      </c>
      <c r="F3630" s="334">
        <v>1500</v>
      </c>
      <c r="G3630" s="335">
        <v>2</v>
      </c>
      <c r="H3630" s="334">
        <f>F3630*G3630</f>
        <v>3000</v>
      </c>
      <c r="I3630" s="334"/>
    </row>
    <row r="3631" spans="2:9" x14ac:dyDescent="0.3">
      <c r="B3631" s="332"/>
      <c r="C3631" s="333"/>
      <c r="D3631" s="332"/>
      <c r="E3631" s="333"/>
      <c r="F3631" s="334"/>
      <c r="G3631" s="335"/>
      <c r="H3631" s="334"/>
      <c r="I3631" s="334"/>
    </row>
    <row r="3632" spans="2:9" x14ac:dyDescent="0.3">
      <c r="B3632" s="332"/>
      <c r="C3632" s="333"/>
      <c r="D3632" s="332"/>
      <c r="E3632" s="333"/>
      <c r="F3632" s="334"/>
      <c r="G3632" s="335"/>
      <c r="H3632" s="334"/>
      <c r="I3632" s="334"/>
    </row>
    <row r="3633" spans="2:9" x14ac:dyDescent="0.3">
      <c r="B3633" s="332"/>
      <c r="C3633" s="333"/>
      <c r="D3633" s="332"/>
      <c r="E3633" s="333"/>
      <c r="F3633" s="334"/>
      <c r="G3633" s="332"/>
      <c r="H3633" s="334" t="s">
        <v>628</v>
      </c>
      <c r="I3633" s="334">
        <f>SUM(H3630:H3632)</f>
        <v>3000</v>
      </c>
    </row>
    <row r="3634" spans="2:9" x14ac:dyDescent="0.3">
      <c r="B3634" s="332" t="s">
        <v>629</v>
      </c>
      <c r="C3634" s="333"/>
      <c r="D3634" s="332"/>
      <c r="E3634" s="333"/>
      <c r="F3634" s="334"/>
      <c r="G3634" s="332"/>
      <c r="H3634" s="334"/>
      <c r="I3634" s="334"/>
    </row>
    <row r="3635" spans="2:9" x14ac:dyDescent="0.3">
      <c r="B3635" s="332" t="s">
        <v>271</v>
      </c>
      <c r="C3635" s="333"/>
      <c r="D3635" s="332"/>
      <c r="E3635" s="333" t="s">
        <v>624</v>
      </c>
      <c r="F3635" s="334" t="s">
        <v>630</v>
      </c>
      <c r="G3635" s="332" t="s">
        <v>631</v>
      </c>
      <c r="H3635" s="334" t="s">
        <v>627</v>
      </c>
      <c r="I3635" s="334"/>
    </row>
    <row r="3636" spans="2:9" x14ac:dyDescent="0.3">
      <c r="B3636" s="342"/>
      <c r="C3636" s="333"/>
      <c r="D3636" s="332"/>
      <c r="E3636" s="343"/>
      <c r="F3636" s="344"/>
      <c r="G3636" s="345"/>
      <c r="H3636" s="344"/>
      <c r="I3636" s="344"/>
    </row>
    <row r="3637" spans="2:9" x14ac:dyDescent="0.3">
      <c r="B3637" s="332"/>
      <c r="C3637" s="333"/>
      <c r="D3637" s="332"/>
      <c r="E3637" s="333"/>
      <c r="F3637" s="334"/>
      <c r="G3637" s="332"/>
      <c r="H3637" s="334"/>
      <c r="I3637" s="334"/>
    </row>
    <row r="3638" spans="2:9" x14ac:dyDescent="0.3">
      <c r="B3638" s="332"/>
      <c r="C3638" s="333"/>
      <c r="D3638" s="332"/>
      <c r="E3638" s="333"/>
      <c r="F3638" s="334"/>
      <c r="G3638" s="332"/>
      <c r="H3638" s="334"/>
      <c r="I3638" s="334"/>
    </row>
    <row r="3639" spans="2:9" x14ac:dyDescent="0.3">
      <c r="B3639" s="332"/>
      <c r="C3639" s="333"/>
      <c r="D3639" s="332"/>
      <c r="E3639" s="333"/>
      <c r="F3639" s="334"/>
      <c r="G3639" s="332"/>
      <c r="H3639" s="334"/>
      <c r="I3639" s="334"/>
    </row>
    <row r="3640" spans="2:9" x14ac:dyDescent="0.3">
      <c r="B3640" s="332"/>
      <c r="C3640" s="333"/>
      <c r="D3640" s="332"/>
      <c r="E3640" s="333"/>
      <c r="F3640" s="334"/>
      <c r="G3640" s="332"/>
      <c r="H3640" s="334" t="s">
        <v>628</v>
      </c>
      <c r="I3640" s="334">
        <f>SUM(H3636:H3639)</f>
        <v>0</v>
      </c>
    </row>
    <row r="3641" spans="2:9" x14ac:dyDescent="0.3">
      <c r="B3641" s="332" t="s">
        <v>632</v>
      </c>
      <c r="C3641" s="333"/>
      <c r="D3641" s="332"/>
      <c r="E3641" s="333" t="s">
        <v>624</v>
      </c>
      <c r="F3641" s="334" t="s">
        <v>633</v>
      </c>
      <c r="G3641" s="332" t="s">
        <v>634</v>
      </c>
      <c r="H3641" s="334" t="s">
        <v>627</v>
      </c>
      <c r="I3641" s="334"/>
    </row>
    <row r="3642" spans="2:9" x14ac:dyDescent="0.3">
      <c r="B3642" s="332"/>
      <c r="C3642" s="333"/>
      <c r="D3642" s="332"/>
      <c r="E3642" s="332"/>
      <c r="F3642" s="332"/>
      <c r="G3642" s="332"/>
      <c r="H3642" s="332"/>
      <c r="I3642" s="332"/>
    </row>
    <row r="3643" spans="2:9" x14ac:dyDescent="0.3">
      <c r="B3643" s="332"/>
      <c r="C3643" s="333"/>
      <c r="D3643" s="332"/>
      <c r="E3643" s="333"/>
      <c r="F3643" s="336"/>
      <c r="G3643" s="334"/>
      <c r="H3643" s="334"/>
      <c r="I3643" s="334"/>
    </row>
    <row r="3644" spans="2:9" x14ac:dyDescent="0.3">
      <c r="B3644" s="332"/>
      <c r="C3644" s="333"/>
      <c r="D3644" s="332"/>
      <c r="E3644" s="333"/>
      <c r="F3644" s="334"/>
      <c r="G3644" s="332"/>
      <c r="H3644" s="334" t="s">
        <v>628</v>
      </c>
      <c r="I3644" s="334">
        <f>SUM(H3643)</f>
        <v>0</v>
      </c>
    </row>
    <row r="3645" spans="2:9" x14ac:dyDescent="0.3">
      <c r="B3645" s="332" t="s">
        <v>635</v>
      </c>
      <c r="C3645" s="333"/>
      <c r="D3645" s="332"/>
      <c r="E3645" s="333"/>
      <c r="F3645" s="334"/>
      <c r="G3645" s="332"/>
      <c r="H3645" s="334"/>
      <c r="I3645" s="334"/>
    </row>
    <row r="3646" spans="2:9" x14ac:dyDescent="0.3">
      <c r="B3646" s="332" t="s">
        <v>636</v>
      </c>
      <c r="C3646" s="333"/>
      <c r="D3646" s="332"/>
      <c r="E3646" s="333" t="s">
        <v>637</v>
      </c>
      <c r="F3646" s="334" t="s">
        <v>638</v>
      </c>
      <c r="G3646" s="332" t="s">
        <v>626</v>
      </c>
      <c r="H3646" s="334" t="s">
        <v>627</v>
      </c>
      <c r="I3646" s="334"/>
    </row>
    <row r="3647" spans="2:9" x14ac:dyDescent="0.3">
      <c r="B3647" s="332" t="s">
        <v>645</v>
      </c>
      <c r="C3647" s="333"/>
      <c r="D3647" s="332"/>
      <c r="E3647" s="337">
        <v>168000</v>
      </c>
      <c r="F3647" s="334">
        <v>1.8</v>
      </c>
      <c r="G3647" s="338">
        <v>13.745454566932787</v>
      </c>
      <c r="H3647" s="334">
        <f>E3647*F3647/G3647</f>
        <v>21999.99996562345</v>
      </c>
      <c r="I3647" s="334"/>
    </row>
    <row r="3648" spans="2:9" x14ac:dyDescent="0.3">
      <c r="B3648" s="332"/>
      <c r="C3648" s="333"/>
      <c r="D3648" s="332"/>
      <c r="E3648" s="333"/>
      <c r="F3648" s="334"/>
      <c r="G3648" s="332"/>
      <c r="H3648" s="334" t="s">
        <v>628</v>
      </c>
      <c r="I3648" s="334">
        <f>H3647</f>
        <v>21999.99996562345</v>
      </c>
    </row>
    <row r="3649" spans="2:9" x14ac:dyDescent="0.3">
      <c r="B3649" s="332"/>
      <c r="C3649" s="333"/>
      <c r="D3649" s="332"/>
      <c r="E3649" s="333"/>
      <c r="F3649" s="334"/>
      <c r="G3649" s="332"/>
      <c r="H3649" s="330" t="s">
        <v>640</v>
      </c>
      <c r="I3649" s="330">
        <f>I3648+I3640+I3633+I3644</f>
        <v>24999.99996562345</v>
      </c>
    </row>
    <row r="3651" spans="2:9" x14ac:dyDescent="0.3">
      <c r="B3651" s="339" t="s">
        <v>763</v>
      </c>
      <c r="C3651" s="339" t="s">
        <v>621</v>
      </c>
      <c r="D3651" s="341" t="s">
        <v>518</v>
      </c>
      <c r="E3651" s="339"/>
      <c r="F3651" s="340"/>
      <c r="G3651" s="340" t="s">
        <v>622</v>
      </c>
      <c r="H3651" s="340" t="s">
        <v>93</v>
      </c>
      <c r="I3651" s="340">
        <f>+ROUND(I3673,0)</f>
        <v>44000</v>
      </c>
    </row>
    <row r="3652" spans="2:9" x14ac:dyDescent="0.3">
      <c r="B3652" s="332" t="s">
        <v>623</v>
      </c>
      <c r="C3652" s="333"/>
      <c r="D3652" s="332"/>
      <c r="E3652" s="333"/>
      <c r="F3652" s="334"/>
      <c r="G3652" s="332"/>
      <c r="H3652" s="334"/>
      <c r="I3652" s="334"/>
    </row>
    <row r="3653" spans="2:9" x14ac:dyDescent="0.3">
      <c r="B3653" s="332" t="s">
        <v>271</v>
      </c>
      <c r="C3653" s="333"/>
      <c r="D3653" s="332"/>
      <c r="E3653" s="333" t="s">
        <v>624</v>
      </c>
      <c r="F3653" s="334" t="s">
        <v>625</v>
      </c>
      <c r="G3653" s="332" t="s">
        <v>626</v>
      </c>
      <c r="H3653" s="334" t="s">
        <v>627</v>
      </c>
      <c r="I3653" s="334"/>
    </row>
    <row r="3654" spans="2:9" x14ac:dyDescent="0.3">
      <c r="B3654" s="332" t="s">
        <v>642</v>
      </c>
      <c r="C3654" s="333"/>
      <c r="D3654" s="332"/>
      <c r="E3654" s="333" t="s">
        <v>644</v>
      </c>
      <c r="F3654" s="334">
        <v>1500</v>
      </c>
      <c r="G3654" s="335">
        <v>2</v>
      </c>
      <c r="H3654" s="334">
        <f>F3654*G3654</f>
        <v>3000</v>
      </c>
      <c r="I3654" s="334"/>
    </row>
    <row r="3655" spans="2:9" x14ac:dyDescent="0.3">
      <c r="B3655" s="332"/>
      <c r="C3655" s="333"/>
      <c r="D3655" s="332"/>
      <c r="E3655" s="333"/>
      <c r="F3655" s="334"/>
      <c r="G3655" s="335"/>
      <c r="H3655" s="334"/>
      <c r="I3655" s="334"/>
    </row>
    <row r="3656" spans="2:9" x14ac:dyDescent="0.3">
      <c r="B3656" s="332"/>
      <c r="C3656" s="333"/>
      <c r="D3656" s="332"/>
      <c r="E3656" s="333"/>
      <c r="F3656" s="334"/>
      <c r="G3656" s="335"/>
      <c r="H3656" s="334"/>
      <c r="I3656" s="334"/>
    </row>
    <row r="3657" spans="2:9" x14ac:dyDescent="0.3">
      <c r="B3657" s="332"/>
      <c r="C3657" s="333"/>
      <c r="D3657" s="332"/>
      <c r="E3657" s="333"/>
      <c r="F3657" s="334"/>
      <c r="G3657" s="332"/>
      <c r="H3657" s="334" t="s">
        <v>628</v>
      </c>
      <c r="I3657" s="334">
        <f>SUM(H3654:H3656)</f>
        <v>3000</v>
      </c>
    </row>
    <row r="3658" spans="2:9" x14ac:dyDescent="0.3">
      <c r="B3658" s="332" t="s">
        <v>629</v>
      </c>
      <c r="C3658" s="333"/>
      <c r="D3658" s="332"/>
      <c r="E3658" s="333"/>
      <c r="F3658" s="334"/>
      <c r="G3658" s="332"/>
      <c r="H3658" s="334"/>
      <c r="I3658" s="334"/>
    </row>
    <row r="3659" spans="2:9" x14ac:dyDescent="0.3">
      <c r="B3659" s="332" t="s">
        <v>271</v>
      </c>
      <c r="C3659" s="333"/>
      <c r="D3659" s="332"/>
      <c r="E3659" s="333" t="s">
        <v>624</v>
      </c>
      <c r="F3659" s="334" t="s">
        <v>630</v>
      </c>
      <c r="G3659" s="332" t="s">
        <v>631</v>
      </c>
      <c r="H3659" s="334" t="s">
        <v>627</v>
      </c>
      <c r="I3659" s="334"/>
    </row>
    <row r="3660" spans="2:9" x14ac:dyDescent="0.3">
      <c r="B3660" s="342" t="s">
        <v>688</v>
      </c>
      <c r="C3660" s="333"/>
      <c r="D3660" s="332"/>
      <c r="E3660" s="343" t="s">
        <v>93</v>
      </c>
      <c r="F3660" s="344">
        <v>19218</v>
      </c>
      <c r="G3660" s="345">
        <v>1.05</v>
      </c>
      <c r="H3660" s="344">
        <f>F3660*G3660</f>
        <v>20178.900000000001</v>
      </c>
      <c r="I3660" s="344"/>
    </row>
    <row r="3661" spans="2:9" x14ac:dyDescent="0.3">
      <c r="B3661" s="332"/>
      <c r="C3661" s="333"/>
      <c r="D3661" s="332"/>
      <c r="E3661" s="333"/>
      <c r="F3661" s="334"/>
      <c r="G3661" s="332"/>
      <c r="H3661" s="334"/>
      <c r="I3661" s="334"/>
    </row>
    <row r="3662" spans="2:9" x14ac:dyDescent="0.3">
      <c r="B3662" s="332"/>
      <c r="C3662" s="333"/>
      <c r="D3662" s="332"/>
      <c r="E3662" s="333"/>
      <c r="F3662" s="334"/>
      <c r="G3662" s="332"/>
      <c r="H3662" s="334"/>
      <c r="I3662" s="334"/>
    </row>
    <row r="3663" spans="2:9" x14ac:dyDescent="0.3">
      <c r="B3663" s="332"/>
      <c r="C3663" s="333"/>
      <c r="D3663" s="332"/>
      <c r="E3663" s="333"/>
      <c r="F3663" s="334"/>
      <c r="G3663" s="332"/>
      <c r="H3663" s="334"/>
      <c r="I3663" s="334"/>
    </row>
    <row r="3664" spans="2:9" x14ac:dyDescent="0.3">
      <c r="B3664" s="332"/>
      <c r="C3664" s="333"/>
      <c r="D3664" s="332"/>
      <c r="E3664" s="333"/>
      <c r="F3664" s="334"/>
      <c r="G3664" s="332"/>
      <c r="H3664" s="334" t="s">
        <v>628</v>
      </c>
      <c r="I3664" s="334">
        <f>SUM(H3660:H3663)</f>
        <v>20178.900000000001</v>
      </c>
    </row>
    <row r="3665" spans="2:9" x14ac:dyDescent="0.3">
      <c r="B3665" s="332" t="s">
        <v>632</v>
      </c>
      <c r="C3665" s="333"/>
      <c r="D3665" s="332"/>
      <c r="E3665" s="333" t="s">
        <v>624</v>
      </c>
      <c r="F3665" s="334" t="s">
        <v>633</v>
      </c>
      <c r="G3665" s="332" t="s">
        <v>634</v>
      </c>
      <c r="H3665" s="334" t="s">
        <v>627</v>
      </c>
      <c r="I3665" s="334"/>
    </row>
    <row r="3666" spans="2:9" x14ac:dyDescent="0.3">
      <c r="B3666" s="332"/>
      <c r="C3666" s="333"/>
      <c r="D3666" s="332"/>
      <c r="E3666" s="332"/>
      <c r="F3666" s="332"/>
      <c r="G3666" s="332"/>
      <c r="H3666" s="332"/>
      <c r="I3666" s="332"/>
    </row>
    <row r="3667" spans="2:9" x14ac:dyDescent="0.3">
      <c r="B3667" s="332"/>
      <c r="C3667" s="333"/>
      <c r="D3667" s="332"/>
      <c r="E3667" s="333"/>
      <c r="F3667" s="336"/>
      <c r="G3667" s="334"/>
      <c r="H3667" s="334"/>
      <c r="I3667" s="334"/>
    </row>
    <row r="3668" spans="2:9" x14ac:dyDescent="0.3">
      <c r="B3668" s="332"/>
      <c r="C3668" s="333"/>
      <c r="D3668" s="332"/>
      <c r="E3668" s="333"/>
      <c r="F3668" s="334"/>
      <c r="G3668" s="332"/>
      <c r="H3668" s="334" t="s">
        <v>628</v>
      </c>
      <c r="I3668" s="334">
        <f>SUM(H3667)</f>
        <v>0</v>
      </c>
    </row>
    <row r="3669" spans="2:9" x14ac:dyDescent="0.3">
      <c r="B3669" s="332" t="s">
        <v>635</v>
      </c>
      <c r="C3669" s="333"/>
      <c r="D3669" s="332"/>
      <c r="E3669" s="333"/>
      <c r="F3669" s="334"/>
      <c r="G3669" s="332"/>
      <c r="H3669" s="334"/>
      <c r="I3669" s="334"/>
    </row>
    <row r="3670" spans="2:9" x14ac:dyDescent="0.3">
      <c r="B3670" s="332" t="s">
        <v>636</v>
      </c>
      <c r="C3670" s="333"/>
      <c r="D3670" s="332"/>
      <c r="E3670" s="333" t="s">
        <v>637</v>
      </c>
      <c r="F3670" s="334" t="s">
        <v>638</v>
      </c>
      <c r="G3670" s="332" t="s">
        <v>626</v>
      </c>
      <c r="H3670" s="334" t="s">
        <v>627</v>
      </c>
      <c r="I3670" s="334"/>
    </row>
    <row r="3671" spans="2:9" x14ac:dyDescent="0.3">
      <c r="B3671" s="332" t="s">
        <v>645</v>
      </c>
      <c r="C3671" s="333"/>
      <c r="D3671" s="332"/>
      <c r="E3671" s="337">
        <v>168000</v>
      </c>
      <c r="F3671" s="334">
        <v>1.8</v>
      </c>
      <c r="G3671" s="338">
        <v>14.523728332903595</v>
      </c>
      <c r="H3671" s="334">
        <f>E3671*F3671/G3671</f>
        <v>20821.100000535742</v>
      </c>
      <c r="I3671" s="334"/>
    </row>
    <row r="3672" spans="2:9" x14ac:dyDescent="0.3">
      <c r="B3672" s="332"/>
      <c r="C3672" s="333"/>
      <c r="D3672" s="332"/>
      <c r="E3672" s="333"/>
      <c r="F3672" s="334"/>
      <c r="G3672" s="332"/>
      <c r="H3672" s="334" t="s">
        <v>628</v>
      </c>
      <c r="I3672" s="334">
        <f>H3671</f>
        <v>20821.100000535742</v>
      </c>
    </row>
    <row r="3673" spans="2:9" x14ac:dyDescent="0.3">
      <c r="B3673" s="332"/>
      <c r="C3673" s="333"/>
      <c r="D3673" s="332"/>
      <c r="E3673" s="333"/>
      <c r="F3673" s="334"/>
      <c r="G3673" s="332"/>
      <c r="H3673" s="330" t="s">
        <v>640</v>
      </c>
      <c r="I3673" s="330">
        <f>I3672+I3664+I3657+I3668</f>
        <v>44000.000000535743</v>
      </c>
    </row>
    <row r="3675" spans="2:9" ht="57.6" x14ac:dyDescent="0.3">
      <c r="B3675" s="339" t="s">
        <v>681</v>
      </c>
      <c r="C3675" s="339" t="s">
        <v>621</v>
      </c>
      <c r="D3675" s="341" t="s">
        <v>98</v>
      </c>
      <c r="E3675" s="339"/>
      <c r="F3675" s="340"/>
      <c r="G3675" s="340" t="s">
        <v>622</v>
      </c>
      <c r="H3675" s="340" t="s">
        <v>33</v>
      </c>
      <c r="I3675" s="340">
        <f>+ROUND(I3697,0)</f>
        <v>565781</v>
      </c>
    </row>
    <row r="3676" spans="2:9" x14ac:dyDescent="0.3">
      <c r="B3676" s="332" t="s">
        <v>623</v>
      </c>
      <c r="C3676" s="333"/>
      <c r="D3676" s="332"/>
      <c r="E3676" s="333"/>
      <c r="F3676" s="334"/>
      <c r="G3676" s="332"/>
      <c r="H3676" s="334"/>
      <c r="I3676" s="334"/>
    </row>
    <row r="3677" spans="2:9" x14ac:dyDescent="0.3">
      <c r="B3677" s="332" t="s">
        <v>271</v>
      </c>
      <c r="C3677" s="333"/>
      <c r="D3677" s="332"/>
      <c r="E3677" s="333" t="s">
        <v>624</v>
      </c>
      <c r="F3677" s="334" t="s">
        <v>625</v>
      </c>
      <c r="G3677" s="332" t="s">
        <v>626</v>
      </c>
      <c r="H3677" s="334" t="s">
        <v>627</v>
      </c>
      <c r="I3677" s="334"/>
    </row>
    <row r="3678" spans="2:9" x14ac:dyDescent="0.3">
      <c r="B3678" s="332" t="s">
        <v>642</v>
      </c>
      <c r="C3678" s="333"/>
      <c r="D3678" s="332"/>
      <c r="E3678" s="333" t="s">
        <v>644</v>
      </c>
      <c r="F3678" s="334">
        <v>1500</v>
      </c>
      <c r="G3678" s="335">
        <v>2</v>
      </c>
      <c r="H3678" s="334">
        <f>F3678*G3678</f>
        <v>3000</v>
      </c>
      <c r="I3678" s="334"/>
    </row>
    <row r="3679" spans="2:9" x14ac:dyDescent="0.3">
      <c r="B3679" s="332"/>
      <c r="C3679" s="333"/>
      <c r="D3679" s="332"/>
      <c r="E3679" s="333"/>
      <c r="F3679" s="334"/>
      <c r="G3679" s="335"/>
      <c r="H3679" s="334"/>
      <c r="I3679" s="334"/>
    </row>
    <row r="3680" spans="2:9" x14ac:dyDescent="0.3">
      <c r="B3680" s="332"/>
      <c r="C3680" s="333"/>
      <c r="D3680" s="332"/>
      <c r="E3680" s="333"/>
      <c r="F3680" s="334"/>
      <c r="G3680" s="335"/>
      <c r="H3680" s="334"/>
      <c r="I3680" s="334"/>
    </row>
    <row r="3681" spans="2:9" x14ac:dyDescent="0.3">
      <c r="B3681" s="332"/>
      <c r="C3681" s="333"/>
      <c r="D3681" s="332"/>
      <c r="E3681" s="333"/>
      <c r="F3681" s="334"/>
      <c r="G3681" s="332"/>
      <c r="H3681" s="334" t="s">
        <v>628</v>
      </c>
      <c r="I3681" s="334">
        <f>SUM(H3678:H3680)</f>
        <v>3000</v>
      </c>
    </row>
    <row r="3682" spans="2:9" x14ac:dyDescent="0.3">
      <c r="B3682" s="332" t="s">
        <v>629</v>
      </c>
      <c r="C3682" s="333"/>
      <c r="D3682" s="332"/>
      <c r="E3682" s="333"/>
      <c r="F3682" s="334"/>
      <c r="G3682" s="332"/>
      <c r="H3682" s="334"/>
      <c r="I3682" s="334"/>
    </row>
    <row r="3683" spans="2:9" x14ac:dyDescent="0.3">
      <c r="B3683" s="332" t="s">
        <v>271</v>
      </c>
      <c r="C3683" s="333"/>
      <c r="D3683" s="332"/>
      <c r="E3683" s="333" t="s">
        <v>624</v>
      </c>
      <c r="F3683" s="334" t="s">
        <v>630</v>
      </c>
      <c r="G3683" s="332" t="s">
        <v>631</v>
      </c>
      <c r="H3683" s="334" t="s">
        <v>627</v>
      </c>
      <c r="I3683" s="334"/>
    </row>
    <row r="3684" spans="2:9" ht="86.4" x14ac:dyDescent="0.3">
      <c r="B3684" s="342" t="s">
        <v>690</v>
      </c>
      <c r="C3684" s="333"/>
      <c r="D3684" s="332"/>
      <c r="E3684" s="343" t="s">
        <v>33</v>
      </c>
      <c r="F3684" s="344">
        <v>499900</v>
      </c>
      <c r="G3684" s="345">
        <v>1</v>
      </c>
      <c r="H3684" s="344">
        <f>F3684*G3684</f>
        <v>499900</v>
      </c>
      <c r="I3684" s="344"/>
    </row>
    <row r="3685" spans="2:9" x14ac:dyDescent="0.3">
      <c r="B3685" s="332"/>
      <c r="C3685" s="333"/>
      <c r="D3685" s="332"/>
      <c r="E3685" s="333"/>
      <c r="F3685" s="334"/>
      <c r="G3685" s="332"/>
      <c r="H3685" s="334"/>
      <c r="I3685" s="334"/>
    </row>
    <row r="3686" spans="2:9" x14ac:dyDescent="0.3">
      <c r="B3686" s="332"/>
      <c r="C3686" s="333"/>
      <c r="D3686" s="332"/>
      <c r="E3686" s="333"/>
      <c r="F3686" s="334"/>
      <c r="G3686" s="332"/>
      <c r="H3686" s="334"/>
      <c r="I3686" s="334"/>
    </row>
    <row r="3687" spans="2:9" x14ac:dyDescent="0.3">
      <c r="B3687" s="332"/>
      <c r="C3687" s="333"/>
      <c r="D3687" s="332"/>
      <c r="E3687" s="333"/>
      <c r="F3687" s="334"/>
      <c r="G3687" s="332"/>
      <c r="H3687" s="334"/>
      <c r="I3687" s="334"/>
    </row>
    <row r="3688" spans="2:9" x14ac:dyDescent="0.3">
      <c r="B3688" s="332"/>
      <c r="C3688" s="333"/>
      <c r="D3688" s="332"/>
      <c r="E3688" s="333"/>
      <c r="F3688" s="334"/>
      <c r="G3688" s="332"/>
      <c r="H3688" s="334" t="s">
        <v>628</v>
      </c>
      <c r="I3688" s="334">
        <f>SUM(H3684:H3687)</f>
        <v>499900</v>
      </c>
    </row>
    <row r="3689" spans="2:9" x14ac:dyDescent="0.3">
      <c r="B3689" s="332" t="s">
        <v>632</v>
      </c>
      <c r="C3689" s="333"/>
      <c r="D3689" s="332"/>
      <c r="E3689" s="333" t="s">
        <v>624</v>
      </c>
      <c r="F3689" s="334" t="s">
        <v>633</v>
      </c>
      <c r="G3689" s="332" t="s">
        <v>634</v>
      </c>
      <c r="H3689" s="334" t="s">
        <v>627</v>
      </c>
      <c r="I3689" s="334"/>
    </row>
    <row r="3690" spans="2:9" x14ac:dyDescent="0.3">
      <c r="B3690" s="332"/>
      <c r="C3690" s="333"/>
      <c r="D3690" s="332"/>
      <c r="E3690" s="332"/>
      <c r="F3690" s="332"/>
      <c r="G3690" s="332"/>
      <c r="H3690" s="332"/>
      <c r="I3690" s="332"/>
    </row>
    <row r="3691" spans="2:9" x14ac:dyDescent="0.3">
      <c r="B3691" s="332"/>
      <c r="C3691" s="333"/>
      <c r="D3691" s="332"/>
      <c r="E3691" s="333"/>
      <c r="F3691" s="336"/>
      <c r="G3691" s="334"/>
      <c r="H3691" s="334"/>
      <c r="I3691" s="334"/>
    </row>
    <row r="3692" spans="2:9" x14ac:dyDescent="0.3">
      <c r="B3692" s="332"/>
      <c r="C3692" s="333"/>
      <c r="D3692" s="332"/>
      <c r="E3692" s="333"/>
      <c r="F3692" s="334"/>
      <c r="G3692" s="332"/>
      <c r="H3692" s="334" t="s">
        <v>628</v>
      </c>
      <c r="I3692" s="334">
        <f>SUM(H3691)</f>
        <v>0</v>
      </c>
    </row>
    <row r="3693" spans="2:9" x14ac:dyDescent="0.3">
      <c r="B3693" s="332" t="s">
        <v>635</v>
      </c>
      <c r="C3693" s="333"/>
      <c r="D3693" s="332"/>
      <c r="E3693" s="333"/>
      <c r="F3693" s="334"/>
      <c r="G3693" s="332"/>
      <c r="H3693" s="334"/>
      <c r="I3693" s="334"/>
    </row>
    <row r="3694" spans="2:9" x14ac:dyDescent="0.3">
      <c r="B3694" s="332" t="s">
        <v>636</v>
      </c>
      <c r="C3694" s="333"/>
      <c r="D3694" s="332"/>
      <c r="E3694" s="333" t="s">
        <v>637</v>
      </c>
      <c r="F3694" s="334" t="s">
        <v>638</v>
      </c>
      <c r="G3694" s="332" t="s">
        <v>626</v>
      </c>
      <c r="H3694" s="334" t="s">
        <v>627</v>
      </c>
      <c r="I3694" s="334"/>
    </row>
    <row r="3695" spans="2:9" x14ac:dyDescent="0.3">
      <c r="B3695" s="332" t="s">
        <v>645</v>
      </c>
      <c r="C3695" s="333"/>
      <c r="D3695" s="332"/>
      <c r="E3695" s="337">
        <v>168000</v>
      </c>
      <c r="F3695" s="334">
        <v>1.8</v>
      </c>
      <c r="G3695" s="338">
        <v>4.8090838249874892</v>
      </c>
      <c r="H3695" s="334">
        <f>E3695*F3695/G3695</f>
        <v>62881.000000199972</v>
      </c>
      <c r="I3695" s="334"/>
    </row>
    <row r="3696" spans="2:9" x14ac:dyDescent="0.3">
      <c r="B3696" s="332"/>
      <c r="C3696" s="333"/>
      <c r="D3696" s="332"/>
      <c r="E3696" s="333"/>
      <c r="F3696" s="334"/>
      <c r="G3696" s="332"/>
      <c r="H3696" s="334" t="s">
        <v>628</v>
      </c>
      <c r="I3696" s="334">
        <f>H3695</f>
        <v>62881.000000199972</v>
      </c>
    </row>
    <row r="3697" spans="2:9" x14ac:dyDescent="0.3">
      <c r="B3697" s="332"/>
      <c r="C3697" s="333"/>
      <c r="D3697" s="332"/>
      <c r="E3697" s="333"/>
      <c r="F3697" s="334"/>
      <c r="G3697" s="332"/>
      <c r="H3697" s="330" t="s">
        <v>640</v>
      </c>
      <c r="I3697" s="330">
        <f>I3696+I3688+I3681+I3692</f>
        <v>565781.0000002</v>
      </c>
    </row>
    <row r="3699" spans="2:9" ht="57.6" x14ac:dyDescent="0.3">
      <c r="B3699" s="339" t="s">
        <v>682</v>
      </c>
      <c r="C3699" s="339" t="s">
        <v>621</v>
      </c>
      <c r="D3699" s="341" t="s">
        <v>498</v>
      </c>
      <c r="E3699" s="339"/>
      <c r="F3699" s="340"/>
      <c r="G3699" s="340" t="s">
        <v>622</v>
      </c>
      <c r="H3699" s="340" t="s">
        <v>33</v>
      </c>
      <c r="I3699" s="340">
        <f>+ROUND(I3721,0)</f>
        <v>250287</v>
      </c>
    </row>
    <row r="3700" spans="2:9" x14ac:dyDescent="0.3">
      <c r="B3700" s="332" t="s">
        <v>623</v>
      </c>
      <c r="C3700" s="333"/>
      <c r="D3700" s="332"/>
      <c r="E3700" s="333"/>
      <c r="F3700" s="334"/>
      <c r="G3700" s="332"/>
      <c r="H3700" s="334"/>
      <c r="I3700" s="334"/>
    </row>
    <row r="3701" spans="2:9" x14ac:dyDescent="0.3">
      <c r="B3701" s="332" t="s">
        <v>271</v>
      </c>
      <c r="C3701" s="333"/>
      <c r="D3701" s="332"/>
      <c r="E3701" s="333" t="s">
        <v>624</v>
      </c>
      <c r="F3701" s="334" t="s">
        <v>625</v>
      </c>
      <c r="G3701" s="332" t="s">
        <v>626</v>
      </c>
      <c r="H3701" s="334" t="s">
        <v>627</v>
      </c>
      <c r="I3701" s="334"/>
    </row>
    <row r="3702" spans="2:9" x14ac:dyDescent="0.3">
      <c r="B3702" s="332" t="s">
        <v>642</v>
      </c>
      <c r="C3702" s="333"/>
      <c r="D3702" s="332"/>
      <c r="E3702" s="333" t="s">
        <v>644</v>
      </c>
      <c r="F3702" s="334">
        <v>1500</v>
      </c>
      <c r="G3702" s="335">
        <v>2</v>
      </c>
      <c r="H3702" s="334">
        <f>F3702*G3702</f>
        <v>3000</v>
      </c>
      <c r="I3702" s="334"/>
    </row>
    <row r="3703" spans="2:9" x14ac:dyDescent="0.3">
      <c r="B3703" s="332"/>
      <c r="C3703" s="333"/>
      <c r="D3703" s="332"/>
      <c r="E3703" s="333"/>
      <c r="F3703" s="334"/>
      <c r="G3703" s="335"/>
      <c r="H3703" s="334"/>
      <c r="I3703" s="334"/>
    </row>
    <row r="3704" spans="2:9" x14ac:dyDescent="0.3">
      <c r="B3704" s="332"/>
      <c r="C3704" s="333"/>
      <c r="D3704" s="332"/>
      <c r="E3704" s="333"/>
      <c r="F3704" s="334"/>
      <c r="G3704" s="335"/>
      <c r="H3704" s="334"/>
      <c r="I3704" s="334"/>
    </row>
    <row r="3705" spans="2:9" x14ac:dyDescent="0.3">
      <c r="B3705" s="332"/>
      <c r="C3705" s="333"/>
      <c r="D3705" s="332"/>
      <c r="E3705" s="333"/>
      <c r="F3705" s="334"/>
      <c r="G3705" s="332"/>
      <c r="H3705" s="334" t="s">
        <v>628</v>
      </c>
      <c r="I3705" s="334">
        <f>SUM(H3702:H3704)</f>
        <v>3000</v>
      </c>
    </row>
    <row r="3706" spans="2:9" x14ac:dyDescent="0.3">
      <c r="B3706" s="332" t="s">
        <v>629</v>
      </c>
      <c r="C3706" s="333"/>
      <c r="D3706" s="332"/>
      <c r="E3706" s="333"/>
      <c r="F3706" s="334"/>
      <c r="G3706" s="332"/>
      <c r="H3706" s="334"/>
      <c r="I3706" s="334"/>
    </row>
    <row r="3707" spans="2:9" x14ac:dyDescent="0.3">
      <c r="B3707" s="332" t="s">
        <v>271</v>
      </c>
      <c r="C3707" s="333"/>
      <c r="D3707" s="332"/>
      <c r="E3707" s="333" t="s">
        <v>624</v>
      </c>
      <c r="F3707" s="334" t="s">
        <v>630</v>
      </c>
      <c r="G3707" s="332" t="s">
        <v>631</v>
      </c>
      <c r="H3707" s="334" t="s">
        <v>627</v>
      </c>
      <c r="I3707" s="334"/>
    </row>
    <row r="3708" spans="2:9" ht="86.4" x14ac:dyDescent="0.3">
      <c r="B3708" s="342" t="s">
        <v>692</v>
      </c>
      <c r="C3708" s="333"/>
      <c r="D3708" s="332"/>
      <c r="E3708" s="343" t="s">
        <v>33</v>
      </c>
      <c r="F3708" s="344">
        <v>217999</v>
      </c>
      <c r="G3708" s="345">
        <v>1</v>
      </c>
      <c r="H3708" s="344">
        <f>F3708*G3708</f>
        <v>217999</v>
      </c>
      <c r="I3708" s="344"/>
    </row>
    <row r="3709" spans="2:9" x14ac:dyDescent="0.3">
      <c r="B3709" s="332"/>
      <c r="C3709" s="333"/>
      <c r="D3709" s="332"/>
      <c r="E3709" s="333"/>
      <c r="F3709" s="334"/>
      <c r="G3709" s="332"/>
      <c r="H3709" s="334"/>
      <c r="I3709" s="334"/>
    </row>
    <row r="3710" spans="2:9" x14ac:dyDescent="0.3">
      <c r="B3710" s="332"/>
      <c r="C3710" s="333"/>
      <c r="D3710" s="332"/>
      <c r="E3710" s="333"/>
      <c r="F3710" s="334"/>
      <c r="G3710" s="332"/>
      <c r="H3710" s="334"/>
      <c r="I3710" s="334"/>
    </row>
    <row r="3711" spans="2:9" x14ac:dyDescent="0.3">
      <c r="B3711" s="332"/>
      <c r="C3711" s="333"/>
      <c r="D3711" s="332"/>
      <c r="E3711" s="333"/>
      <c r="F3711" s="334"/>
      <c r="G3711" s="332"/>
      <c r="H3711" s="334"/>
      <c r="I3711" s="334"/>
    </row>
    <row r="3712" spans="2:9" x14ac:dyDescent="0.3">
      <c r="B3712" s="332"/>
      <c r="C3712" s="333"/>
      <c r="D3712" s="332"/>
      <c r="E3712" s="333"/>
      <c r="F3712" s="334"/>
      <c r="G3712" s="332"/>
      <c r="H3712" s="334" t="s">
        <v>628</v>
      </c>
      <c r="I3712" s="334">
        <f>SUM(H3708:H3711)</f>
        <v>217999</v>
      </c>
    </row>
    <row r="3713" spans="2:9" x14ac:dyDescent="0.3">
      <c r="B3713" s="332" t="s">
        <v>632</v>
      </c>
      <c r="C3713" s="333"/>
      <c r="D3713" s="332"/>
      <c r="E3713" s="333" t="s">
        <v>624</v>
      </c>
      <c r="F3713" s="334" t="s">
        <v>633</v>
      </c>
      <c r="G3713" s="332" t="s">
        <v>634</v>
      </c>
      <c r="H3713" s="334" t="s">
        <v>627</v>
      </c>
      <c r="I3713" s="334"/>
    </row>
    <row r="3714" spans="2:9" x14ac:dyDescent="0.3">
      <c r="B3714" s="332"/>
      <c r="C3714" s="333"/>
      <c r="D3714" s="332"/>
      <c r="E3714" s="332"/>
      <c r="F3714" s="332"/>
      <c r="G3714" s="332"/>
      <c r="H3714" s="332"/>
      <c r="I3714" s="332"/>
    </row>
    <row r="3715" spans="2:9" x14ac:dyDescent="0.3">
      <c r="B3715" s="332"/>
      <c r="C3715" s="333"/>
      <c r="D3715" s="332"/>
      <c r="E3715" s="333"/>
      <c r="F3715" s="336"/>
      <c r="G3715" s="334"/>
      <c r="H3715" s="334"/>
      <c r="I3715" s="334"/>
    </row>
    <row r="3716" spans="2:9" x14ac:dyDescent="0.3">
      <c r="B3716" s="332"/>
      <c r="C3716" s="333"/>
      <c r="D3716" s="332"/>
      <c r="E3716" s="333"/>
      <c r="F3716" s="334"/>
      <c r="G3716" s="332"/>
      <c r="H3716" s="334" t="s">
        <v>628</v>
      </c>
      <c r="I3716" s="334">
        <f>SUM(H3715)</f>
        <v>0</v>
      </c>
    </row>
    <row r="3717" spans="2:9" x14ac:dyDescent="0.3">
      <c r="B3717" s="332" t="s">
        <v>635</v>
      </c>
      <c r="C3717" s="333"/>
      <c r="D3717" s="332"/>
      <c r="E3717" s="333"/>
      <c r="F3717" s="334"/>
      <c r="G3717" s="332"/>
      <c r="H3717" s="334"/>
      <c r="I3717" s="334"/>
    </row>
    <row r="3718" spans="2:9" x14ac:dyDescent="0.3">
      <c r="B3718" s="332" t="s">
        <v>636</v>
      </c>
      <c r="C3718" s="333"/>
      <c r="D3718" s="332"/>
      <c r="E3718" s="333" t="s">
        <v>637</v>
      </c>
      <c r="F3718" s="334" t="s">
        <v>638</v>
      </c>
      <c r="G3718" s="332" t="s">
        <v>626</v>
      </c>
      <c r="H3718" s="334" t="s">
        <v>627</v>
      </c>
      <c r="I3718" s="334"/>
    </row>
    <row r="3719" spans="2:9" x14ac:dyDescent="0.3">
      <c r="B3719" s="332" t="s">
        <v>645</v>
      </c>
      <c r="C3719" s="333"/>
      <c r="D3719" s="332"/>
      <c r="E3719" s="337">
        <v>168000</v>
      </c>
      <c r="F3719" s="334">
        <v>1.8</v>
      </c>
      <c r="G3719" s="338">
        <v>10.325047527328291</v>
      </c>
      <c r="H3719" s="334">
        <f>E3719*F3719/G3719</f>
        <v>29288.000776714005</v>
      </c>
      <c r="I3719" s="334"/>
    </row>
    <row r="3720" spans="2:9" x14ac:dyDescent="0.3">
      <c r="B3720" s="332"/>
      <c r="C3720" s="333"/>
      <c r="D3720" s="332"/>
      <c r="E3720" s="333"/>
      <c r="F3720" s="334"/>
      <c r="G3720" s="332"/>
      <c r="H3720" s="334" t="s">
        <v>628</v>
      </c>
      <c r="I3720" s="334">
        <f>H3719</f>
        <v>29288.000776714005</v>
      </c>
    </row>
    <row r="3721" spans="2:9" x14ac:dyDescent="0.3">
      <c r="B3721" s="332"/>
      <c r="C3721" s="333"/>
      <c r="D3721" s="332"/>
      <c r="E3721" s="333"/>
      <c r="F3721" s="334"/>
      <c r="G3721" s="332"/>
      <c r="H3721" s="330" t="s">
        <v>640</v>
      </c>
      <c r="I3721" s="330">
        <f>I3720+I3712+I3705+I3716</f>
        <v>250287.00077671401</v>
      </c>
    </row>
    <row r="3724" spans="2:9" ht="43.2" x14ac:dyDescent="0.3">
      <c r="B3724" s="339" t="s">
        <v>684</v>
      </c>
      <c r="C3724" s="339" t="s">
        <v>621</v>
      </c>
      <c r="D3724" s="341" t="s">
        <v>766</v>
      </c>
      <c r="E3724" s="339"/>
      <c r="F3724" s="340"/>
      <c r="G3724" s="340" t="s">
        <v>622</v>
      </c>
      <c r="H3724" s="340" t="s">
        <v>60</v>
      </c>
      <c r="I3724" s="340">
        <f>+ROUND(I3746,0)</f>
        <v>98545</v>
      </c>
    </row>
    <row r="3725" spans="2:9" x14ac:dyDescent="0.3">
      <c r="B3725" s="332" t="s">
        <v>623</v>
      </c>
      <c r="C3725" s="333"/>
      <c r="D3725" s="332"/>
      <c r="E3725" s="333"/>
      <c r="F3725" s="334"/>
      <c r="G3725" s="332"/>
      <c r="H3725" s="334"/>
      <c r="I3725" s="334"/>
    </row>
    <row r="3726" spans="2:9" x14ac:dyDescent="0.3">
      <c r="B3726" s="332" t="s">
        <v>271</v>
      </c>
      <c r="C3726" s="333"/>
      <c r="D3726" s="332"/>
      <c r="E3726" s="333" t="s">
        <v>624</v>
      </c>
      <c r="F3726" s="334" t="s">
        <v>625</v>
      </c>
      <c r="G3726" s="332" t="s">
        <v>626</v>
      </c>
      <c r="H3726" s="334" t="s">
        <v>627</v>
      </c>
      <c r="I3726" s="334"/>
    </row>
    <row r="3727" spans="2:9" x14ac:dyDescent="0.3">
      <c r="B3727" s="332" t="s">
        <v>642</v>
      </c>
      <c r="C3727" s="333"/>
      <c r="D3727" s="332"/>
      <c r="E3727" s="333" t="s">
        <v>644</v>
      </c>
      <c r="F3727" s="334">
        <v>1500</v>
      </c>
      <c r="G3727" s="335">
        <v>4</v>
      </c>
      <c r="H3727" s="334">
        <f>F3727*G3727</f>
        <v>6000</v>
      </c>
      <c r="I3727" s="334"/>
    </row>
    <row r="3728" spans="2:9" x14ac:dyDescent="0.3">
      <c r="B3728" s="332"/>
      <c r="C3728" s="333"/>
      <c r="D3728" s="332"/>
      <c r="E3728" s="333"/>
      <c r="F3728" s="334"/>
      <c r="G3728" s="335"/>
      <c r="H3728" s="334"/>
      <c r="I3728" s="334"/>
    </row>
    <row r="3729" spans="2:9" x14ac:dyDescent="0.3">
      <c r="B3729" s="332"/>
      <c r="C3729" s="333"/>
      <c r="D3729" s="332"/>
      <c r="E3729" s="333"/>
      <c r="F3729" s="334"/>
      <c r="G3729" s="335"/>
      <c r="H3729" s="334"/>
      <c r="I3729" s="334"/>
    </row>
    <row r="3730" spans="2:9" x14ac:dyDescent="0.3">
      <c r="B3730" s="332"/>
      <c r="C3730" s="333"/>
      <c r="D3730" s="332"/>
      <c r="E3730" s="333"/>
      <c r="F3730" s="334"/>
      <c r="G3730" s="332"/>
      <c r="H3730" s="334" t="s">
        <v>628</v>
      </c>
      <c r="I3730" s="334">
        <f>SUM(H3727:H3729)</f>
        <v>6000</v>
      </c>
    </row>
    <row r="3731" spans="2:9" x14ac:dyDescent="0.3">
      <c r="B3731" s="332" t="s">
        <v>629</v>
      </c>
      <c r="C3731" s="333"/>
      <c r="D3731" s="332"/>
      <c r="E3731" s="333"/>
      <c r="F3731" s="334"/>
      <c r="G3731" s="332"/>
      <c r="H3731" s="334"/>
      <c r="I3731" s="334"/>
    </row>
    <row r="3732" spans="2:9" x14ac:dyDescent="0.3">
      <c r="B3732" s="332" t="s">
        <v>271</v>
      </c>
      <c r="C3732" s="333"/>
      <c r="D3732" s="332"/>
      <c r="E3732" s="333" t="s">
        <v>624</v>
      </c>
      <c r="F3732" s="334" t="s">
        <v>630</v>
      </c>
      <c r="G3732" s="332" t="s">
        <v>631</v>
      </c>
      <c r="H3732" s="334" t="s">
        <v>627</v>
      </c>
      <c r="I3732" s="334"/>
    </row>
    <row r="3733" spans="2:9" ht="43.2" x14ac:dyDescent="0.3">
      <c r="B3733" s="356" t="s">
        <v>767</v>
      </c>
      <c r="C3733" s="333"/>
      <c r="D3733" s="332"/>
      <c r="E3733" s="357" t="s">
        <v>60</v>
      </c>
      <c r="F3733" s="344">
        <v>49900</v>
      </c>
      <c r="G3733" s="345">
        <v>1.1000000000000001</v>
      </c>
      <c r="H3733" s="344">
        <f>F3733*G3733</f>
        <v>54890.000000000007</v>
      </c>
      <c r="I3733" s="344"/>
    </row>
    <row r="3734" spans="2:9" x14ac:dyDescent="0.3">
      <c r="B3734" s="354" t="s">
        <v>765</v>
      </c>
      <c r="C3734" s="333"/>
      <c r="D3734" s="332"/>
      <c r="E3734" s="355" t="s">
        <v>159</v>
      </c>
      <c r="F3734" s="334">
        <v>2100</v>
      </c>
      <c r="G3734" s="332">
        <v>3</v>
      </c>
      <c r="H3734" s="334">
        <f>F3734*G3734</f>
        <v>6300</v>
      </c>
      <c r="I3734" s="334"/>
    </row>
    <row r="3735" spans="2:9" x14ac:dyDescent="0.3">
      <c r="B3735" s="332"/>
      <c r="C3735" s="333"/>
      <c r="D3735" s="332"/>
      <c r="E3735" s="333"/>
      <c r="F3735" s="334"/>
      <c r="G3735" s="332"/>
      <c r="H3735" s="334"/>
      <c r="I3735" s="334"/>
    </row>
    <row r="3736" spans="2:9" x14ac:dyDescent="0.3">
      <c r="B3736" s="332"/>
      <c r="C3736" s="333"/>
      <c r="D3736" s="332"/>
      <c r="E3736" s="333"/>
      <c r="F3736" s="334"/>
      <c r="G3736" s="332"/>
      <c r="H3736" s="334"/>
      <c r="I3736" s="334"/>
    </row>
    <row r="3737" spans="2:9" x14ac:dyDescent="0.3">
      <c r="B3737" s="332"/>
      <c r="C3737" s="333"/>
      <c r="D3737" s="332"/>
      <c r="E3737" s="333"/>
      <c r="F3737" s="334"/>
      <c r="G3737" s="332"/>
      <c r="H3737" s="334" t="s">
        <v>628</v>
      </c>
      <c r="I3737" s="334">
        <f>SUM(H3733:H3736)</f>
        <v>61190.000000000007</v>
      </c>
    </row>
    <row r="3738" spans="2:9" x14ac:dyDescent="0.3">
      <c r="B3738" s="332" t="s">
        <v>632</v>
      </c>
      <c r="C3738" s="333"/>
      <c r="D3738" s="332"/>
      <c r="E3738" s="333" t="s">
        <v>624</v>
      </c>
      <c r="F3738" s="334" t="s">
        <v>633</v>
      </c>
      <c r="G3738" s="332" t="s">
        <v>634</v>
      </c>
      <c r="H3738" s="334" t="s">
        <v>627</v>
      </c>
      <c r="I3738" s="334"/>
    </row>
    <row r="3739" spans="2:9" x14ac:dyDescent="0.3">
      <c r="B3739" s="332"/>
      <c r="C3739" s="333"/>
      <c r="D3739" s="332"/>
      <c r="E3739" s="332"/>
      <c r="F3739" s="332"/>
      <c r="G3739" s="332"/>
      <c r="H3739" s="332"/>
      <c r="I3739" s="332"/>
    </row>
    <row r="3740" spans="2:9" x14ac:dyDescent="0.3">
      <c r="B3740" s="332"/>
      <c r="C3740" s="333"/>
      <c r="D3740" s="332"/>
      <c r="E3740" s="333"/>
      <c r="F3740" s="336"/>
      <c r="G3740" s="334"/>
      <c r="H3740" s="334"/>
      <c r="I3740" s="334"/>
    </row>
    <row r="3741" spans="2:9" x14ac:dyDescent="0.3">
      <c r="B3741" s="332"/>
      <c r="C3741" s="333"/>
      <c r="D3741" s="332"/>
      <c r="E3741" s="333"/>
      <c r="F3741" s="334"/>
      <c r="G3741" s="332"/>
      <c r="H3741" s="334" t="s">
        <v>628</v>
      </c>
      <c r="I3741" s="334">
        <f>SUM(H3740)</f>
        <v>0</v>
      </c>
    </row>
    <row r="3742" spans="2:9" x14ac:dyDescent="0.3">
      <c r="B3742" s="332" t="s">
        <v>635</v>
      </c>
      <c r="C3742" s="333"/>
      <c r="D3742" s="332"/>
      <c r="E3742" s="333"/>
      <c r="F3742" s="334"/>
      <c r="G3742" s="332"/>
      <c r="H3742" s="334"/>
      <c r="I3742" s="334"/>
    </row>
    <row r="3743" spans="2:9" x14ac:dyDescent="0.3">
      <c r="B3743" s="332" t="s">
        <v>636</v>
      </c>
      <c r="C3743" s="333"/>
      <c r="D3743" s="332"/>
      <c r="E3743" s="333" t="s">
        <v>637</v>
      </c>
      <c r="F3743" s="334" t="s">
        <v>638</v>
      </c>
      <c r="G3743" s="332" t="s">
        <v>639</v>
      </c>
      <c r="H3743" s="334" t="s">
        <v>627</v>
      </c>
      <c r="I3743" s="334"/>
    </row>
    <row r="3744" spans="2:9" x14ac:dyDescent="0.3">
      <c r="B3744" s="332" t="s">
        <v>645</v>
      </c>
      <c r="C3744" s="333"/>
      <c r="D3744" s="332"/>
      <c r="E3744" s="337">
        <v>168000</v>
      </c>
      <c r="F3744" s="334">
        <v>1.8</v>
      </c>
      <c r="G3744" s="338">
        <v>9.6443950774471539</v>
      </c>
      <c r="H3744" s="334">
        <f>E3744*F3744/G3744</f>
        <v>31354.999206445253</v>
      </c>
      <c r="I3744" s="334"/>
    </row>
    <row r="3745" spans="2:9" x14ac:dyDescent="0.3">
      <c r="B3745" s="332"/>
      <c r="C3745" s="333"/>
      <c r="D3745" s="332"/>
      <c r="E3745" s="333"/>
      <c r="F3745" s="334"/>
      <c r="G3745" s="332"/>
      <c r="H3745" s="334" t="s">
        <v>628</v>
      </c>
      <c r="I3745" s="334">
        <f>H3744</f>
        <v>31354.999206445253</v>
      </c>
    </row>
    <row r="3746" spans="2:9" x14ac:dyDescent="0.3">
      <c r="B3746" s="332"/>
      <c r="C3746" s="333"/>
      <c r="D3746" s="332"/>
      <c r="E3746" s="333"/>
      <c r="F3746" s="334"/>
      <c r="G3746" s="332"/>
      <c r="H3746" s="330" t="s">
        <v>640</v>
      </c>
      <c r="I3746" s="330">
        <f>I3745+I3737+I3730+I3741</f>
        <v>98544.999206445267</v>
      </c>
    </row>
    <row r="3748" spans="2:9" ht="43.2" x14ac:dyDescent="0.3">
      <c r="B3748" s="339" t="s">
        <v>773</v>
      </c>
      <c r="C3748" s="339" t="s">
        <v>621</v>
      </c>
      <c r="D3748" s="341" t="s">
        <v>508</v>
      </c>
      <c r="E3748" s="339"/>
      <c r="F3748" s="340"/>
      <c r="G3748" s="340" t="s">
        <v>622</v>
      </c>
      <c r="H3748" s="340" t="s">
        <v>33</v>
      </c>
      <c r="I3748" s="340">
        <f>+ROUND(I3770,0)</f>
        <v>250547</v>
      </c>
    </row>
    <row r="3749" spans="2:9" x14ac:dyDescent="0.3">
      <c r="B3749" s="332" t="s">
        <v>623</v>
      </c>
      <c r="C3749" s="333"/>
      <c r="D3749" s="332"/>
      <c r="E3749" s="333"/>
      <c r="F3749" s="334"/>
      <c r="G3749" s="332"/>
      <c r="H3749" s="334"/>
      <c r="I3749" s="334"/>
    </row>
    <row r="3750" spans="2:9" x14ac:dyDescent="0.3">
      <c r="B3750" s="332" t="s">
        <v>271</v>
      </c>
      <c r="C3750" s="333"/>
      <c r="D3750" s="332"/>
      <c r="E3750" s="333" t="s">
        <v>624</v>
      </c>
      <c r="F3750" s="334" t="s">
        <v>625</v>
      </c>
      <c r="G3750" s="332" t="s">
        <v>626</v>
      </c>
      <c r="H3750" s="334" t="s">
        <v>627</v>
      </c>
      <c r="I3750" s="334"/>
    </row>
    <row r="3751" spans="2:9" x14ac:dyDescent="0.3">
      <c r="B3751" s="332" t="s">
        <v>642</v>
      </c>
      <c r="C3751" s="333"/>
      <c r="D3751" s="332"/>
      <c r="E3751" s="333" t="s">
        <v>644</v>
      </c>
      <c r="F3751" s="334">
        <v>1500</v>
      </c>
      <c r="G3751" s="335">
        <v>2</v>
      </c>
      <c r="H3751" s="334">
        <f>F3751*G3751</f>
        <v>3000</v>
      </c>
      <c r="I3751" s="334"/>
    </row>
    <row r="3752" spans="2:9" x14ac:dyDescent="0.3">
      <c r="B3752" s="332"/>
      <c r="C3752" s="333"/>
      <c r="D3752" s="332"/>
      <c r="E3752" s="333"/>
      <c r="F3752" s="334"/>
      <c r="G3752" s="335"/>
      <c r="H3752" s="334"/>
      <c r="I3752" s="334"/>
    </row>
    <row r="3753" spans="2:9" x14ac:dyDescent="0.3">
      <c r="B3753" s="332"/>
      <c r="C3753" s="333"/>
      <c r="D3753" s="332"/>
      <c r="E3753" s="333"/>
      <c r="F3753" s="334"/>
      <c r="G3753" s="335"/>
      <c r="H3753" s="334"/>
      <c r="I3753" s="334"/>
    </row>
    <row r="3754" spans="2:9" x14ac:dyDescent="0.3">
      <c r="B3754" s="332"/>
      <c r="C3754" s="333"/>
      <c r="D3754" s="332"/>
      <c r="E3754" s="333"/>
      <c r="F3754" s="334"/>
      <c r="G3754" s="332"/>
      <c r="H3754" s="334" t="s">
        <v>628</v>
      </c>
      <c r="I3754" s="334">
        <f>SUM(H3751:H3753)</f>
        <v>3000</v>
      </c>
    </row>
    <row r="3755" spans="2:9" x14ac:dyDescent="0.3">
      <c r="B3755" s="332" t="s">
        <v>629</v>
      </c>
      <c r="C3755" s="333"/>
      <c r="D3755" s="332"/>
      <c r="E3755" s="333"/>
      <c r="F3755" s="334"/>
      <c r="G3755" s="332"/>
      <c r="H3755" s="334"/>
      <c r="I3755" s="334"/>
    </row>
    <row r="3756" spans="2:9" x14ac:dyDescent="0.3">
      <c r="B3756" s="332" t="s">
        <v>271</v>
      </c>
      <c r="C3756" s="333"/>
      <c r="D3756" s="332"/>
      <c r="E3756" s="333" t="s">
        <v>624</v>
      </c>
      <c r="F3756" s="334" t="s">
        <v>630</v>
      </c>
      <c r="G3756" s="332" t="s">
        <v>631</v>
      </c>
      <c r="H3756" s="334" t="s">
        <v>627</v>
      </c>
      <c r="I3756" s="334"/>
    </row>
    <row r="3757" spans="2:9" ht="57.6" x14ac:dyDescent="0.3">
      <c r="B3757" s="342" t="s">
        <v>694</v>
      </c>
      <c r="C3757" s="333"/>
      <c r="D3757" s="332"/>
      <c r="E3757" s="343" t="s">
        <v>33</v>
      </c>
      <c r="F3757" s="344">
        <v>199900</v>
      </c>
      <c r="G3757" s="345">
        <v>1</v>
      </c>
      <c r="H3757" s="344">
        <f>F3757*G3757</f>
        <v>199900</v>
      </c>
      <c r="I3757" s="344"/>
    </row>
    <row r="3758" spans="2:9" x14ac:dyDescent="0.3">
      <c r="B3758" s="332"/>
      <c r="C3758" s="333"/>
      <c r="D3758" s="332"/>
      <c r="E3758" s="333"/>
      <c r="F3758" s="334"/>
      <c r="G3758" s="332"/>
      <c r="H3758" s="334"/>
      <c r="I3758" s="334"/>
    </row>
    <row r="3759" spans="2:9" x14ac:dyDescent="0.3">
      <c r="B3759" s="332"/>
      <c r="C3759" s="333"/>
      <c r="D3759" s="332"/>
      <c r="E3759" s="333"/>
      <c r="F3759" s="334"/>
      <c r="G3759" s="332"/>
      <c r="H3759" s="334"/>
      <c r="I3759" s="334"/>
    </row>
    <row r="3760" spans="2:9" x14ac:dyDescent="0.3">
      <c r="B3760" s="332"/>
      <c r="C3760" s="333"/>
      <c r="D3760" s="332"/>
      <c r="E3760" s="333"/>
      <c r="F3760" s="334"/>
      <c r="G3760" s="332"/>
      <c r="H3760" s="334"/>
      <c r="I3760" s="334"/>
    </row>
    <row r="3761" spans="2:9" x14ac:dyDescent="0.3">
      <c r="B3761" s="332"/>
      <c r="C3761" s="333"/>
      <c r="D3761" s="332"/>
      <c r="E3761" s="333"/>
      <c r="F3761" s="334"/>
      <c r="G3761" s="332"/>
      <c r="H3761" s="334" t="s">
        <v>628</v>
      </c>
      <c r="I3761" s="334">
        <f>SUM(H3757:H3760)</f>
        <v>199900</v>
      </c>
    </row>
    <row r="3762" spans="2:9" x14ac:dyDescent="0.3">
      <c r="B3762" s="332" t="s">
        <v>632</v>
      </c>
      <c r="C3762" s="333"/>
      <c r="D3762" s="332"/>
      <c r="E3762" s="333" t="s">
        <v>624</v>
      </c>
      <c r="F3762" s="334" t="s">
        <v>633</v>
      </c>
      <c r="G3762" s="332" t="s">
        <v>634</v>
      </c>
      <c r="H3762" s="334" t="s">
        <v>627</v>
      </c>
      <c r="I3762" s="334"/>
    </row>
    <row r="3763" spans="2:9" x14ac:dyDescent="0.3">
      <c r="B3763" s="332"/>
      <c r="C3763" s="333"/>
      <c r="D3763" s="332"/>
      <c r="E3763" s="332"/>
      <c r="F3763" s="332"/>
      <c r="G3763" s="332"/>
      <c r="H3763" s="332"/>
      <c r="I3763" s="332"/>
    </row>
    <row r="3764" spans="2:9" x14ac:dyDescent="0.3">
      <c r="B3764" s="332"/>
      <c r="C3764" s="333"/>
      <c r="D3764" s="332"/>
      <c r="E3764" s="333"/>
      <c r="F3764" s="336"/>
      <c r="G3764" s="334"/>
      <c r="H3764" s="334"/>
      <c r="I3764" s="334"/>
    </row>
    <row r="3765" spans="2:9" x14ac:dyDescent="0.3">
      <c r="B3765" s="332"/>
      <c r="C3765" s="333"/>
      <c r="D3765" s="332"/>
      <c r="E3765" s="333"/>
      <c r="F3765" s="334"/>
      <c r="G3765" s="332"/>
      <c r="H3765" s="334" t="s">
        <v>628</v>
      </c>
      <c r="I3765" s="334">
        <f>SUM(H3764)</f>
        <v>0</v>
      </c>
    </row>
    <row r="3766" spans="2:9" x14ac:dyDescent="0.3">
      <c r="B3766" s="332" t="s">
        <v>635</v>
      </c>
      <c r="C3766" s="333"/>
      <c r="D3766" s="332"/>
      <c r="E3766" s="333"/>
      <c r="F3766" s="334"/>
      <c r="G3766" s="332"/>
      <c r="H3766" s="334"/>
      <c r="I3766" s="334"/>
    </row>
    <row r="3767" spans="2:9" x14ac:dyDescent="0.3">
      <c r="B3767" s="332" t="s">
        <v>636</v>
      </c>
      <c r="C3767" s="333"/>
      <c r="D3767" s="332"/>
      <c r="E3767" s="333" t="s">
        <v>637</v>
      </c>
      <c r="F3767" s="334" t="s">
        <v>638</v>
      </c>
      <c r="G3767" s="332" t="s">
        <v>626</v>
      </c>
      <c r="H3767" s="334" t="s">
        <v>627</v>
      </c>
      <c r="I3767" s="334"/>
    </row>
    <row r="3768" spans="2:9" x14ac:dyDescent="0.3">
      <c r="B3768" s="332" t="s">
        <v>645</v>
      </c>
      <c r="C3768" s="333"/>
      <c r="D3768" s="332"/>
      <c r="E3768" s="337">
        <v>168000</v>
      </c>
      <c r="F3768" s="334">
        <v>1.8</v>
      </c>
      <c r="G3768" s="338">
        <v>6.3466745078765996</v>
      </c>
      <c r="H3768" s="334">
        <f>E3768*F3768/G3768</f>
        <v>47646.999956387182</v>
      </c>
      <c r="I3768" s="334"/>
    </row>
    <row r="3769" spans="2:9" x14ac:dyDescent="0.3">
      <c r="B3769" s="332"/>
      <c r="C3769" s="333"/>
      <c r="D3769" s="332"/>
      <c r="E3769" s="333"/>
      <c r="F3769" s="334"/>
      <c r="G3769" s="332"/>
      <c r="H3769" s="334" t="s">
        <v>628</v>
      </c>
      <c r="I3769" s="334">
        <f>H3768</f>
        <v>47646.999956387182</v>
      </c>
    </row>
    <row r="3770" spans="2:9" x14ac:dyDescent="0.3">
      <c r="B3770" s="332"/>
      <c r="C3770" s="333"/>
      <c r="D3770" s="332"/>
      <c r="E3770" s="333"/>
      <c r="F3770" s="334"/>
      <c r="G3770" s="332"/>
      <c r="H3770" s="330" t="s">
        <v>640</v>
      </c>
      <c r="I3770" s="330">
        <f>I3769+I3761+I3754+I3765</f>
        <v>250546.99995638718</v>
      </c>
    </row>
    <row r="3772" spans="2:9" ht="57.6" x14ac:dyDescent="0.3">
      <c r="B3772" s="339" t="s">
        <v>686</v>
      </c>
      <c r="C3772" s="339" t="s">
        <v>621</v>
      </c>
      <c r="D3772" s="341" t="s">
        <v>501</v>
      </c>
      <c r="E3772" s="339"/>
      <c r="F3772" s="340"/>
      <c r="G3772" s="340" t="s">
        <v>622</v>
      </c>
      <c r="H3772" s="340" t="s">
        <v>60</v>
      </c>
      <c r="I3772" s="340">
        <f>+ROUND(I3794,0)</f>
        <v>13974</v>
      </c>
    </row>
    <row r="3773" spans="2:9" x14ac:dyDescent="0.3">
      <c r="B3773" s="332" t="s">
        <v>623</v>
      </c>
      <c r="C3773" s="333"/>
      <c r="D3773" s="332"/>
      <c r="E3773" s="333"/>
      <c r="F3773" s="334"/>
      <c r="G3773" s="332"/>
      <c r="H3773" s="334"/>
      <c r="I3773" s="334"/>
    </row>
    <row r="3774" spans="2:9" x14ac:dyDescent="0.3">
      <c r="B3774" s="332" t="s">
        <v>271</v>
      </c>
      <c r="C3774" s="333"/>
      <c r="D3774" s="332"/>
      <c r="E3774" s="333" t="s">
        <v>624</v>
      </c>
      <c r="F3774" s="334" t="s">
        <v>625</v>
      </c>
      <c r="G3774" s="332" t="s">
        <v>626</v>
      </c>
      <c r="H3774" s="334" t="s">
        <v>627</v>
      </c>
      <c r="I3774" s="334"/>
    </row>
    <row r="3775" spans="2:9" x14ac:dyDescent="0.3">
      <c r="B3775" s="332" t="s">
        <v>642</v>
      </c>
      <c r="C3775" s="333"/>
      <c r="D3775" s="332"/>
      <c r="E3775" s="333" t="s">
        <v>644</v>
      </c>
      <c r="F3775" s="334">
        <v>1500</v>
      </c>
      <c r="G3775" s="335">
        <v>1</v>
      </c>
      <c r="H3775" s="334">
        <f>F3775*G3775</f>
        <v>1500</v>
      </c>
      <c r="I3775" s="334"/>
    </row>
    <row r="3776" spans="2:9" x14ac:dyDescent="0.3">
      <c r="B3776" s="332"/>
      <c r="C3776" s="333"/>
      <c r="D3776" s="332"/>
      <c r="E3776" s="333"/>
      <c r="F3776" s="334"/>
      <c r="G3776" s="335"/>
      <c r="H3776" s="334"/>
      <c r="I3776" s="334"/>
    </row>
    <row r="3777" spans="2:9" x14ac:dyDescent="0.3">
      <c r="B3777" s="332"/>
      <c r="C3777" s="333"/>
      <c r="D3777" s="332"/>
      <c r="E3777" s="333"/>
      <c r="F3777" s="334"/>
      <c r="G3777" s="335"/>
      <c r="H3777" s="334"/>
      <c r="I3777" s="334"/>
    </row>
    <row r="3778" spans="2:9" x14ac:dyDescent="0.3">
      <c r="B3778" s="332"/>
      <c r="C3778" s="333"/>
      <c r="D3778" s="332"/>
      <c r="E3778" s="333"/>
      <c r="F3778" s="334"/>
      <c r="G3778" s="332"/>
      <c r="H3778" s="334" t="s">
        <v>628</v>
      </c>
      <c r="I3778" s="334">
        <f>SUM(H3775:H3777)</f>
        <v>1500</v>
      </c>
    </row>
    <row r="3779" spans="2:9" x14ac:dyDescent="0.3">
      <c r="B3779" s="332" t="s">
        <v>629</v>
      </c>
      <c r="C3779" s="333"/>
      <c r="D3779" s="332"/>
      <c r="E3779" s="333"/>
      <c r="F3779" s="334"/>
      <c r="G3779" s="332"/>
      <c r="H3779" s="334"/>
      <c r="I3779" s="334"/>
    </row>
    <row r="3780" spans="2:9" x14ac:dyDescent="0.3">
      <c r="B3780" s="332" t="s">
        <v>271</v>
      </c>
      <c r="C3780" s="333"/>
      <c r="D3780" s="332"/>
      <c r="E3780" s="333" t="s">
        <v>624</v>
      </c>
      <c r="F3780" s="334" t="s">
        <v>630</v>
      </c>
      <c r="G3780" s="332" t="s">
        <v>631</v>
      </c>
      <c r="H3780" s="334" t="s">
        <v>627</v>
      </c>
      <c r="I3780" s="334"/>
    </row>
    <row r="3781" spans="2:9" x14ac:dyDescent="0.3">
      <c r="B3781" s="342" t="s">
        <v>675</v>
      </c>
      <c r="C3781" s="333"/>
      <c r="D3781" s="332"/>
      <c r="E3781" s="343" t="s">
        <v>102</v>
      </c>
      <c r="F3781" s="344">
        <v>97380</v>
      </c>
      <c r="G3781" s="345">
        <v>0.04</v>
      </c>
      <c r="H3781" s="344">
        <f>F3781*G3781</f>
        <v>3895.2000000000003</v>
      </c>
      <c r="I3781" s="344"/>
    </row>
    <row r="3782" spans="2:9" x14ac:dyDescent="0.3">
      <c r="B3782" s="332" t="s">
        <v>680</v>
      </c>
      <c r="C3782" s="333"/>
      <c r="D3782" s="332"/>
      <c r="E3782" s="333" t="s">
        <v>677</v>
      </c>
      <c r="F3782" s="334">
        <v>66599</v>
      </c>
      <c r="G3782" s="332">
        <v>0.05</v>
      </c>
      <c r="H3782" s="334">
        <f>F3782*G3782</f>
        <v>3329.9500000000003</v>
      </c>
      <c r="I3782" s="334"/>
    </row>
    <row r="3783" spans="2:9" x14ac:dyDescent="0.3">
      <c r="B3783" s="332" t="s">
        <v>676</v>
      </c>
      <c r="C3783" s="333"/>
      <c r="D3783" s="332"/>
      <c r="E3783" s="333" t="s">
        <v>33</v>
      </c>
      <c r="F3783" s="334">
        <v>2604</v>
      </c>
      <c r="G3783" s="332">
        <v>0.04</v>
      </c>
      <c r="H3783" s="334">
        <f>F3783*G3783</f>
        <v>104.16</v>
      </c>
      <c r="I3783" s="334"/>
    </row>
    <row r="3784" spans="2:9" x14ac:dyDescent="0.3">
      <c r="B3784" s="332"/>
      <c r="C3784" s="333"/>
      <c r="D3784" s="332"/>
      <c r="E3784" s="333"/>
      <c r="F3784" s="334"/>
      <c r="G3784" s="332"/>
      <c r="H3784" s="334"/>
      <c r="I3784" s="334"/>
    </row>
    <row r="3785" spans="2:9" x14ac:dyDescent="0.3">
      <c r="B3785" s="332"/>
      <c r="C3785" s="333"/>
      <c r="D3785" s="332"/>
      <c r="E3785" s="333"/>
      <c r="F3785" s="334"/>
      <c r="G3785" s="332"/>
      <c r="H3785" s="334" t="s">
        <v>628</v>
      </c>
      <c r="I3785" s="334">
        <f>SUM(H3781:H3784)</f>
        <v>7329.31</v>
      </c>
    </row>
    <row r="3786" spans="2:9" x14ac:dyDescent="0.3">
      <c r="B3786" s="332" t="s">
        <v>632</v>
      </c>
      <c r="C3786" s="333"/>
      <c r="D3786" s="332"/>
      <c r="E3786" s="333" t="s">
        <v>624</v>
      </c>
      <c r="F3786" s="334" t="s">
        <v>633</v>
      </c>
      <c r="G3786" s="332" t="s">
        <v>634</v>
      </c>
      <c r="H3786" s="334" t="s">
        <v>627</v>
      </c>
      <c r="I3786" s="334"/>
    </row>
    <row r="3787" spans="2:9" x14ac:dyDescent="0.3">
      <c r="B3787" s="332"/>
      <c r="C3787" s="333"/>
      <c r="D3787" s="332"/>
      <c r="E3787" s="332"/>
      <c r="F3787" s="332"/>
      <c r="G3787" s="332"/>
      <c r="H3787" s="332"/>
      <c r="I3787" s="332"/>
    </row>
    <row r="3788" spans="2:9" x14ac:dyDescent="0.3">
      <c r="B3788" s="332"/>
      <c r="C3788" s="333"/>
      <c r="D3788" s="332"/>
      <c r="E3788" s="333"/>
      <c r="F3788" s="336"/>
      <c r="G3788" s="334"/>
      <c r="H3788" s="334"/>
      <c r="I3788" s="334"/>
    </row>
    <row r="3789" spans="2:9" x14ac:dyDescent="0.3">
      <c r="B3789" s="332"/>
      <c r="C3789" s="333"/>
      <c r="D3789" s="332"/>
      <c r="E3789" s="333"/>
      <c r="F3789" s="334"/>
      <c r="G3789" s="332"/>
      <c r="H3789" s="334" t="s">
        <v>628</v>
      </c>
      <c r="I3789" s="334">
        <f>SUM(H3788)</f>
        <v>0</v>
      </c>
    </row>
    <row r="3790" spans="2:9" x14ac:dyDescent="0.3">
      <c r="B3790" s="332" t="s">
        <v>635</v>
      </c>
      <c r="C3790" s="333"/>
      <c r="D3790" s="332"/>
      <c r="E3790" s="333"/>
      <c r="F3790" s="334"/>
      <c r="G3790" s="332"/>
      <c r="H3790" s="334"/>
      <c r="I3790" s="334"/>
    </row>
    <row r="3791" spans="2:9" x14ac:dyDescent="0.3">
      <c r="B3791" s="332" t="s">
        <v>636</v>
      </c>
      <c r="C3791" s="333"/>
      <c r="D3791" s="332"/>
      <c r="E3791" s="333" t="s">
        <v>637</v>
      </c>
      <c r="F3791" s="334" t="s">
        <v>638</v>
      </c>
      <c r="G3791" s="332" t="s">
        <v>639</v>
      </c>
      <c r="H3791" s="334" t="s">
        <v>627</v>
      </c>
      <c r="I3791" s="334"/>
    </row>
    <row r="3792" spans="2:9" x14ac:dyDescent="0.3">
      <c r="B3792" s="332" t="s">
        <v>645</v>
      </c>
      <c r="C3792" s="333"/>
      <c r="D3792" s="332"/>
      <c r="E3792" s="337">
        <v>168000</v>
      </c>
      <c r="F3792" s="334">
        <v>1.8</v>
      </c>
      <c r="G3792" s="338">
        <v>58.779051289024636</v>
      </c>
      <c r="H3792" s="334">
        <f>E3792*F3792/G3792</f>
        <v>5144.6900446395066</v>
      </c>
      <c r="I3792" s="334"/>
    </row>
    <row r="3793" spans="2:9" x14ac:dyDescent="0.3">
      <c r="B3793" s="332"/>
      <c r="C3793" s="333"/>
      <c r="D3793" s="332"/>
      <c r="E3793" s="333"/>
      <c r="F3793" s="334"/>
      <c r="G3793" s="332"/>
      <c r="H3793" s="334" t="s">
        <v>628</v>
      </c>
      <c r="I3793" s="334">
        <f>H3792</f>
        <v>5144.6900446395066</v>
      </c>
    </row>
    <row r="3794" spans="2:9" x14ac:dyDescent="0.3">
      <c r="B3794" s="332"/>
      <c r="C3794" s="333"/>
      <c r="D3794" s="332"/>
      <c r="E3794" s="333"/>
      <c r="F3794" s="334"/>
      <c r="G3794" s="332"/>
      <c r="H3794" s="330" t="s">
        <v>640</v>
      </c>
      <c r="I3794" s="330">
        <f>I3793+I3785+I3778+I3789</f>
        <v>13974.000044639506</v>
      </c>
    </row>
    <row r="3796" spans="2:9" x14ac:dyDescent="0.3">
      <c r="B3796" s="339" t="s">
        <v>689</v>
      </c>
      <c r="C3796" s="339" t="s">
        <v>621</v>
      </c>
      <c r="D3796" s="352" t="s">
        <v>503</v>
      </c>
      <c r="E3796" s="329"/>
      <c r="F3796" s="353"/>
      <c r="G3796" s="353" t="s">
        <v>622</v>
      </c>
      <c r="H3796" s="353" t="s">
        <v>641</v>
      </c>
      <c r="I3796" s="340">
        <f>+ROUND(I3818,0)</f>
        <v>600000</v>
      </c>
    </row>
    <row r="3797" spans="2:9" x14ac:dyDescent="0.3">
      <c r="B3797" s="332" t="s">
        <v>623</v>
      </c>
      <c r="C3797" s="333"/>
      <c r="D3797" s="332"/>
      <c r="E3797" s="333"/>
      <c r="F3797" s="334"/>
      <c r="G3797" s="332"/>
      <c r="H3797" s="334"/>
      <c r="I3797" s="334"/>
    </row>
    <row r="3798" spans="2:9" x14ac:dyDescent="0.3">
      <c r="B3798" s="332" t="s">
        <v>271</v>
      </c>
      <c r="C3798" s="333"/>
      <c r="D3798" s="332"/>
      <c r="E3798" s="333" t="s">
        <v>624</v>
      </c>
      <c r="F3798" s="334" t="s">
        <v>625</v>
      </c>
      <c r="G3798" s="332" t="s">
        <v>626</v>
      </c>
      <c r="H3798" s="334" t="s">
        <v>627</v>
      </c>
      <c r="I3798" s="334"/>
    </row>
    <row r="3799" spans="2:9" x14ac:dyDescent="0.3">
      <c r="B3799" s="332" t="s">
        <v>642</v>
      </c>
      <c r="C3799" s="333"/>
      <c r="D3799" s="332"/>
      <c r="E3799" s="333" t="s">
        <v>644</v>
      </c>
      <c r="F3799" s="334">
        <v>1500</v>
      </c>
      <c r="G3799" s="335">
        <v>8</v>
      </c>
      <c r="H3799" s="334">
        <f>F3799*G3799</f>
        <v>12000</v>
      </c>
      <c r="I3799" s="334"/>
    </row>
    <row r="3800" spans="2:9" x14ac:dyDescent="0.3">
      <c r="B3800" s="332"/>
      <c r="C3800" s="333"/>
      <c r="D3800" s="332"/>
      <c r="E3800" s="333"/>
      <c r="F3800" s="334"/>
      <c r="G3800" s="335"/>
      <c r="H3800" s="334"/>
      <c r="I3800" s="334"/>
    </row>
    <row r="3801" spans="2:9" x14ac:dyDescent="0.3">
      <c r="B3801" s="332"/>
      <c r="C3801" s="333"/>
      <c r="D3801" s="332"/>
      <c r="E3801" s="333"/>
      <c r="F3801" s="334"/>
      <c r="G3801" s="335"/>
      <c r="H3801" s="334"/>
      <c r="I3801" s="334"/>
    </row>
    <row r="3802" spans="2:9" x14ac:dyDescent="0.3">
      <c r="B3802" s="332"/>
      <c r="C3802" s="333"/>
      <c r="D3802" s="332"/>
      <c r="E3802" s="333"/>
      <c r="F3802" s="334"/>
      <c r="G3802" s="332"/>
      <c r="H3802" s="334" t="s">
        <v>628</v>
      </c>
      <c r="I3802" s="334">
        <f>SUM(H3799:H3801)</f>
        <v>12000</v>
      </c>
    </row>
    <row r="3803" spans="2:9" x14ac:dyDescent="0.3">
      <c r="B3803" s="332" t="s">
        <v>629</v>
      </c>
      <c r="C3803" s="333"/>
      <c r="D3803" s="332"/>
      <c r="E3803" s="333"/>
      <c r="F3803" s="334"/>
      <c r="G3803" s="332"/>
      <c r="H3803" s="334"/>
      <c r="I3803" s="334"/>
    </row>
    <row r="3804" spans="2:9" x14ac:dyDescent="0.3">
      <c r="B3804" s="332" t="s">
        <v>271</v>
      </c>
      <c r="C3804" s="333"/>
      <c r="D3804" s="332"/>
      <c r="E3804" s="333" t="s">
        <v>624</v>
      </c>
      <c r="F3804" s="334" t="s">
        <v>630</v>
      </c>
      <c r="G3804" s="332" t="s">
        <v>631</v>
      </c>
      <c r="H3804" s="334" t="s">
        <v>627</v>
      </c>
      <c r="I3804" s="334"/>
    </row>
    <row r="3805" spans="2:9" x14ac:dyDescent="0.3">
      <c r="B3805" s="332"/>
      <c r="C3805" s="333"/>
      <c r="D3805" s="332"/>
      <c r="E3805" s="333"/>
      <c r="F3805" s="334"/>
      <c r="G3805" s="332"/>
      <c r="H3805" s="334"/>
      <c r="I3805" s="334"/>
    </row>
    <row r="3806" spans="2:9" x14ac:dyDescent="0.3">
      <c r="B3806" s="332"/>
      <c r="C3806" s="333"/>
      <c r="D3806" s="332"/>
      <c r="E3806" s="333"/>
      <c r="F3806" s="334"/>
      <c r="G3806" s="332"/>
      <c r="H3806" s="334"/>
      <c r="I3806" s="334"/>
    </row>
    <row r="3807" spans="2:9" x14ac:dyDescent="0.3">
      <c r="B3807" s="332"/>
      <c r="C3807" s="333"/>
      <c r="D3807" s="332"/>
      <c r="E3807" s="333"/>
      <c r="F3807" s="334"/>
      <c r="G3807" s="332"/>
      <c r="H3807" s="334"/>
      <c r="I3807" s="334"/>
    </row>
    <row r="3808" spans="2:9" x14ac:dyDescent="0.3">
      <c r="B3808" s="332"/>
      <c r="C3808" s="333"/>
      <c r="D3808" s="332"/>
      <c r="E3808" s="333"/>
      <c r="F3808" s="334"/>
      <c r="G3808" s="332"/>
      <c r="H3808" s="334"/>
      <c r="I3808" s="334"/>
    </row>
    <row r="3809" spans="2:9" x14ac:dyDescent="0.3">
      <c r="B3809" s="332"/>
      <c r="C3809" s="333"/>
      <c r="D3809" s="332"/>
      <c r="E3809" s="333"/>
      <c r="F3809" s="334"/>
      <c r="G3809" s="332"/>
      <c r="H3809" s="334" t="s">
        <v>628</v>
      </c>
      <c r="I3809" s="334">
        <f>SUM(H3805:H3808)</f>
        <v>0</v>
      </c>
    </row>
    <row r="3810" spans="2:9" x14ac:dyDescent="0.3">
      <c r="B3810" s="332" t="s">
        <v>632</v>
      </c>
      <c r="C3810" s="333"/>
      <c r="D3810" s="332"/>
      <c r="E3810" s="333" t="s">
        <v>624</v>
      </c>
      <c r="F3810" s="334" t="s">
        <v>633</v>
      </c>
      <c r="G3810" s="332" t="s">
        <v>634</v>
      </c>
      <c r="H3810" s="334" t="s">
        <v>627</v>
      </c>
      <c r="I3810" s="334"/>
    </row>
    <row r="3811" spans="2:9" x14ac:dyDescent="0.3">
      <c r="B3811" s="332"/>
      <c r="C3811" s="333"/>
      <c r="D3811" s="332"/>
      <c r="E3811" s="332"/>
      <c r="F3811" s="332"/>
      <c r="G3811" s="332"/>
      <c r="H3811" s="332"/>
      <c r="I3811" s="332"/>
    </row>
    <row r="3812" spans="2:9" x14ac:dyDescent="0.3">
      <c r="B3812" s="332"/>
      <c r="C3812" s="333"/>
      <c r="D3812" s="332"/>
      <c r="E3812" s="333"/>
      <c r="F3812" s="336"/>
      <c r="G3812" s="334"/>
      <c r="H3812" s="334"/>
      <c r="I3812" s="334"/>
    </row>
    <row r="3813" spans="2:9" x14ac:dyDescent="0.3">
      <c r="B3813" s="332"/>
      <c r="C3813" s="333"/>
      <c r="D3813" s="332"/>
      <c r="E3813" s="333"/>
      <c r="F3813" s="334"/>
      <c r="G3813" s="332"/>
      <c r="H3813" s="334" t="s">
        <v>628</v>
      </c>
      <c r="I3813" s="334">
        <f>SUM(H3812)</f>
        <v>0</v>
      </c>
    </row>
    <row r="3814" spans="2:9" x14ac:dyDescent="0.3">
      <c r="B3814" s="332" t="s">
        <v>635</v>
      </c>
      <c r="C3814" s="333"/>
      <c r="D3814" s="332"/>
      <c r="E3814" s="333"/>
      <c r="F3814" s="334"/>
      <c r="G3814" s="332"/>
      <c r="H3814" s="334"/>
      <c r="I3814" s="334"/>
    </row>
    <row r="3815" spans="2:9" x14ac:dyDescent="0.3">
      <c r="B3815" s="332" t="s">
        <v>636</v>
      </c>
      <c r="C3815" s="333"/>
      <c r="D3815" s="332"/>
      <c r="E3815" s="333" t="s">
        <v>637</v>
      </c>
      <c r="F3815" s="334" t="s">
        <v>638</v>
      </c>
      <c r="G3815" s="332" t="s">
        <v>639</v>
      </c>
      <c r="H3815" s="334" t="s">
        <v>627</v>
      </c>
      <c r="I3815" s="334"/>
    </row>
    <row r="3816" spans="2:9" x14ac:dyDescent="0.3">
      <c r="B3816" s="332" t="s">
        <v>645</v>
      </c>
      <c r="C3816" s="333"/>
      <c r="D3816" s="332"/>
      <c r="E3816" s="337">
        <v>168000</v>
      </c>
      <c r="F3816" s="334">
        <v>1.8</v>
      </c>
      <c r="G3816" s="335">
        <v>0.51428571417796698</v>
      </c>
      <c r="H3816" s="334">
        <f>E3816*F3816/G3816</f>
        <v>588000.00012319104</v>
      </c>
      <c r="I3816" s="334"/>
    </row>
    <row r="3817" spans="2:9" x14ac:dyDescent="0.3">
      <c r="B3817" s="332"/>
      <c r="C3817" s="333"/>
      <c r="D3817" s="332"/>
      <c r="E3817" s="333"/>
      <c r="F3817" s="334"/>
      <c r="G3817" s="332"/>
      <c r="H3817" s="334" t="s">
        <v>628</v>
      </c>
      <c r="I3817" s="334">
        <f>H3816</f>
        <v>588000.00012319104</v>
      </c>
    </row>
    <row r="3818" spans="2:9" x14ac:dyDescent="0.3">
      <c r="B3818" s="332"/>
      <c r="C3818" s="333"/>
      <c r="D3818" s="332"/>
      <c r="E3818" s="333"/>
      <c r="F3818" s="334"/>
      <c r="G3818" s="332"/>
      <c r="H3818" s="330" t="s">
        <v>640</v>
      </c>
      <c r="I3818" s="330">
        <f>I3817+I3809+I3802+I3813</f>
        <v>600000.00012319104</v>
      </c>
    </row>
    <row r="3820" spans="2:9" x14ac:dyDescent="0.3">
      <c r="B3820" s="358" t="s">
        <v>798</v>
      </c>
    </row>
    <row r="3822" spans="2:9" ht="57.6" x14ac:dyDescent="0.3">
      <c r="B3822" s="339" t="s">
        <v>646</v>
      </c>
      <c r="C3822" s="339" t="s">
        <v>621</v>
      </c>
      <c r="D3822" s="352" t="s">
        <v>516</v>
      </c>
      <c r="E3822" s="329"/>
      <c r="F3822" s="353"/>
      <c r="G3822" s="340" t="s">
        <v>622</v>
      </c>
      <c r="H3822" s="340" t="s">
        <v>33</v>
      </c>
      <c r="I3822" s="340">
        <f>+ROUND(I3844,0)</f>
        <v>1865764</v>
      </c>
    </row>
    <row r="3823" spans="2:9" x14ac:dyDescent="0.3">
      <c r="B3823" s="332" t="s">
        <v>623</v>
      </c>
      <c r="C3823" s="333"/>
      <c r="D3823" s="332"/>
      <c r="E3823" s="333"/>
      <c r="F3823" s="334"/>
      <c r="G3823" s="332"/>
      <c r="H3823" s="334"/>
      <c r="I3823" s="334"/>
    </row>
    <row r="3824" spans="2:9" x14ac:dyDescent="0.3">
      <c r="B3824" s="332" t="s">
        <v>271</v>
      </c>
      <c r="C3824" s="333"/>
      <c r="D3824" s="332"/>
      <c r="E3824" s="333" t="s">
        <v>624</v>
      </c>
      <c r="F3824" s="334" t="s">
        <v>625</v>
      </c>
      <c r="G3824" s="332" t="s">
        <v>626</v>
      </c>
      <c r="H3824" s="334" t="s">
        <v>627</v>
      </c>
      <c r="I3824" s="334"/>
    </row>
    <row r="3825" spans="2:9" x14ac:dyDescent="0.3">
      <c r="B3825" s="332" t="s">
        <v>642</v>
      </c>
      <c r="C3825" s="333"/>
      <c r="D3825" s="332"/>
      <c r="E3825" s="333" t="s">
        <v>644</v>
      </c>
      <c r="F3825" s="334">
        <v>1500</v>
      </c>
      <c r="G3825" s="335">
        <v>8</v>
      </c>
      <c r="H3825" s="334">
        <f>F3825*G3825</f>
        <v>12000</v>
      </c>
      <c r="I3825" s="334"/>
    </row>
    <row r="3826" spans="2:9" x14ac:dyDescent="0.3">
      <c r="B3826" s="332"/>
      <c r="C3826" s="333"/>
      <c r="D3826" s="332"/>
      <c r="E3826" s="333"/>
      <c r="F3826" s="334"/>
      <c r="G3826" s="335"/>
      <c r="H3826" s="334"/>
      <c r="I3826" s="334"/>
    </row>
    <row r="3827" spans="2:9" x14ac:dyDescent="0.3">
      <c r="B3827" s="332"/>
      <c r="C3827" s="333"/>
      <c r="D3827" s="332"/>
      <c r="E3827" s="333"/>
      <c r="F3827" s="334"/>
      <c r="G3827" s="335"/>
      <c r="H3827" s="334"/>
      <c r="I3827" s="334"/>
    </row>
    <row r="3828" spans="2:9" x14ac:dyDescent="0.3">
      <c r="B3828" s="332"/>
      <c r="C3828" s="333"/>
      <c r="D3828" s="332"/>
      <c r="E3828" s="333"/>
      <c r="F3828" s="334"/>
      <c r="G3828" s="332"/>
      <c r="H3828" s="334" t="s">
        <v>628</v>
      </c>
      <c r="I3828" s="334">
        <f>SUM(H3825:H3827)</f>
        <v>12000</v>
      </c>
    </row>
    <row r="3829" spans="2:9" x14ac:dyDescent="0.3">
      <c r="B3829" s="332" t="s">
        <v>629</v>
      </c>
      <c r="C3829" s="333"/>
      <c r="D3829" s="332"/>
      <c r="E3829" s="333"/>
      <c r="F3829" s="334"/>
      <c r="G3829" s="332"/>
      <c r="H3829" s="334"/>
      <c r="I3829" s="334"/>
    </row>
    <row r="3830" spans="2:9" x14ac:dyDescent="0.3">
      <c r="B3830" s="332" t="s">
        <v>271</v>
      </c>
      <c r="C3830" s="333"/>
      <c r="D3830" s="332"/>
      <c r="E3830" s="333" t="s">
        <v>624</v>
      </c>
      <c r="F3830" s="334" t="s">
        <v>630</v>
      </c>
      <c r="G3830" s="332" t="s">
        <v>631</v>
      </c>
      <c r="H3830" s="334" t="s">
        <v>627</v>
      </c>
      <c r="I3830" s="334"/>
    </row>
    <row r="3831" spans="2:9" ht="28.8" x14ac:dyDescent="0.3">
      <c r="B3831" s="356" t="s">
        <v>796</v>
      </c>
      <c r="C3831" s="333"/>
      <c r="D3831" s="332"/>
      <c r="E3831" s="343" t="s">
        <v>93</v>
      </c>
      <c r="F3831" s="344">
        <v>5400</v>
      </c>
      <c r="G3831" s="345">
        <v>24</v>
      </c>
      <c r="H3831" s="344">
        <f>F3831*G3831</f>
        <v>129600</v>
      </c>
      <c r="I3831" s="344"/>
    </row>
    <row r="3832" spans="2:9" x14ac:dyDescent="0.3">
      <c r="B3832" s="354" t="s">
        <v>797</v>
      </c>
      <c r="C3832" s="333"/>
      <c r="D3832" s="332"/>
      <c r="E3832" s="355" t="s">
        <v>93</v>
      </c>
      <c r="F3832" s="334">
        <v>7900</v>
      </c>
      <c r="G3832" s="332">
        <v>30</v>
      </c>
      <c r="H3832" s="344">
        <f>F3832*G3832</f>
        <v>237000</v>
      </c>
      <c r="I3832" s="334"/>
    </row>
    <row r="3833" spans="2:9" x14ac:dyDescent="0.3">
      <c r="B3833" s="342" t="s">
        <v>670</v>
      </c>
      <c r="C3833" s="333"/>
      <c r="D3833" s="332"/>
      <c r="E3833" s="343" t="s">
        <v>671</v>
      </c>
      <c r="F3833" s="344">
        <v>626828.6</v>
      </c>
      <c r="G3833" s="345">
        <v>1.2</v>
      </c>
      <c r="H3833" s="344">
        <f>F3833*G3833</f>
        <v>752194.32</v>
      </c>
      <c r="I3833" s="344"/>
    </row>
    <row r="3834" spans="2:9" x14ac:dyDescent="0.3">
      <c r="B3834" s="332"/>
      <c r="C3834" s="333"/>
      <c r="D3834" s="332"/>
      <c r="E3834" s="333"/>
      <c r="F3834" s="334"/>
      <c r="G3834" s="332"/>
      <c r="H3834" s="334"/>
      <c r="I3834" s="334"/>
    </row>
    <row r="3835" spans="2:9" x14ac:dyDescent="0.3">
      <c r="B3835" s="332"/>
      <c r="C3835" s="333"/>
      <c r="D3835" s="332"/>
      <c r="E3835" s="333"/>
      <c r="F3835" s="334"/>
      <c r="G3835" s="332"/>
      <c r="H3835" s="334" t="s">
        <v>628</v>
      </c>
      <c r="I3835" s="334">
        <f>SUM(H3831:H3834)</f>
        <v>1118794.3199999998</v>
      </c>
    </row>
    <row r="3836" spans="2:9" x14ac:dyDescent="0.3">
      <c r="B3836" s="332" t="s">
        <v>632</v>
      </c>
      <c r="C3836" s="333"/>
      <c r="D3836" s="332"/>
      <c r="E3836" s="333" t="s">
        <v>624</v>
      </c>
      <c r="F3836" s="334" t="s">
        <v>633</v>
      </c>
      <c r="G3836" s="332" t="s">
        <v>634</v>
      </c>
      <c r="H3836" s="334" t="s">
        <v>627</v>
      </c>
      <c r="I3836" s="334"/>
    </row>
    <row r="3837" spans="2:9" x14ac:dyDescent="0.3">
      <c r="B3837" s="332"/>
      <c r="C3837" s="333"/>
      <c r="D3837" s="332"/>
      <c r="E3837" s="332"/>
      <c r="F3837" s="332"/>
      <c r="G3837" s="332"/>
      <c r="H3837" s="332"/>
      <c r="I3837" s="332"/>
    </row>
    <row r="3838" spans="2:9" x14ac:dyDescent="0.3">
      <c r="B3838" s="332"/>
      <c r="C3838" s="333"/>
      <c r="D3838" s="332"/>
      <c r="E3838" s="333"/>
      <c r="F3838" s="336"/>
      <c r="G3838" s="334"/>
      <c r="H3838" s="334"/>
      <c r="I3838" s="334"/>
    </row>
    <row r="3839" spans="2:9" x14ac:dyDescent="0.3">
      <c r="B3839" s="332"/>
      <c r="C3839" s="333"/>
      <c r="D3839" s="332"/>
      <c r="E3839" s="333"/>
      <c r="F3839" s="334"/>
      <c r="G3839" s="332"/>
      <c r="H3839" s="334" t="s">
        <v>628</v>
      </c>
      <c r="I3839" s="334">
        <f>SUM(H3838)</f>
        <v>0</v>
      </c>
    </row>
    <row r="3840" spans="2:9" x14ac:dyDescent="0.3">
      <c r="B3840" s="332" t="s">
        <v>635</v>
      </c>
      <c r="C3840" s="333"/>
      <c r="D3840" s="332"/>
      <c r="E3840" s="333"/>
      <c r="F3840" s="334"/>
      <c r="G3840" s="332"/>
      <c r="H3840" s="334"/>
      <c r="I3840" s="334"/>
    </row>
    <row r="3841" spans="2:9" x14ac:dyDescent="0.3">
      <c r="B3841" s="332" t="s">
        <v>636</v>
      </c>
      <c r="C3841" s="333"/>
      <c r="D3841" s="332"/>
      <c r="E3841" s="333" t="s">
        <v>637</v>
      </c>
      <c r="F3841" s="334" t="s">
        <v>638</v>
      </c>
      <c r="G3841" s="332" t="s">
        <v>639</v>
      </c>
      <c r="H3841" s="334" t="s">
        <v>627</v>
      </c>
      <c r="I3841" s="334"/>
    </row>
    <row r="3842" spans="2:9" x14ac:dyDescent="0.3">
      <c r="B3842" s="332" t="s">
        <v>645</v>
      </c>
      <c r="C3842" s="333"/>
      <c r="D3842" s="332"/>
      <c r="E3842" s="337">
        <v>168000</v>
      </c>
      <c r="F3842" s="334">
        <v>1.8</v>
      </c>
      <c r="G3842" s="335">
        <v>0.41144554426495189</v>
      </c>
      <c r="H3842" s="334">
        <f>E3842*F3842/G3842</f>
        <v>734969.67998581217</v>
      </c>
      <c r="I3842" s="334"/>
    </row>
    <row r="3843" spans="2:9" x14ac:dyDescent="0.3">
      <c r="B3843" s="332"/>
      <c r="C3843" s="333"/>
      <c r="D3843" s="332"/>
      <c r="E3843" s="333"/>
      <c r="F3843" s="334"/>
      <c r="G3843" s="332"/>
      <c r="H3843" s="334" t="s">
        <v>628</v>
      </c>
      <c r="I3843" s="334">
        <f>H3842</f>
        <v>734969.67998581217</v>
      </c>
    </row>
    <row r="3844" spans="2:9" x14ac:dyDescent="0.3">
      <c r="B3844" s="332"/>
      <c r="C3844" s="333"/>
      <c r="D3844" s="332"/>
      <c r="E3844" s="333"/>
      <c r="F3844" s="334"/>
      <c r="G3844" s="332"/>
      <c r="H3844" s="330" t="s">
        <v>640</v>
      </c>
      <c r="I3844" s="330">
        <f>I3843+I3835+I3828+I3839</f>
        <v>1865763.999985812</v>
      </c>
    </row>
    <row r="3846" spans="2:9" ht="57.6" x14ac:dyDescent="0.3">
      <c r="B3846" s="339" t="s">
        <v>647</v>
      </c>
      <c r="C3846" s="339" t="s">
        <v>621</v>
      </c>
      <c r="D3846" s="352" t="s">
        <v>522</v>
      </c>
      <c r="E3846" s="329"/>
      <c r="F3846" s="353"/>
      <c r="G3846" s="340" t="s">
        <v>622</v>
      </c>
      <c r="H3846" s="340" t="s">
        <v>33</v>
      </c>
      <c r="I3846" s="340">
        <f>+ROUND(I3868,0)</f>
        <v>1620096</v>
      </c>
    </row>
    <row r="3847" spans="2:9" x14ac:dyDescent="0.3">
      <c r="B3847" s="332" t="s">
        <v>623</v>
      </c>
      <c r="C3847" s="333"/>
      <c r="D3847" s="332"/>
      <c r="E3847" s="333"/>
      <c r="F3847" s="334"/>
      <c r="G3847" s="332"/>
      <c r="H3847" s="334"/>
      <c r="I3847" s="334"/>
    </row>
    <row r="3848" spans="2:9" x14ac:dyDescent="0.3">
      <c r="B3848" s="332" t="s">
        <v>271</v>
      </c>
      <c r="C3848" s="333"/>
      <c r="D3848" s="332"/>
      <c r="E3848" s="333" t="s">
        <v>624</v>
      </c>
      <c r="F3848" s="334" t="s">
        <v>625</v>
      </c>
      <c r="G3848" s="332" t="s">
        <v>626</v>
      </c>
      <c r="H3848" s="334" t="s">
        <v>627</v>
      </c>
      <c r="I3848" s="334"/>
    </row>
    <row r="3849" spans="2:9" x14ac:dyDescent="0.3">
      <c r="B3849" s="332" t="s">
        <v>642</v>
      </c>
      <c r="C3849" s="333"/>
      <c r="D3849" s="332"/>
      <c r="E3849" s="333" t="s">
        <v>644</v>
      </c>
      <c r="F3849" s="334">
        <v>1500</v>
      </c>
      <c r="G3849" s="335">
        <v>8</v>
      </c>
      <c r="H3849" s="334">
        <f>F3849*G3849</f>
        <v>12000</v>
      </c>
      <c r="I3849" s="334"/>
    </row>
    <row r="3850" spans="2:9" x14ac:dyDescent="0.3">
      <c r="B3850" s="332"/>
      <c r="C3850" s="333"/>
      <c r="D3850" s="332"/>
      <c r="E3850" s="333"/>
      <c r="F3850" s="334"/>
      <c r="G3850" s="335"/>
      <c r="H3850" s="334"/>
      <c r="I3850" s="334"/>
    </row>
    <row r="3851" spans="2:9" x14ac:dyDescent="0.3">
      <c r="B3851" s="332"/>
      <c r="C3851" s="333"/>
      <c r="D3851" s="332"/>
      <c r="E3851" s="333"/>
      <c r="F3851" s="334"/>
      <c r="G3851" s="335"/>
      <c r="H3851" s="334"/>
      <c r="I3851" s="334"/>
    </row>
    <row r="3852" spans="2:9" x14ac:dyDescent="0.3">
      <c r="B3852" s="332"/>
      <c r="C3852" s="333"/>
      <c r="D3852" s="332"/>
      <c r="E3852" s="333"/>
      <c r="F3852" s="334"/>
      <c r="G3852" s="332"/>
      <c r="H3852" s="334" t="s">
        <v>628</v>
      </c>
      <c r="I3852" s="334">
        <f>SUM(H3849:H3851)</f>
        <v>12000</v>
      </c>
    </row>
    <row r="3853" spans="2:9" x14ac:dyDescent="0.3">
      <c r="B3853" s="332" t="s">
        <v>629</v>
      </c>
      <c r="C3853" s="333"/>
      <c r="D3853" s="332"/>
      <c r="E3853" s="333"/>
      <c r="F3853" s="334"/>
      <c r="G3853" s="332"/>
      <c r="H3853" s="334"/>
      <c r="I3853" s="334"/>
    </row>
    <row r="3854" spans="2:9" x14ac:dyDescent="0.3">
      <c r="B3854" s="332" t="s">
        <v>271</v>
      </c>
      <c r="C3854" s="333"/>
      <c r="D3854" s="332"/>
      <c r="E3854" s="333" t="s">
        <v>624</v>
      </c>
      <c r="F3854" s="334" t="s">
        <v>630</v>
      </c>
      <c r="G3854" s="332" t="s">
        <v>631</v>
      </c>
      <c r="H3854" s="334" t="s">
        <v>627</v>
      </c>
      <c r="I3854" s="334"/>
    </row>
    <row r="3855" spans="2:9" ht="28.8" x14ac:dyDescent="0.3">
      <c r="B3855" s="356" t="s">
        <v>796</v>
      </c>
      <c r="C3855" s="333"/>
      <c r="D3855" s="332"/>
      <c r="E3855" s="343" t="s">
        <v>93</v>
      </c>
      <c r="F3855" s="344">
        <v>5400</v>
      </c>
      <c r="G3855" s="345">
        <v>10</v>
      </c>
      <c r="H3855" s="344">
        <f>F3855*G3855</f>
        <v>54000</v>
      </c>
      <c r="I3855" s="344"/>
    </row>
    <row r="3856" spans="2:9" x14ac:dyDescent="0.3">
      <c r="B3856" s="354" t="s">
        <v>797</v>
      </c>
      <c r="C3856" s="333"/>
      <c r="D3856" s="332"/>
      <c r="E3856" s="355" t="s">
        <v>93</v>
      </c>
      <c r="F3856" s="334">
        <v>7900</v>
      </c>
      <c r="G3856" s="332">
        <v>15</v>
      </c>
      <c r="H3856" s="344">
        <f>F3856*G3856</f>
        <v>118500</v>
      </c>
      <c r="I3856" s="334"/>
    </row>
    <row r="3857" spans="2:9" x14ac:dyDescent="0.3">
      <c r="B3857" s="342" t="s">
        <v>670</v>
      </c>
      <c r="C3857" s="333"/>
      <c r="D3857" s="332"/>
      <c r="E3857" s="343" t="s">
        <v>671</v>
      </c>
      <c r="F3857" s="344">
        <v>626828.6</v>
      </c>
      <c r="G3857" s="345">
        <v>0.8</v>
      </c>
      <c r="H3857" s="344">
        <f>F3857*G3857</f>
        <v>501462.88</v>
      </c>
      <c r="I3857" s="344"/>
    </row>
    <row r="3858" spans="2:9" x14ac:dyDescent="0.3">
      <c r="B3858" s="332"/>
      <c r="C3858" s="333"/>
      <c r="D3858" s="332"/>
      <c r="E3858" s="333"/>
      <c r="F3858" s="334"/>
      <c r="G3858" s="332"/>
      <c r="H3858" s="334"/>
      <c r="I3858" s="334"/>
    </row>
    <row r="3859" spans="2:9" x14ac:dyDescent="0.3">
      <c r="B3859" s="332"/>
      <c r="C3859" s="333"/>
      <c r="D3859" s="332"/>
      <c r="E3859" s="333"/>
      <c r="F3859" s="334"/>
      <c r="G3859" s="332"/>
      <c r="H3859" s="334" t="s">
        <v>628</v>
      </c>
      <c r="I3859" s="334">
        <f>SUM(H3855:H3858)</f>
        <v>673962.88</v>
      </c>
    </row>
    <row r="3860" spans="2:9" x14ac:dyDescent="0.3">
      <c r="B3860" s="332" t="s">
        <v>632</v>
      </c>
      <c r="C3860" s="333"/>
      <c r="D3860" s="332"/>
      <c r="E3860" s="333" t="s">
        <v>624</v>
      </c>
      <c r="F3860" s="334" t="s">
        <v>633</v>
      </c>
      <c r="G3860" s="332" t="s">
        <v>634</v>
      </c>
      <c r="H3860" s="334" t="s">
        <v>627</v>
      </c>
      <c r="I3860" s="334"/>
    </row>
    <row r="3861" spans="2:9" x14ac:dyDescent="0.3">
      <c r="B3861" s="332"/>
      <c r="C3861" s="333"/>
      <c r="D3861" s="332"/>
      <c r="E3861" s="332"/>
      <c r="F3861" s="332"/>
      <c r="G3861" s="332"/>
      <c r="H3861" s="332"/>
      <c r="I3861" s="332"/>
    </row>
    <row r="3862" spans="2:9" x14ac:dyDescent="0.3">
      <c r="B3862" s="332"/>
      <c r="C3862" s="333"/>
      <c r="D3862" s="332"/>
      <c r="E3862" s="333"/>
      <c r="F3862" s="336"/>
      <c r="G3862" s="334"/>
      <c r="H3862" s="334"/>
      <c r="I3862" s="334"/>
    </row>
    <row r="3863" spans="2:9" x14ac:dyDescent="0.3">
      <c r="B3863" s="332"/>
      <c r="C3863" s="333"/>
      <c r="D3863" s="332"/>
      <c r="E3863" s="333"/>
      <c r="F3863" s="334"/>
      <c r="G3863" s="332"/>
      <c r="H3863" s="334" t="s">
        <v>628</v>
      </c>
      <c r="I3863" s="334">
        <f>SUM(H3862)</f>
        <v>0</v>
      </c>
    </row>
    <row r="3864" spans="2:9" x14ac:dyDescent="0.3">
      <c r="B3864" s="332" t="s">
        <v>635</v>
      </c>
      <c r="C3864" s="333"/>
      <c r="D3864" s="332"/>
      <c r="E3864" s="333"/>
      <c r="F3864" s="334"/>
      <c r="G3864" s="332"/>
      <c r="H3864" s="334"/>
      <c r="I3864" s="334"/>
    </row>
    <row r="3865" spans="2:9" x14ac:dyDescent="0.3">
      <c r="B3865" s="332" t="s">
        <v>636</v>
      </c>
      <c r="C3865" s="333"/>
      <c r="D3865" s="332"/>
      <c r="E3865" s="333" t="s">
        <v>637</v>
      </c>
      <c r="F3865" s="334" t="s">
        <v>638</v>
      </c>
      <c r="G3865" s="332" t="s">
        <v>639</v>
      </c>
      <c r="H3865" s="334" t="s">
        <v>627</v>
      </c>
      <c r="I3865" s="334"/>
    </row>
    <row r="3866" spans="2:9" x14ac:dyDescent="0.3">
      <c r="B3866" s="332" t="s">
        <v>645</v>
      </c>
      <c r="C3866" s="333"/>
      <c r="D3866" s="332"/>
      <c r="E3866" s="337">
        <v>168000</v>
      </c>
      <c r="F3866" s="334">
        <v>1.8</v>
      </c>
      <c r="G3866" s="335">
        <v>0.3237225975142185</v>
      </c>
      <c r="H3866" s="334">
        <f>E3866*F3866/G3866</f>
        <v>934133.11990590347</v>
      </c>
      <c r="I3866" s="334"/>
    </row>
    <row r="3867" spans="2:9" x14ac:dyDescent="0.3">
      <c r="B3867" s="332"/>
      <c r="C3867" s="333"/>
      <c r="D3867" s="332"/>
      <c r="E3867" s="333"/>
      <c r="F3867" s="334"/>
      <c r="G3867" s="332"/>
      <c r="H3867" s="334" t="s">
        <v>628</v>
      </c>
      <c r="I3867" s="334">
        <f>H3866</f>
        <v>934133.11990590347</v>
      </c>
    </row>
    <row r="3868" spans="2:9" x14ac:dyDescent="0.3">
      <c r="B3868" s="332"/>
      <c r="C3868" s="333"/>
      <c r="D3868" s="332"/>
      <c r="E3868" s="333"/>
      <c r="F3868" s="334"/>
      <c r="G3868" s="332"/>
      <c r="H3868" s="330" t="s">
        <v>640</v>
      </c>
      <c r="I3868" s="330">
        <f>I3867+I3859+I3852+I3863</f>
        <v>1620095.9999059034</v>
      </c>
    </row>
    <row r="3870" spans="2:9" ht="43.2" x14ac:dyDescent="0.3">
      <c r="B3870" s="339" t="s">
        <v>748</v>
      </c>
      <c r="C3870" s="339" t="s">
        <v>621</v>
      </c>
      <c r="D3870" s="352" t="s">
        <v>536</v>
      </c>
      <c r="E3870" s="329"/>
      <c r="F3870" s="353"/>
      <c r="G3870" s="340" t="s">
        <v>622</v>
      </c>
      <c r="H3870" s="340" t="s">
        <v>33</v>
      </c>
      <c r="I3870" s="340">
        <f>+ROUND(I3891,0)</f>
        <v>350000</v>
      </c>
    </row>
    <row r="3871" spans="2:9" x14ac:dyDescent="0.3">
      <c r="B3871" s="332" t="s">
        <v>623</v>
      </c>
      <c r="C3871" s="333"/>
      <c r="D3871" s="332"/>
      <c r="E3871" s="333"/>
      <c r="F3871" s="334"/>
      <c r="G3871" s="332"/>
      <c r="H3871" s="334"/>
      <c r="I3871" s="334"/>
    </row>
    <row r="3872" spans="2:9" x14ac:dyDescent="0.3">
      <c r="B3872" s="332" t="s">
        <v>271</v>
      </c>
      <c r="C3872" s="333"/>
      <c r="D3872" s="332"/>
      <c r="E3872" s="333" t="s">
        <v>624</v>
      </c>
      <c r="F3872" s="334" t="s">
        <v>625</v>
      </c>
      <c r="G3872" s="332" t="s">
        <v>626</v>
      </c>
      <c r="H3872" s="334" t="s">
        <v>627</v>
      </c>
      <c r="I3872" s="334"/>
    </row>
    <row r="3873" spans="2:9" x14ac:dyDescent="0.3">
      <c r="B3873" s="332" t="s">
        <v>642</v>
      </c>
      <c r="C3873" s="333"/>
      <c r="D3873" s="332"/>
      <c r="E3873" s="333" t="s">
        <v>644</v>
      </c>
      <c r="F3873" s="334">
        <v>1500</v>
      </c>
      <c r="G3873" s="335">
        <v>8</v>
      </c>
      <c r="H3873" s="334">
        <f>F3873*G3873</f>
        <v>12000</v>
      </c>
      <c r="I3873" s="334"/>
    </row>
    <row r="3874" spans="2:9" x14ac:dyDescent="0.3">
      <c r="B3874" s="332"/>
      <c r="C3874" s="333"/>
      <c r="D3874" s="332"/>
      <c r="E3874" s="333"/>
      <c r="F3874" s="334"/>
      <c r="G3874" s="335"/>
      <c r="H3874" s="334"/>
      <c r="I3874" s="334"/>
    </row>
    <row r="3875" spans="2:9" x14ac:dyDescent="0.3">
      <c r="B3875" s="332"/>
      <c r="C3875" s="333"/>
      <c r="D3875" s="332"/>
      <c r="E3875" s="333"/>
      <c r="F3875" s="334"/>
      <c r="G3875" s="335"/>
      <c r="H3875" s="334"/>
      <c r="I3875" s="334"/>
    </row>
    <row r="3876" spans="2:9" x14ac:dyDescent="0.3">
      <c r="B3876" s="332"/>
      <c r="C3876" s="333"/>
      <c r="D3876" s="332"/>
      <c r="E3876" s="333"/>
      <c r="F3876" s="334"/>
      <c r="G3876" s="332"/>
      <c r="H3876" s="334" t="s">
        <v>628</v>
      </c>
      <c r="I3876" s="334">
        <f>SUM(H3873:H3875)</f>
        <v>12000</v>
      </c>
    </row>
    <row r="3877" spans="2:9" x14ac:dyDescent="0.3">
      <c r="B3877" s="332" t="s">
        <v>629</v>
      </c>
      <c r="C3877" s="333"/>
      <c r="D3877" s="332"/>
      <c r="E3877" s="333"/>
      <c r="F3877" s="334"/>
      <c r="G3877" s="332"/>
      <c r="H3877" s="334"/>
      <c r="I3877" s="334"/>
    </row>
    <row r="3878" spans="2:9" x14ac:dyDescent="0.3">
      <c r="B3878" s="332" t="s">
        <v>271</v>
      </c>
      <c r="C3878" s="333"/>
      <c r="D3878" s="332"/>
      <c r="E3878" s="333" t="s">
        <v>624</v>
      </c>
      <c r="F3878" s="334" t="s">
        <v>630</v>
      </c>
      <c r="G3878" s="332" t="s">
        <v>631</v>
      </c>
      <c r="H3878" s="334" t="s">
        <v>627</v>
      </c>
      <c r="I3878" s="334"/>
    </row>
    <row r="3879" spans="2:9" x14ac:dyDescent="0.3">
      <c r="B3879" s="354" t="s">
        <v>797</v>
      </c>
      <c r="C3879" s="333"/>
      <c r="D3879" s="332"/>
      <c r="E3879" s="355" t="s">
        <v>93</v>
      </c>
      <c r="F3879" s="334">
        <v>7900</v>
      </c>
      <c r="G3879" s="332">
        <v>6</v>
      </c>
      <c r="H3879" s="344">
        <f>F3879*G3879</f>
        <v>47400</v>
      </c>
      <c r="I3879" s="334"/>
    </row>
    <row r="3880" spans="2:9" x14ac:dyDescent="0.3">
      <c r="B3880" s="356" t="s">
        <v>799</v>
      </c>
      <c r="C3880" s="333"/>
      <c r="D3880" s="332"/>
      <c r="E3880" s="357" t="s">
        <v>33</v>
      </c>
      <c r="F3880" s="344">
        <v>237900</v>
      </c>
      <c r="G3880" s="345">
        <v>1</v>
      </c>
      <c r="H3880" s="344">
        <f>F3880*G3880</f>
        <v>237900</v>
      </c>
      <c r="I3880" s="344"/>
    </row>
    <row r="3881" spans="2:9" x14ac:dyDescent="0.3">
      <c r="B3881" s="354" t="s">
        <v>800</v>
      </c>
      <c r="C3881" s="333"/>
      <c r="D3881" s="332"/>
      <c r="E3881" s="355" t="s">
        <v>671</v>
      </c>
      <c r="F3881" s="334">
        <v>65000</v>
      </c>
      <c r="G3881" s="332">
        <v>0.5</v>
      </c>
      <c r="H3881" s="344">
        <f>F3881*G3881</f>
        <v>32500</v>
      </c>
      <c r="I3881" s="334"/>
    </row>
    <row r="3882" spans="2:9" x14ac:dyDescent="0.3">
      <c r="B3882" s="332"/>
      <c r="C3882" s="333"/>
      <c r="D3882" s="332"/>
      <c r="E3882" s="333"/>
      <c r="F3882" s="334"/>
      <c r="G3882" s="332"/>
      <c r="H3882" s="334" t="s">
        <v>628</v>
      </c>
      <c r="I3882" s="334">
        <f>SUM(H3879:H3881)</f>
        <v>317800</v>
      </c>
    </row>
    <row r="3883" spans="2:9" x14ac:dyDescent="0.3">
      <c r="B3883" s="332" t="s">
        <v>632</v>
      </c>
      <c r="C3883" s="333"/>
      <c r="D3883" s="332"/>
      <c r="E3883" s="333" t="s">
        <v>624</v>
      </c>
      <c r="F3883" s="334" t="s">
        <v>633</v>
      </c>
      <c r="G3883" s="332" t="s">
        <v>634</v>
      </c>
      <c r="H3883" s="334" t="s">
        <v>627</v>
      </c>
      <c r="I3883" s="334"/>
    </row>
    <row r="3884" spans="2:9" x14ac:dyDescent="0.3">
      <c r="B3884" s="332"/>
      <c r="C3884" s="333"/>
      <c r="D3884" s="332"/>
      <c r="E3884" s="332"/>
      <c r="F3884" s="332"/>
      <c r="G3884" s="332"/>
      <c r="H3884" s="332"/>
      <c r="I3884" s="332"/>
    </row>
    <row r="3885" spans="2:9" x14ac:dyDescent="0.3">
      <c r="B3885" s="332"/>
      <c r="C3885" s="333"/>
      <c r="D3885" s="332"/>
      <c r="E3885" s="333"/>
      <c r="F3885" s="336"/>
      <c r="G3885" s="334"/>
      <c r="H3885" s="334"/>
      <c r="I3885" s="334"/>
    </row>
    <row r="3886" spans="2:9" x14ac:dyDescent="0.3">
      <c r="B3886" s="332"/>
      <c r="C3886" s="333"/>
      <c r="D3886" s="332"/>
      <c r="E3886" s="333"/>
      <c r="F3886" s="334"/>
      <c r="G3886" s="332"/>
      <c r="H3886" s="334" t="s">
        <v>628</v>
      </c>
      <c r="I3886" s="334">
        <f>SUM(H3885)</f>
        <v>0</v>
      </c>
    </row>
    <row r="3887" spans="2:9" x14ac:dyDescent="0.3">
      <c r="B3887" s="332" t="s">
        <v>635</v>
      </c>
      <c r="C3887" s="333"/>
      <c r="D3887" s="332"/>
      <c r="E3887" s="333"/>
      <c r="F3887" s="334"/>
      <c r="G3887" s="332"/>
      <c r="H3887" s="334"/>
      <c r="I3887" s="334"/>
    </row>
    <row r="3888" spans="2:9" x14ac:dyDescent="0.3">
      <c r="B3888" s="332" t="s">
        <v>636</v>
      </c>
      <c r="C3888" s="333"/>
      <c r="D3888" s="332"/>
      <c r="E3888" s="333" t="s">
        <v>637</v>
      </c>
      <c r="F3888" s="334" t="s">
        <v>638</v>
      </c>
      <c r="G3888" s="332" t="s">
        <v>639</v>
      </c>
      <c r="H3888" s="334" t="s">
        <v>627</v>
      </c>
      <c r="I3888" s="334"/>
    </row>
    <row r="3889" spans="2:9" x14ac:dyDescent="0.3">
      <c r="B3889" s="332" t="s">
        <v>645</v>
      </c>
      <c r="C3889" s="333"/>
      <c r="D3889" s="332"/>
      <c r="E3889" s="337">
        <v>168000</v>
      </c>
      <c r="F3889" s="334">
        <v>1.8</v>
      </c>
      <c r="G3889" s="335">
        <v>14.970297028609284</v>
      </c>
      <c r="H3889" s="334">
        <f>E3889*F3889/G3889</f>
        <v>20200.000001475753</v>
      </c>
      <c r="I3889" s="334"/>
    </row>
    <row r="3890" spans="2:9" x14ac:dyDescent="0.3">
      <c r="B3890" s="332"/>
      <c r="C3890" s="333"/>
      <c r="D3890" s="332"/>
      <c r="E3890" s="333"/>
      <c r="F3890" s="334"/>
      <c r="G3890" s="332"/>
      <c r="H3890" s="334" t="s">
        <v>628</v>
      </c>
      <c r="I3890" s="334">
        <f>H3889</f>
        <v>20200.000001475753</v>
      </c>
    </row>
    <row r="3891" spans="2:9" x14ac:dyDescent="0.3">
      <c r="B3891" s="332"/>
      <c r="C3891" s="333"/>
      <c r="D3891" s="332"/>
      <c r="E3891" s="333"/>
      <c r="F3891" s="334"/>
      <c r="G3891" s="332"/>
      <c r="H3891" s="330" t="s">
        <v>640</v>
      </c>
      <c r="I3891" s="330">
        <f>I3890+I3882+I3876+I3886</f>
        <v>350000.00000147574</v>
      </c>
    </row>
    <row r="3893" spans="2:9" ht="72" x14ac:dyDescent="0.3">
      <c r="B3893" s="339" t="s">
        <v>749</v>
      </c>
      <c r="C3893" s="339" t="s">
        <v>621</v>
      </c>
      <c r="D3893" s="352" t="s">
        <v>537</v>
      </c>
      <c r="E3893" s="329"/>
      <c r="F3893" s="353"/>
      <c r="G3893" s="340" t="s">
        <v>622</v>
      </c>
      <c r="H3893" s="340" t="s">
        <v>33</v>
      </c>
      <c r="I3893" s="340">
        <f>+ROUND(I3917,0)</f>
        <v>10500000</v>
      </c>
    </row>
    <row r="3894" spans="2:9" x14ac:dyDescent="0.3">
      <c r="B3894" s="332" t="s">
        <v>623</v>
      </c>
      <c r="C3894" s="333"/>
      <c r="D3894" s="332"/>
      <c r="E3894" s="333"/>
      <c r="F3894" s="334"/>
      <c r="G3894" s="332"/>
      <c r="H3894" s="334"/>
      <c r="I3894" s="334"/>
    </row>
    <row r="3895" spans="2:9" x14ac:dyDescent="0.3">
      <c r="B3895" s="332" t="s">
        <v>271</v>
      </c>
      <c r="C3895" s="333"/>
      <c r="D3895" s="332"/>
      <c r="E3895" s="333" t="s">
        <v>624</v>
      </c>
      <c r="F3895" s="334" t="s">
        <v>625</v>
      </c>
      <c r="G3895" s="332" t="s">
        <v>626</v>
      </c>
      <c r="H3895" s="334" t="s">
        <v>627</v>
      </c>
      <c r="I3895" s="334"/>
    </row>
    <row r="3896" spans="2:9" x14ac:dyDescent="0.3">
      <c r="B3896" s="332" t="s">
        <v>642</v>
      </c>
      <c r="C3896" s="333"/>
      <c r="D3896" s="332"/>
      <c r="E3896" s="333" t="s">
        <v>644</v>
      </c>
      <c r="F3896" s="334">
        <v>1500</v>
      </c>
      <c r="G3896" s="335">
        <v>8</v>
      </c>
      <c r="H3896" s="334">
        <f>F3896*G3896</f>
        <v>12000</v>
      </c>
      <c r="I3896" s="334"/>
    </row>
    <row r="3897" spans="2:9" x14ac:dyDescent="0.3">
      <c r="B3897" s="332"/>
      <c r="C3897" s="333"/>
      <c r="D3897" s="332"/>
      <c r="E3897" s="333"/>
      <c r="F3897" s="334"/>
      <c r="G3897" s="335"/>
      <c r="H3897" s="334"/>
      <c r="I3897" s="334"/>
    </row>
    <row r="3898" spans="2:9" x14ac:dyDescent="0.3">
      <c r="B3898" s="332"/>
      <c r="C3898" s="333"/>
      <c r="D3898" s="332"/>
      <c r="E3898" s="333"/>
      <c r="F3898" s="334"/>
      <c r="G3898" s="335"/>
      <c r="H3898" s="334"/>
      <c r="I3898" s="334"/>
    </row>
    <row r="3899" spans="2:9" x14ac:dyDescent="0.3">
      <c r="B3899" s="332"/>
      <c r="C3899" s="333"/>
      <c r="D3899" s="332"/>
      <c r="E3899" s="333"/>
      <c r="F3899" s="334"/>
      <c r="G3899" s="332"/>
      <c r="H3899" s="334" t="s">
        <v>628</v>
      </c>
      <c r="I3899" s="334">
        <f>SUM(H3896:H3898)</f>
        <v>12000</v>
      </c>
    </row>
    <row r="3900" spans="2:9" x14ac:dyDescent="0.3">
      <c r="B3900" s="332" t="s">
        <v>629</v>
      </c>
      <c r="C3900" s="333"/>
      <c r="D3900" s="332"/>
      <c r="E3900" s="333"/>
      <c r="F3900" s="334"/>
      <c r="G3900" s="332"/>
      <c r="H3900" s="334"/>
      <c r="I3900" s="334"/>
    </row>
    <row r="3901" spans="2:9" x14ac:dyDescent="0.3">
      <c r="B3901" s="332" t="s">
        <v>271</v>
      </c>
      <c r="C3901" s="333"/>
      <c r="D3901" s="332"/>
      <c r="E3901" s="333" t="s">
        <v>624</v>
      </c>
      <c r="F3901" s="334" t="s">
        <v>630</v>
      </c>
      <c r="G3901" s="332" t="s">
        <v>631</v>
      </c>
      <c r="H3901" s="334" t="s">
        <v>627</v>
      </c>
      <c r="I3901" s="334"/>
    </row>
    <row r="3902" spans="2:9" ht="28.8" x14ac:dyDescent="0.3">
      <c r="B3902" s="356" t="s">
        <v>802</v>
      </c>
      <c r="C3902" s="333"/>
      <c r="D3902" s="332"/>
      <c r="E3902" s="355" t="s">
        <v>93</v>
      </c>
      <c r="F3902" s="334">
        <v>7900</v>
      </c>
      <c r="G3902" s="332">
        <v>6</v>
      </c>
      <c r="H3902" s="344">
        <f>F3902*G3902</f>
        <v>47400</v>
      </c>
      <c r="I3902" s="334"/>
    </row>
    <row r="3903" spans="2:9" x14ac:dyDescent="0.3">
      <c r="B3903" s="356" t="s">
        <v>799</v>
      </c>
      <c r="C3903" s="333"/>
      <c r="D3903" s="332"/>
      <c r="E3903" s="357" t="s">
        <v>33</v>
      </c>
      <c r="F3903" s="344">
        <v>237900</v>
      </c>
      <c r="G3903" s="345">
        <v>1</v>
      </c>
      <c r="H3903" s="344">
        <f>F3903*G3903</f>
        <v>237900</v>
      </c>
      <c r="I3903" s="344"/>
    </row>
    <row r="3904" spans="2:9" x14ac:dyDescent="0.3">
      <c r="B3904" s="354" t="s">
        <v>800</v>
      </c>
      <c r="C3904" s="333"/>
      <c r="D3904" s="332"/>
      <c r="E3904" s="355" t="s">
        <v>671</v>
      </c>
      <c r="F3904" s="334">
        <v>65000</v>
      </c>
      <c r="G3904" s="332">
        <v>2</v>
      </c>
      <c r="H3904" s="344">
        <f>F3904*G3904</f>
        <v>130000</v>
      </c>
      <c r="I3904" s="334"/>
    </row>
    <row r="3905" spans="2:9" x14ac:dyDescent="0.3">
      <c r="B3905" s="354" t="s">
        <v>801</v>
      </c>
      <c r="C3905" s="333"/>
      <c r="D3905" s="332"/>
      <c r="E3905" s="355" t="s">
        <v>33</v>
      </c>
      <c r="F3905" s="334">
        <v>6817900</v>
      </c>
      <c r="G3905" s="332">
        <v>1</v>
      </c>
      <c r="H3905" s="344">
        <f>F3905*G3905</f>
        <v>6817900</v>
      </c>
      <c r="I3905" s="334"/>
    </row>
    <row r="3906" spans="2:9" x14ac:dyDescent="0.3">
      <c r="B3906" s="342" t="s">
        <v>670</v>
      </c>
      <c r="C3906" s="333"/>
      <c r="D3906" s="332"/>
      <c r="E3906" s="343" t="s">
        <v>671</v>
      </c>
      <c r="F3906" s="344">
        <v>626828.6</v>
      </c>
      <c r="G3906" s="345">
        <v>2</v>
      </c>
      <c r="H3906" s="344">
        <f>F3906*G3906</f>
        <v>1253657.2</v>
      </c>
      <c r="I3906" s="344"/>
    </row>
    <row r="3907" spans="2:9" x14ac:dyDescent="0.3">
      <c r="B3907" s="354"/>
      <c r="C3907" s="333"/>
      <c r="D3907" s="332"/>
      <c r="E3907" s="355"/>
      <c r="F3907" s="334"/>
      <c r="G3907" s="332"/>
      <c r="H3907" s="344"/>
      <c r="I3907" s="334"/>
    </row>
    <row r="3908" spans="2:9" x14ac:dyDescent="0.3">
      <c r="B3908" s="332"/>
      <c r="C3908" s="333"/>
      <c r="D3908" s="332"/>
      <c r="E3908" s="333"/>
      <c r="F3908" s="334"/>
      <c r="G3908" s="332"/>
      <c r="H3908" s="334" t="s">
        <v>628</v>
      </c>
      <c r="I3908" s="334">
        <f>SUM(H3902:H3907)</f>
        <v>8486857.1999999993</v>
      </c>
    </row>
    <row r="3909" spans="2:9" x14ac:dyDescent="0.3">
      <c r="B3909" s="332" t="s">
        <v>632</v>
      </c>
      <c r="C3909" s="333"/>
      <c r="D3909" s="332"/>
      <c r="E3909" s="333" t="s">
        <v>624</v>
      </c>
      <c r="F3909" s="334" t="s">
        <v>633</v>
      </c>
      <c r="G3909" s="332" t="s">
        <v>634</v>
      </c>
      <c r="H3909" s="334" t="s">
        <v>627</v>
      </c>
      <c r="I3909" s="334"/>
    </row>
    <row r="3910" spans="2:9" x14ac:dyDescent="0.3">
      <c r="B3910" s="332"/>
      <c r="C3910" s="333"/>
      <c r="D3910" s="332"/>
      <c r="E3910" s="332"/>
      <c r="F3910" s="332"/>
      <c r="G3910" s="332"/>
      <c r="H3910" s="332"/>
      <c r="I3910" s="332"/>
    </row>
    <row r="3911" spans="2:9" x14ac:dyDescent="0.3">
      <c r="B3911" s="332"/>
      <c r="C3911" s="333"/>
      <c r="D3911" s="332"/>
      <c r="E3911" s="333"/>
      <c r="F3911" s="336"/>
      <c r="G3911" s="334"/>
      <c r="H3911" s="334"/>
      <c r="I3911" s="334"/>
    </row>
    <row r="3912" spans="2:9" x14ac:dyDescent="0.3">
      <c r="B3912" s="332"/>
      <c r="C3912" s="333"/>
      <c r="D3912" s="332"/>
      <c r="E3912" s="333"/>
      <c r="F3912" s="334"/>
      <c r="G3912" s="332"/>
      <c r="H3912" s="334" t="s">
        <v>628</v>
      </c>
      <c r="I3912" s="334">
        <f>SUM(H3911)</f>
        <v>0</v>
      </c>
    </row>
    <row r="3913" spans="2:9" x14ac:dyDescent="0.3">
      <c r="B3913" s="332" t="s">
        <v>635</v>
      </c>
      <c r="C3913" s="333"/>
      <c r="D3913" s="332"/>
      <c r="E3913" s="333"/>
      <c r="F3913" s="334"/>
      <c r="G3913" s="332"/>
      <c r="H3913" s="334"/>
      <c r="I3913" s="334"/>
    </row>
    <row r="3914" spans="2:9" x14ac:dyDescent="0.3">
      <c r="B3914" s="332" t="s">
        <v>636</v>
      </c>
      <c r="C3914" s="333"/>
      <c r="D3914" s="332"/>
      <c r="E3914" s="333" t="s">
        <v>637</v>
      </c>
      <c r="F3914" s="334" t="s">
        <v>638</v>
      </c>
      <c r="G3914" s="332" t="s">
        <v>639</v>
      </c>
      <c r="H3914" s="334" t="s">
        <v>627</v>
      </c>
      <c r="I3914" s="334"/>
    </row>
    <row r="3915" spans="2:9" x14ac:dyDescent="0.3">
      <c r="B3915" s="332" t="s">
        <v>645</v>
      </c>
      <c r="C3915" s="333"/>
      <c r="D3915" s="332"/>
      <c r="E3915" s="337">
        <v>168000</v>
      </c>
      <c r="F3915" s="334">
        <v>1.8</v>
      </c>
      <c r="G3915" s="335">
        <v>0.15111365366055365</v>
      </c>
      <c r="H3915" s="334">
        <f>E3915*F3915/G3915</f>
        <v>2001142.7999701509</v>
      </c>
      <c r="I3915" s="334"/>
    </row>
    <row r="3916" spans="2:9" x14ac:dyDescent="0.3">
      <c r="B3916" s="332"/>
      <c r="C3916" s="333"/>
      <c r="D3916" s="332"/>
      <c r="E3916" s="333"/>
      <c r="F3916" s="334"/>
      <c r="G3916" s="332"/>
      <c r="H3916" s="334" t="s">
        <v>628</v>
      </c>
      <c r="I3916" s="334">
        <f>H3915</f>
        <v>2001142.7999701509</v>
      </c>
    </row>
    <row r="3917" spans="2:9" x14ac:dyDescent="0.3">
      <c r="B3917" s="332"/>
      <c r="C3917" s="333"/>
      <c r="D3917" s="332"/>
      <c r="E3917" s="333"/>
      <c r="F3917" s="334"/>
      <c r="G3917" s="332"/>
      <c r="H3917" s="330" t="s">
        <v>640</v>
      </c>
      <c r="I3917" s="330">
        <f>I3916+I3908+I3899+I3912</f>
        <v>10499999.999970149</v>
      </c>
    </row>
  </sheetData>
  <mergeCells count="1">
    <mergeCell ref="B1420:D14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A8D08D"/>
  </sheetPr>
  <dimension ref="A1:Z999"/>
  <sheetViews>
    <sheetView topLeftCell="A13" workbookViewId="0"/>
  </sheetViews>
  <sheetFormatPr baseColWidth="10" defaultColWidth="14.44140625" defaultRowHeight="15" customHeight="1" x14ac:dyDescent="0.3"/>
  <cols>
    <col min="1" max="1" width="74.88671875" customWidth="1"/>
    <col min="2" max="2" width="8.6640625" customWidth="1"/>
    <col min="3" max="3" width="20" customWidth="1"/>
    <col min="4" max="6" width="10.6640625" customWidth="1"/>
    <col min="7" max="7" width="30.44140625" customWidth="1"/>
    <col min="8" max="8" width="14.5546875" customWidth="1"/>
    <col min="9" max="9" width="17.5546875" customWidth="1"/>
    <col min="10" max="10" width="25.109375" customWidth="1"/>
    <col min="11" max="11" width="42" customWidth="1"/>
    <col min="12" max="13" width="10.6640625" customWidth="1"/>
    <col min="14" max="14" width="12" customWidth="1"/>
    <col min="15" max="26" width="10.6640625" customWidth="1"/>
  </cols>
  <sheetData>
    <row r="1" spans="1:26" x14ac:dyDescent="0.3">
      <c r="A1" s="39" t="s">
        <v>89</v>
      </c>
      <c r="B1" s="40"/>
      <c r="C1" s="8" t="s">
        <v>113</v>
      </c>
      <c r="G1" s="6"/>
    </row>
    <row r="2" spans="1:26" x14ac:dyDescent="0.3">
      <c r="A2" s="50" t="s">
        <v>114</v>
      </c>
      <c r="B2" s="42" t="s">
        <v>115</v>
      </c>
      <c r="C2" s="8">
        <v>2842</v>
      </c>
      <c r="G2" s="6" t="s">
        <v>116</v>
      </c>
    </row>
    <row r="3" spans="1:26" x14ac:dyDescent="0.3">
      <c r="A3" s="50" t="s">
        <v>117</v>
      </c>
      <c r="B3" s="42" t="s">
        <v>93</v>
      </c>
      <c r="C3" s="8">
        <v>7607</v>
      </c>
      <c r="G3" s="6" t="s">
        <v>116</v>
      </c>
    </row>
    <row r="4" spans="1:26" x14ac:dyDescent="0.3">
      <c r="A4" s="50" t="s">
        <v>118</v>
      </c>
      <c r="B4" s="42" t="s">
        <v>119</v>
      </c>
      <c r="C4" s="8">
        <v>152468</v>
      </c>
      <c r="G4" s="6" t="s">
        <v>116</v>
      </c>
    </row>
    <row r="5" spans="1:26" x14ac:dyDescent="0.3">
      <c r="A5" s="50" t="s">
        <v>120</v>
      </c>
      <c r="B5" s="42" t="s">
        <v>90</v>
      </c>
      <c r="C5" s="8">
        <v>53288</v>
      </c>
      <c r="G5" s="6" t="s">
        <v>116</v>
      </c>
    </row>
    <row r="6" spans="1:26" x14ac:dyDescent="0.3">
      <c r="A6" s="50" t="s">
        <v>121</v>
      </c>
      <c r="B6" s="42" t="s">
        <v>90</v>
      </c>
      <c r="C6" s="8">
        <v>10059</v>
      </c>
      <c r="G6" s="6" t="s">
        <v>122</v>
      </c>
    </row>
    <row r="7" spans="1:26" x14ac:dyDescent="0.3">
      <c r="A7" s="50" t="s">
        <v>123</v>
      </c>
      <c r="B7" s="42" t="s">
        <v>92</v>
      </c>
      <c r="C7" s="8">
        <v>53288</v>
      </c>
      <c r="G7" s="6" t="s">
        <v>116</v>
      </c>
    </row>
    <row r="8" spans="1:26" x14ac:dyDescent="0.3">
      <c r="A8" s="50" t="s">
        <v>124</v>
      </c>
      <c r="B8" s="42" t="s">
        <v>90</v>
      </c>
      <c r="C8" s="8">
        <v>6510</v>
      </c>
      <c r="G8" s="6" t="s">
        <v>122</v>
      </c>
    </row>
    <row r="9" spans="1:26" x14ac:dyDescent="0.3">
      <c r="A9" s="50" t="s">
        <v>125</v>
      </c>
      <c r="B9" s="42" t="s">
        <v>92</v>
      </c>
      <c r="C9" s="8">
        <v>152468</v>
      </c>
      <c r="G9" s="6" t="s">
        <v>116</v>
      </c>
    </row>
    <row r="10" spans="1:26" x14ac:dyDescent="0.3">
      <c r="A10" s="51" t="s">
        <v>126</v>
      </c>
      <c r="B10" s="52" t="s">
        <v>127</v>
      </c>
      <c r="C10" s="53">
        <v>5993</v>
      </c>
      <c r="D10" s="54"/>
      <c r="E10" s="54"/>
      <c r="F10" s="54"/>
      <c r="G10" s="38" t="s">
        <v>116</v>
      </c>
      <c r="H10" s="54"/>
      <c r="I10" s="54"/>
      <c r="J10" s="54"/>
      <c r="K10" s="54"/>
      <c r="L10" s="54"/>
      <c r="M10" s="54"/>
      <c r="N10" s="54"/>
      <c r="O10" s="54"/>
      <c r="P10" s="54"/>
      <c r="Q10" s="54"/>
      <c r="R10" s="54"/>
      <c r="S10" s="54"/>
      <c r="T10" s="54"/>
      <c r="U10" s="54"/>
      <c r="V10" s="54"/>
      <c r="W10" s="54"/>
      <c r="X10" s="54"/>
      <c r="Y10" s="54"/>
      <c r="Z10" s="54"/>
    </row>
    <row r="11" spans="1:26" x14ac:dyDescent="0.3">
      <c r="A11" s="50" t="s">
        <v>128</v>
      </c>
      <c r="B11" s="42" t="s">
        <v>33</v>
      </c>
      <c r="C11" s="8">
        <v>7468</v>
      </c>
      <c r="G11" s="6" t="s">
        <v>116</v>
      </c>
    </row>
    <row r="12" spans="1:26" x14ac:dyDescent="0.3">
      <c r="A12" s="50" t="s">
        <v>129</v>
      </c>
      <c r="B12" s="42" t="s">
        <v>33</v>
      </c>
      <c r="C12" s="8">
        <v>4979</v>
      </c>
      <c r="G12" s="6" t="s">
        <v>116</v>
      </c>
    </row>
    <row r="13" spans="1:26" x14ac:dyDescent="0.3">
      <c r="A13" s="50" t="s">
        <v>130</v>
      </c>
      <c r="B13" s="42" t="s">
        <v>33</v>
      </c>
      <c r="C13" s="8">
        <v>7468</v>
      </c>
      <c r="G13" s="6" t="s">
        <v>116</v>
      </c>
    </row>
    <row r="14" spans="1:26" x14ac:dyDescent="0.3">
      <c r="A14" s="50" t="s">
        <v>131</v>
      </c>
      <c r="B14" s="42" t="s">
        <v>33</v>
      </c>
      <c r="C14" s="8">
        <v>4979</v>
      </c>
      <c r="G14" s="6" t="s">
        <v>116</v>
      </c>
    </row>
    <row r="15" spans="1:26" x14ac:dyDescent="0.3">
      <c r="A15" s="50" t="s">
        <v>132</v>
      </c>
      <c r="B15" s="42" t="s">
        <v>102</v>
      </c>
      <c r="C15" s="8">
        <f>+(5*5000+50*7000)</f>
        <v>375000</v>
      </c>
      <c r="G15" s="6" t="s">
        <v>133</v>
      </c>
      <c r="H15" s="1" t="s">
        <v>134</v>
      </c>
      <c r="I15" s="1" t="s">
        <v>135</v>
      </c>
    </row>
    <row r="16" spans="1:26" x14ac:dyDescent="0.3">
      <c r="A16" s="51" t="s">
        <v>136</v>
      </c>
      <c r="B16" s="52" t="s">
        <v>137</v>
      </c>
      <c r="C16" s="53">
        <v>7468</v>
      </c>
      <c r="D16" s="54"/>
      <c r="E16" s="54"/>
      <c r="F16" s="54"/>
      <c r="G16" s="38" t="s">
        <v>138</v>
      </c>
      <c r="H16" s="54"/>
      <c r="I16" s="54"/>
      <c r="J16" s="54"/>
      <c r="K16" s="54"/>
      <c r="L16" s="54"/>
      <c r="M16" s="54"/>
      <c r="N16" s="54"/>
      <c r="O16" s="54"/>
      <c r="P16" s="54"/>
      <c r="Q16" s="54"/>
      <c r="R16" s="54"/>
      <c r="S16" s="54"/>
      <c r="T16" s="54"/>
      <c r="U16" s="54"/>
      <c r="V16" s="54"/>
      <c r="W16" s="54"/>
      <c r="X16" s="54"/>
      <c r="Y16" s="54"/>
      <c r="Z16" s="54"/>
    </row>
    <row r="17" spans="1:14" x14ac:dyDescent="0.3">
      <c r="A17" s="39" t="s">
        <v>91</v>
      </c>
      <c r="B17" s="40"/>
      <c r="C17" s="8">
        <v>1</v>
      </c>
      <c r="G17" s="6"/>
    </row>
    <row r="18" spans="1:14" x14ac:dyDescent="0.3">
      <c r="A18" s="50" t="s">
        <v>139</v>
      </c>
      <c r="B18" s="42" t="s">
        <v>92</v>
      </c>
      <c r="C18" s="8">
        <v>427019</v>
      </c>
      <c r="G18" s="6" t="s">
        <v>116</v>
      </c>
    </row>
    <row r="19" spans="1:14" x14ac:dyDescent="0.3">
      <c r="A19" s="50" t="s">
        <v>140</v>
      </c>
      <c r="B19" s="42" t="s">
        <v>92</v>
      </c>
      <c r="C19" s="55">
        <f>ROUND(522136*(1/(1.2*1.2*0.45)),0)</f>
        <v>805765</v>
      </c>
      <c r="G19" s="6" t="s">
        <v>116</v>
      </c>
    </row>
    <row r="20" spans="1:14" x14ac:dyDescent="0.3">
      <c r="A20" s="50" t="s">
        <v>141</v>
      </c>
      <c r="B20" s="42" t="s">
        <v>93</v>
      </c>
      <c r="C20" s="8">
        <f>ROUND(41068*1.1+$N$20,0)</f>
        <v>66492</v>
      </c>
      <c r="G20" s="6" t="s">
        <v>142</v>
      </c>
      <c r="H20" s="15">
        <f>61602/3</f>
        <v>20534</v>
      </c>
      <c r="I20" s="15" t="s">
        <v>143</v>
      </c>
      <c r="J20" s="15">
        <f t="shared" ref="J20:J27" si="0">+H20*2</f>
        <v>41068</v>
      </c>
      <c r="K20" s="1" t="s">
        <v>144</v>
      </c>
      <c r="N20" s="15">
        <v>21317</v>
      </c>
    </row>
    <row r="21" spans="1:14" x14ac:dyDescent="0.3">
      <c r="A21" s="50" t="s">
        <v>145</v>
      </c>
      <c r="B21" s="42" t="s">
        <v>93</v>
      </c>
      <c r="C21" s="8">
        <f>33366+$N$20</f>
        <v>54683</v>
      </c>
      <c r="G21" s="6" t="s">
        <v>142</v>
      </c>
      <c r="H21" s="56">
        <f>83414/5</f>
        <v>16682.8</v>
      </c>
      <c r="I21" s="56" t="s">
        <v>146</v>
      </c>
      <c r="J21" s="15">
        <f t="shared" si="0"/>
        <v>33365.599999999999</v>
      </c>
    </row>
    <row r="22" spans="1:14" x14ac:dyDescent="0.3">
      <c r="A22" s="50" t="s">
        <v>147</v>
      </c>
      <c r="B22" s="44" t="s">
        <v>93</v>
      </c>
      <c r="C22" s="8">
        <f t="shared" ref="C22:C23" si="1">20985+$N$20</f>
        <v>42302</v>
      </c>
      <c r="G22" s="6" t="s">
        <v>142</v>
      </c>
      <c r="H22" s="56">
        <f t="shared" ref="H22:H23" si="2">31477/3</f>
        <v>10492.333333333334</v>
      </c>
      <c r="I22" s="56" t="s">
        <v>148</v>
      </c>
      <c r="J22" s="15">
        <f t="shared" si="0"/>
        <v>20984.666666666668</v>
      </c>
    </row>
    <row r="23" spans="1:14" x14ac:dyDescent="0.3">
      <c r="A23" s="50" t="s">
        <v>149</v>
      </c>
      <c r="B23" s="42" t="s">
        <v>93</v>
      </c>
      <c r="C23" s="8">
        <f t="shared" si="1"/>
        <v>42302</v>
      </c>
      <c r="G23" s="6" t="s">
        <v>142</v>
      </c>
      <c r="H23" s="56">
        <f t="shared" si="2"/>
        <v>10492.333333333334</v>
      </c>
      <c r="I23" s="56" t="s">
        <v>148</v>
      </c>
      <c r="J23" s="15">
        <f t="shared" si="0"/>
        <v>20984.666666666668</v>
      </c>
    </row>
    <row r="24" spans="1:14" x14ac:dyDescent="0.3">
      <c r="A24" s="50" t="s">
        <v>150</v>
      </c>
      <c r="B24" s="42" t="s">
        <v>90</v>
      </c>
      <c r="C24" s="53">
        <v>95304</v>
      </c>
      <c r="G24" s="6" t="s">
        <v>142</v>
      </c>
      <c r="H24" s="56">
        <v>47652</v>
      </c>
      <c r="I24" s="56" t="s">
        <v>151</v>
      </c>
      <c r="J24" s="15">
        <f t="shared" si="0"/>
        <v>95304</v>
      </c>
    </row>
    <row r="25" spans="1:14" x14ac:dyDescent="0.3">
      <c r="A25" s="50" t="s">
        <v>152</v>
      </c>
      <c r="B25" s="42" t="s">
        <v>90</v>
      </c>
      <c r="C25" s="8">
        <v>94620</v>
      </c>
      <c r="G25" s="6" t="s">
        <v>142</v>
      </c>
      <c r="H25" s="15">
        <v>47310</v>
      </c>
      <c r="I25" s="15" t="s">
        <v>153</v>
      </c>
      <c r="J25" s="15">
        <f t="shared" si="0"/>
        <v>94620</v>
      </c>
    </row>
    <row r="26" spans="1:14" x14ac:dyDescent="0.3">
      <c r="A26" s="50" t="s">
        <v>154</v>
      </c>
      <c r="B26" s="42" t="s">
        <v>93</v>
      </c>
      <c r="C26" s="8">
        <f>41068++$N$20</f>
        <v>62385</v>
      </c>
      <c r="G26" s="6" t="s">
        <v>142</v>
      </c>
      <c r="H26" s="15">
        <f t="shared" ref="H26:H27" si="3">61602/3</f>
        <v>20534</v>
      </c>
      <c r="I26" s="15" t="s">
        <v>143</v>
      </c>
      <c r="J26" s="15">
        <f t="shared" si="0"/>
        <v>41068</v>
      </c>
    </row>
    <row r="27" spans="1:14" x14ac:dyDescent="0.3">
      <c r="A27" s="50" t="s">
        <v>155</v>
      </c>
      <c r="B27" s="42" t="s">
        <v>93</v>
      </c>
      <c r="C27" s="8">
        <f>41068+$N$20</f>
        <v>62385</v>
      </c>
      <c r="D27" s="1"/>
      <c r="E27" s="1"/>
      <c r="F27" s="1"/>
      <c r="G27" s="6" t="s">
        <v>142</v>
      </c>
      <c r="H27" s="15">
        <f t="shared" si="3"/>
        <v>20534</v>
      </c>
      <c r="I27" s="15" t="s">
        <v>143</v>
      </c>
      <c r="J27" s="15">
        <f t="shared" si="0"/>
        <v>41068</v>
      </c>
    </row>
    <row r="28" spans="1:14" x14ac:dyDescent="0.3">
      <c r="A28" s="50" t="s">
        <v>156</v>
      </c>
      <c r="B28" s="42" t="s">
        <v>33</v>
      </c>
      <c r="C28" s="8">
        <v>1</v>
      </c>
      <c r="G28" s="6"/>
    </row>
    <row r="29" spans="1:14" x14ac:dyDescent="0.3">
      <c r="A29" s="50" t="s">
        <v>157</v>
      </c>
      <c r="B29" s="42" t="s">
        <v>33</v>
      </c>
      <c r="C29" s="8">
        <v>1</v>
      </c>
      <c r="G29" s="6"/>
    </row>
    <row r="30" spans="1:14" x14ac:dyDescent="0.3">
      <c r="A30" s="50" t="s">
        <v>158</v>
      </c>
      <c r="B30" s="42" t="s">
        <v>159</v>
      </c>
      <c r="C30" s="8">
        <v>1</v>
      </c>
      <c r="G30" s="6"/>
    </row>
    <row r="31" spans="1:14" x14ac:dyDescent="0.3">
      <c r="A31" s="50" t="s">
        <v>160</v>
      </c>
      <c r="B31" s="42" t="s">
        <v>92</v>
      </c>
      <c r="C31" s="55">
        <f>ROUND(216371*(1/(1*0.3*0.4)),0)</f>
        <v>1803092</v>
      </c>
      <c r="G31" s="6" t="s">
        <v>116</v>
      </c>
    </row>
    <row r="32" spans="1:14" x14ac:dyDescent="0.3">
      <c r="A32" s="50" t="s">
        <v>161</v>
      </c>
      <c r="B32" s="42" t="s">
        <v>93</v>
      </c>
      <c r="C32" s="8">
        <f>65546++$N$20</f>
        <v>86863</v>
      </c>
      <c r="G32" s="6" t="s">
        <v>142</v>
      </c>
      <c r="H32" s="15">
        <f>163864/5</f>
        <v>32772.800000000003</v>
      </c>
      <c r="I32" s="15" t="s">
        <v>162</v>
      </c>
      <c r="J32" s="15">
        <f t="shared" ref="J32:J33" si="4">+H32*2</f>
        <v>65545.600000000006</v>
      </c>
    </row>
    <row r="33" spans="1:26" x14ac:dyDescent="0.3">
      <c r="A33" s="50" t="s">
        <v>163</v>
      </c>
      <c r="B33" s="44" t="s">
        <v>93</v>
      </c>
      <c r="C33" s="8">
        <f>44801+$N$20</f>
        <v>66118</v>
      </c>
      <c r="G33" s="6" t="s">
        <v>142</v>
      </c>
      <c r="H33" s="56">
        <f>33601/3*2</f>
        <v>22400.666666666668</v>
      </c>
      <c r="I33" s="56" t="s">
        <v>164</v>
      </c>
      <c r="J33" s="15">
        <f t="shared" si="4"/>
        <v>44801.333333333336</v>
      </c>
    </row>
    <row r="34" spans="1:26" x14ac:dyDescent="0.3">
      <c r="A34" s="50" t="s">
        <v>165</v>
      </c>
      <c r="B34" s="44" t="s">
        <v>93</v>
      </c>
      <c r="C34" s="8">
        <f>134404+$N$20</f>
        <v>155721</v>
      </c>
      <c r="D34" s="1"/>
      <c r="E34" s="1"/>
      <c r="F34" s="1"/>
      <c r="G34" s="6" t="s">
        <v>142</v>
      </c>
      <c r="H34" s="56">
        <f>+J33</f>
        <v>44801.333333333336</v>
      </c>
      <c r="I34" s="56" t="s">
        <v>166</v>
      </c>
      <c r="J34" s="15">
        <f>+H34*3</f>
        <v>134404</v>
      </c>
      <c r="K34" s="1"/>
      <c r="L34" s="1"/>
      <c r="M34" s="1"/>
      <c r="N34" s="1"/>
      <c r="O34" s="1"/>
      <c r="P34" s="1"/>
      <c r="Q34" s="1"/>
      <c r="R34" s="1"/>
      <c r="S34" s="1"/>
      <c r="T34" s="1"/>
      <c r="U34" s="1"/>
      <c r="V34" s="1"/>
      <c r="W34" s="1"/>
      <c r="X34" s="1"/>
      <c r="Y34" s="1"/>
      <c r="Z34" s="1"/>
    </row>
    <row r="35" spans="1:26" x14ac:dyDescent="0.3">
      <c r="A35" s="50" t="s">
        <v>167</v>
      </c>
      <c r="B35" s="42" t="s">
        <v>93</v>
      </c>
      <c r="C35" s="8">
        <f>82136+$N$20</f>
        <v>103453</v>
      </c>
      <c r="G35" s="6" t="s">
        <v>142</v>
      </c>
      <c r="H35" s="15">
        <f>61602/3*2</f>
        <v>41068</v>
      </c>
      <c r="I35" s="15" t="s">
        <v>168</v>
      </c>
      <c r="J35" s="15">
        <f t="shared" ref="J35:J37" si="5">+H35*2</f>
        <v>82136</v>
      </c>
    </row>
    <row r="36" spans="1:26" x14ac:dyDescent="0.3">
      <c r="A36" s="50" t="s">
        <v>169</v>
      </c>
      <c r="B36" s="42" t="s">
        <v>93</v>
      </c>
      <c r="C36" s="8">
        <f>63731+$N$20</f>
        <v>85048</v>
      </c>
      <c r="G36" s="6" t="s">
        <v>142</v>
      </c>
      <c r="H36" s="56">
        <f>95597/3</f>
        <v>31865.666666666668</v>
      </c>
      <c r="I36" s="56" t="s">
        <v>170</v>
      </c>
      <c r="J36" s="15">
        <f t="shared" si="5"/>
        <v>63731.333333333336</v>
      </c>
    </row>
    <row r="37" spans="1:26" x14ac:dyDescent="0.3">
      <c r="A37" s="50" t="s">
        <v>171</v>
      </c>
      <c r="B37" s="42" t="s">
        <v>93</v>
      </c>
      <c r="C37" s="8">
        <f>41068+$N$20</f>
        <v>62385</v>
      </c>
      <c r="D37" s="1"/>
      <c r="E37" s="1">
        <v>45789</v>
      </c>
      <c r="F37" s="1"/>
      <c r="G37" s="6" t="s">
        <v>142</v>
      </c>
      <c r="H37" s="15">
        <f>61602/3</f>
        <v>20534</v>
      </c>
      <c r="I37" s="15" t="s">
        <v>143</v>
      </c>
      <c r="J37" s="15">
        <f t="shared" si="5"/>
        <v>41068</v>
      </c>
    </row>
    <row r="38" spans="1:26" x14ac:dyDescent="0.3">
      <c r="A38" s="50" t="s">
        <v>172</v>
      </c>
      <c r="B38" s="42" t="s">
        <v>92</v>
      </c>
      <c r="C38" s="8">
        <v>427019</v>
      </c>
      <c r="G38" s="6" t="s">
        <v>116</v>
      </c>
    </row>
    <row r="39" spans="1:26" x14ac:dyDescent="0.3">
      <c r="A39" s="50" t="s">
        <v>173</v>
      </c>
      <c r="B39" s="42" t="s">
        <v>92</v>
      </c>
      <c r="C39" s="55">
        <f>ROUND(522136*(1/(1.2*1.2*0.45)),0)</f>
        <v>805765</v>
      </c>
      <c r="G39" s="6" t="s">
        <v>116</v>
      </c>
    </row>
    <row r="40" spans="1:26" x14ac:dyDescent="0.3">
      <c r="A40" s="50" t="s">
        <v>174</v>
      </c>
      <c r="B40" s="42" t="s">
        <v>92</v>
      </c>
      <c r="C40" s="55">
        <f>ROUND(216371*(1/(1*0.3*0.4)),0)</f>
        <v>1803092</v>
      </c>
      <c r="G40" s="6" t="s">
        <v>116</v>
      </c>
    </row>
    <row r="41" spans="1:26" x14ac:dyDescent="0.3">
      <c r="A41" s="50" t="s">
        <v>175</v>
      </c>
      <c r="B41" s="42" t="s">
        <v>90</v>
      </c>
      <c r="C41" s="8">
        <v>115903</v>
      </c>
      <c r="G41" s="6" t="s">
        <v>116</v>
      </c>
    </row>
    <row r="42" spans="1:26" x14ac:dyDescent="0.3">
      <c r="A42" s="50" t="s">
        <v>176</v>
      </c>
      <c r="B42" s="42" t="s">
        <v>90</v>
      </c>
      <c r="C42" s="8">
        <f>115903*1.2</f>
        <v>139083.6</v>
      </c>
      <c r="G42" s="6" t="s">
        <v>116</v>
      </c>
    </row>
    <row r="43" spans="1:26" x14ac:dyDescent="0.3">
      <c r="A43" s="50" t="s">
        <v>177</v>
      </c>
      <c r="B43" s="42" t="s">
        <v>90</v>
      </c>
      <c r="C43" s="8">
        <v>9800</v>
      </c>
      <c r="G43" s="6"/>
    </row>
    <row r="44" spans="1:26" x14ac:dyDescent="0.3">
      <c r="A44" s="50" t="s">
        <v>178</v>
      </c>
      <c r="B44" s="44" t="s">
        <v>93</v>
      </c>
      <c r="C44" s="8">
        <f>119882+$N$20</f>
        <v>141199</v>
      </c>
      <c r="G44" s="6" t="s">
        <v>142</v>
      </c>
      <c r="H44" s="15">
        <f>59941/4*4</f>
        <v>59941</v>
      </c>
      <c r="I44" s="15" t="s">
        <v>179</v>
      </c>
      <c r="J44" s="15">
        <f t="shared" ref="J44:J45" si="6">+H44*2</f>
        <v>119882</v>
      </c>
    </row>
    <row r="45" spans="1:26" x14ac:dyDescent="0.3">
      <c r="A45" s="50" t="s">
        <v>180</v>
      </c>
      <c r="B45" s="42" t="s">
        <v>93</v>
      </c>
      <c r="C45" s="8">
        <f>82136+$N$20</f>
        <v>103453</v>
      </c>
      <c r="D45" s="1"/>
      <c r="E45" s="1"/>
      <c r="F45" s="1"/>
      <c r="G45" s="6" t="s">
        <v>142</v>
      </c>
      <c r="H45" s="15">
        <f>61602/3*2</f>
        <v>41068</v>
      </c>
      <c r="I45" s="15" t="s">
        <v>168</v>
      </c>
      <c r="J45" s="15">
        <f t="shared" si="6"/>
        <v>82136</v>
      </c>
    </row>
    <row r="46" spans="1:26" x14ac:dyDescent="0.3">
      <c r="A46" s="50" t="s">
        <v>181</v>
      </c>
      <c r="B46" s="42" t="s">
        <v>92</v>
      </c>
      <c r="C46" s="55">
        <f>ROUND(522136*(1/(1.2*1.2*0.45)),0)</f>
        <v>805765</v>
      </c>
      <c r="G46" s="6" t="s">
        <v>116</v>
      </c>
    </row>
    <row r="47" spans="1:26" x14ac:dyDescent="0.3">
      <c r="A47" s="50" t="s">
        <v>182</v>
      </c>
      <c r="B47" s="42" t="s">
        <v>90</v>
      </c>
      <c r="C47" s="8">
        <v>28744</v>
      </c>
      <c r="G47" s="6" t="s">
        <v>116</v>
      </c>
    </row>
    <row r="48" spans="1:26" x14ac:dyDescent="0.3">
      <c r="A48" s="51" t="s">
        <v>183</v>
      </c>
      <c r="B48" s="52" t="s">
        <v>90</v>
      </c>
      <c r="C48" s="53">
        <v>53827</v>
      </c>
      <c r="D48" s="54"/>
      <c r="E48" s="54"/>
      <c r="F48" s="54"/>
      <c r="G48" s="38" t="s">
        <v>116</v>
      </c>
      <c r="H48" s="54"/>
      <c r="I48" s="54"/>
      <c r="J48" s="54"/>
      <c r="K48" s="54"/>
      <c r="L48" s="54"/>
      <c r="M48" s="54"/>
      <c r="N48" s="54"/>
      <c r="O48" s="54"/>
      <c r="P48" s="54"/>
      <c r="Q48" s="54"/>
      <c r="R48" s="54"/>
      <c r="S48" s="54"/>
      <c r="T48" s="54"/>
      <c r="U48" s="54"/>
      <c r="V48" s="54"/>
      <c r="W48" s="54"/>
      <c r="X48" s="54"/>
      <c r="Y48" s="54"/>
      <c r="Z48" s="54"/>
    </row>
    <row r="49" spans="1:26" x14ac:dyDescent="0.3">
      <c r="A49" s="50" t="s">
        <v>184</v>
      </c>
      <c r="B49" s="42" t="s">
        <v>93</v>
      </c>
      <c r="C49" s="8">
        <v>5353</v>
      </c>
      <c r="G49" s="6" t="s">
        <v>116</v>
      </c>
    </row>
    <row r="50" spans="1:26" x14ac:dyDescent="0.3">
      <c r="A50" s="50" t="s">
        <v>185</v>
      </c>
      <c r="B50" s="42" t="s">
        <v>92</v>
      </c>
      <c r="C50" s="55">
        <f>ROUND(218776*(1/(1*0.3*0.4)),0)</f>
        <v>1823133</v>
      </c>
      <c r="G50" s="6" t="s">
        <v>116</v>
      </c>
    </row>
    <row r="51" spans="1:26" x14ac:dyDescent="0.3">
      <c r="A51" s="50" t="s">
        <v>186</v>
      </c>
      <c r="B51" s="42" t="s">
        <v>90</v>
      </c>
      <c r="C51" s="8">
        <v>45789</v>
      </c>
      <c r="G51" s="6" t="s">
        <v>116</v>
      </c>
    </row>
    <row r="52" spans="1:26" x14ac:dyDescent="0.3">
      <c r="A52" s="50" t="s">
        <v>187</v>
      </c>
      <c r="B52" s="42" t="s">
        <v>90</v>
      </c>
      <c r="C52" s="8">
        <v>25874</v>
      </c>
      <c r="G52" s="6" t="s">
        <v>116</v>
      </c>
    </row>
    <row r="53" spans="1:26" x14ac:dyDescent="0.3">
      <c r="A53" s="50" t="s">
        <v>188</v>
      </c>
      <c r="B53" s="42" t="s">
        <v>93</v>
      </c>
      <c r="C53" s="8">
        <f>+ROUND(C52*0.7,0)</f>
        <v>18112</v>
      </c>
      <c r="G53" s="6" t="s">
        <v>189</v>
      </c>
    </row>
    <row r="54" spans="1:26" x14ac:dyDescent="0.3">
      <c r="A54" s="50" t="s">
        <v>190</v>
      </c>
      <c r="B54" s="42" t="s">
        <v>90</v>
      </c>
      <c r="C54" s="8">
        <v>10872</v>
      </c>
      <c r="G54" s="6" t="s">
        <v>116</v>
      </c>
    </row>
    <row r="55" spans="1:26" x14ac:dyDescent="0.3">
      <c r="A55" s="50" t="s">
        <v>191</v>
      </c>
      <c r="B55" s="42" t="s">
        <v>93</v>
      </c>
      <c r="C55" s="8">
        <f>+ROUND(C54*0.7,0)</f>
        <v>7610</v>
      </c>
      <c r="G55" s="6" t="s">
        <v>192</v>
      </c>
    </row>
    <row r="56" spans="1:26" x14ac:dyDescent="0.3">
      <c r="A56" s="50" t="s">
        <v>193</v>
      </c>
      <c r="B56" s="42" t="s">
        <v>90</v>
      </c>
      <c r="C56" s="8">
        <v>13812</v>
      </c>
      <c r="G56" s="6" t="s">
        <v>194</v>
      </c>
    </row>
    <row r="57" spans="1:26" x14ac:dyDescent="0.3">
      <c r="A57" s="50" t="s">
        <v>193</v>
      </c>
      <c r="B57" s="42" t="s">
        <v>93</v>
      </c>
      <c r="C57" s="8">
        <f>+ROUND(C56*0.7,0)</f>
        <v>9668</v>
      </c>
      <c r="G57" s="6" t="s">
        <v>195</v>
      </c>
    </row>
    <row r="58" spans="1:26" x14ac:dyDescent="0.3">
      <c r="A58" s="51" t="s">
        <v>196</v>
      </c>
      <c r="B58" s="52" t="s">
        <v>90</v>
      </c>
      <c r="C58" s="53">
        <v>53827</v>
      </c>
      <c r="D58" s="54"/>
      <c r="E58" s="54"/>
      <c r="F58" s="54"/>
      <c r="G58" s="38" t="s">
        <v>116</v>
      </c>
      <c r="H58" s="54"/>
      <c r="I58" s="54"/>
      <c r="J58" s="54"/>
      <c r="K58" s="54"/>
      <c r="L58" s="54"/>
      <c r="M58" s="54"/>
      <c r="N58" s="54"/>
      <c r="O58" s="54"/>
      <c r="P58" s="54"/>
      <c r="Q58" s="54"/>
      <c r="R58" s="54"/>
      <c r="S58" s="54"/>
      <c r="T58" s="54"/>
      <c r="U58" s="54"/>
      <c r="V58" s="54"/>
      <c r="W58" s="54"/>
      <c r="X58" s="54"/>
      <c r="Y58" s="54"/>
      <c r="Z58" s="54"/>
    </row>
    <row r="59" spans="1:26" x14ac:dyDescent="0.3">
      <c r="A59" s="50" t="s">
        <v>197</v>
      </c>
      <c r="B59" s="42" t="s">
        <v>93</v>
      </c>
      <c r="C59" s="8">
        <f>31781+$N$20</f>
        <v>53098</v>
      </c>
      <c r="G59" s="6" t="s">
        <v>142</v>
      </c>
      <c r="H59" s="56">
        <f>47672/3</f>
        <v>15890.666666666666</v>
      </c>
      <c r="I59" s="56" t="s">
        <v>198</v>
      </c>
      <c r="J59" s="15">
        <f>+H59*2</f>
        <v>31781.333333333332</v>
      </c>
    </row>
    <row r="60" spans="1:26" x14ac:dyDescent="0.3">
      <c r="A60" s="50" t="s">
        <v>199</v>
      </c>
      <c r="B60" s="42" t="s">
        <v>92</v>
      </c>
      <c r="C60" s="8">
        <v>427019</v>
      </c>
      <c r="G60" s="6" t="s">
        <v>116</v>
      </c>
    </row>
    <row r="61" spans="1:26" x14ac:dyDescent="0.3">
      <c r="A61" s="50" t="s">
        <v>200</v>
      </c>
      <c r="B61" s="42" t="s">
        <v>92</v>
      </c>
      <c r="C61" s="55">
        <f>ROUND(522136*(1/(1.2*1.2*0.45)),0)</f>
        <v>805765</v>
      </c>
      <c r="G61" s="6" t="s">
        <v>116</v>
      </c>
    </row>
    <row r="62" spans="1:26" x14ac:dyDescent="0.3">
      <c r="A62" s="50" t="s">
        <v>201</v>
      </c>
      <c r="B62" s="42" t="s">
        <v>90</v>
      </c>
      <c r="C62" s="8">
        <v>95304</v>
      </c>
      <c r="D62" s="1"/>
      <c r="E62" s="1"/>
      <c r="F62" s="1"/>
      <c r="G62" s="6" t="s">
        <v>142</v>
      </c>
      <c r="H62" s="56">
        <v>47652</v>
      </c>
      <c r="I62" s="56" t="s">
        <v>151</v>
      </c>
      <c r="J62" s="15">
        <f t="shared" ref="J62:J63" si="7">+H62*2</f>
        <v>95304</v>
      </c>
    </row>
    <row r="63" spans="1:26" x14ac:dyDescent="0.3">
      <c r="A63" s="50" t="s">
        <v>202</v>
      </c>
      <c r="B63" s="42" t="s">
        <v>93</v>
      </c>
      <c r="C63" s="8">
        <f>262182+$N$20</f>
        <v>283499</v>
      </c>
      <c r="G63" s="6" t="s">
        <v>142</v>
      </c>
      <c r="H63" s="15">
        <f>163864/5*4</f>
        <v>131091.20000000001</v>
      </c>
      <c r="I63" s="15" t="s">
        <v>203</v>
      </c>
      <c r="J63" s="15">
        <f t="shared" si="7"/>
        <v>262182.40000000002</v>
      </c>
    </row>
    <row r="64" spans="1:26" x14ac:dyDescent="0.3">
      <c r="A64" s="50" t="s">
        <v>204</v>
      </c>
      <c r="B64" s="42" t="s">
        <v>92</v>
      </c>
      <c r="C64" s="55">
        <f>ROUND(522136*(1/(1.2*1.2*0.45)),0)</f>
        <v>805765</v>
      </c>
      <c r="G64" s="6" t="s">
        <v>116</v>
      </c>
    </row>
    <row r="65" spans="1:26" x14ac:dyDescent="0.3">
      <c r="A65" s="50" t="s">
        <v>205</v>
      </c>
      <c r="B65" s="42" t="s">
        <v>33</v>
      </c>
      <c r="C65" s="8">
        <f>+ROUND(13621*1.25,0)</f>
        <v>17026</v>
      </c>
      <c r="G65" s="6" t="s">
        <v>206</v>
      </c>
    </row>
    <row r="66" spans="1:26" x14ac:dyDescent="0.3">
      <c r="A66" s="50" t="s">
        <v>207</v>
      </c>
      <c r="B66" s="42" t="s">
        <v>33</v>
      </c>
      <c r="C66" s="8">
        <f>+ROUND(C65*1.05,0)</f>
        <v>17877</v>
      </c>
      <c r="G66" s="6" t="s">
        <v>206</v>
      </c>
      <c r="I66" s="1" t="s">
        <v>208</v>
      </c>
      <c r="J66" s="1" t="s">
        <v>209</v>
      </c>
      <c r="K66" s="1" t="s">
        <v>210</v>
      </c>
    </row>
    <row r="67" spans="1:26" x14ac:dyDescent="0.3">
      <c r="A67" s="50" t="s">
        <v>211</v>
      </c>
      <c r="B67" s="42" t="s">
        <v>1</v>
      </c>
      <c r="C67" s="8">
        <v>7472</v>
      </c>
      <c r="G67" s="6" t="s">
        <v>122</v>
      </c>
      <c r="H67" s="1">
        <v>6.5</v>
      </c>
      <c r="I67" s="1">
        <f>6*2.35</f>
        <v>14.100000000000001</v>
      </c>
      <c r="J67" s="1">
        <v>49.4</v>
      </c>
      <c r="K67" s="43">
        <f>+J67/I67</f>
        <v>3.5035460992907796</v>
      </c>
    </row>
    <row r="68" spans="1:26" x14ac:dyDescent="0.3">
      <c r="A68" s="50" t="s">
        <v>212</v>
      </c>
      <c r="B68" s="42" t="s">
        <v>92</v>
      </c>
      <c r="C68" s="8">
        <v>427019</v>
      </c>
      <c r="G68" s="6" t="s">
        <v>116</v>
      </c>
    </row>
    <row r="69" spans="1:26" x14ac:dyDescent="0.3">
      <c r="A69" s="50" t="s">
        <v>213</v>
      </c>
      <c r="B69" s="42" t="s">
        <v>92</v>
      </c>
      <c r="C69" s="55">
        <v>705341</v>
      </c>
      <c r="G69" s="6" t="s">
        <v>116</v>
      </c>
    </row>
    <row r="70" spans="1:26" x14ac:dyDescent="0.3">
      <c r="A70" s="50" t="s">
        <v>214</v>
      </c>
      <c r="B70" s="42" t="s">
        <v>33</v>
      </c>
      <c r="C70" s="8">
        <v>531986</v>
      </c>
      <c r="G70" s="6" t="s">
        <v>122</v>
      </c>
      <c r="H70" s="15">
        <v>1063972</v>
      </c>
      <c r="I70" s="1" t="s">
        <v>215</v>
      </c>
      <c r="J70" s="1" t="s">
        <v>216</v>
      </c>
      <c r="K70" s="15">
        <f>+H70*0.5</f>
        <v>531986</v>
      </c>
    </row>
    <row r="71" spans="1:26" x14ac:dyDescent="0.3">
      <c r="A71" s="50" t="s">
        <v>217</v>
      </c>
      <c r="B71" s="42" t="s">
        <v>90</v>
      </c>
      <c r="C71" s="8">
        <v>45789</v>
      </c>
      <c r="D71" s="1"/>
      <c r="E71" s="1"/>
      <c r="F71" s="1"/>
      <c r="G71" s="6" t="s">
        <v>116</v>
      </c>
    </row>
    <row r="72" spans="1:26" x14ac:dyDescent="0.3">
      <c r="A72" s="50" t="s">
        <v>218</v>
      </c>
      <c r="B72" s="42" t="s">
        <v>33</v>
      </c>
      <c r="C72" s="8">
        <f>+ROUND(13621*1.25,0)</f>
        <v>17026</v>
      </c>
      <c r="G72" s="6" t="s">
        <v>122</v>
      </c>
    </row>
    <row r="73" spans="1:26" x14ac:dyDescent="0.3">
      <c r="A73" s="50" t="s">
        <v>219</v>
      </c>
      <c r="B73" s="42" t="s">
        <v>92</v>
      </c>
      <c r="C73" s="55">
        <f>ROUND(218776*(1/(1*0.3*0.4)),0)</f>
        <v>1823133</v>
      </c>
      <c r="D73" s="1"/>
      <c r="E73" s="1"/>
      <c r="F73" s="1"/>
      <c r="G73" s="6" t="s">
        <v>116</v>
      </c>
    </row>
    <row r="74" spans="1:26" x14ac:dyDescent="0.3">
      <c r="A74" s="50" t="s">
        <v>220</v>
      </c>
      <c r="B74" s="44" t="s">
        <v>33</v>
      </c>
      <c r="C74" s="8">
        <f>+ROUND(H74*(0.9*2.2),0)</f>
        <v>1328616</v>
      </c>
      <c r="G74" s="6" t="s">
        <v>122</v>
      </c>
      <c r="H74" s="15">
        <v>671018</v>
      </c>
      <c r="I74" s="1" t="s">
        <v>221</v>
      </c>
    </row>
    <row r="75" spans="1:26" x14ac:dyDescent="0.3">
      <c r="A75" s="50" t="s">
        <v>222</v>
      </c>
      <c r="B75" s="44" t="s">
        <v>33</v>
      </c>
      <c r="C75" s="8">
        <f>+ROUND(H75*(1.2*1),0)</f>
        <v>326099</v>
      </c>
      <c r="G75" s="6" t="s">
        <v>122</v>
      </c>
      <c r="H75" s="15">
        <v>271749</v>
      </c>
      <c r="I75" s="1" t="s">
        <v>221</v>
      </c>
    </row>
    <row r="76" spans="1:26" x14ac:dyDescent="0.3">
      <c r="A76" s="50" t="s">
        <v>223</v>
      </c>
      <c r="B76" s="44" t="s">
        <v>33</v>
      </c>
      <c r="C76" s="8">
        <f>+ROUND(H76*(1.55*1),0)</f>
        <v>421211</v>
      </c>
      <c r="G76" s="6" t="s">
        <v>122</v>
      </c>
      <c r="H76" s="15">
        <v>271749</v>
      </c>
      <c r="I76" s="1" t="s">
        <v>221</v>
      </c>
    </row>
    <row r="77" spans="1:26" x14ac:dyDescent="0.3">
      <c r="A77" s="51" t="s">
        <v>224</v>
      </c>
      <c r="B77" s="52" t="s">
        <v>90</v>
      </c>
      <c r="C77" s="53">
        <v>53827</v>
      </c>
      <c r="D77" s="54"/>
      <c r="E77" s="54"/>
      <c r="F77" s="54"/>
      <c r="G77" s="38" t="s">
        <v>116</v>
      </c>
      <c r="H77" s="54"/>
      <c r="I77" s="54"/>
      <c r="J77" s="54"/>
      <c r="K77" s="54"/>
      <c r="L77" s="54"/>
      <c r="M77" s="54"/>
      <c r="N77" s="54"/>
      <c r="O77" s="54"/>
      <c r="P77" s="54"/>
      <c r="Q77" s="54"/>
      <c r="R77" s="54"/>
      <c r="S77" s="54"/>
      <c r="T77" s="54"/>
      <c r="U77" s="54"/>
      <c r="V77" s="54"/>
      <c r="W77" s="54"/>
      <c r="X77" s="54"/>
      <c r="Y77" s="54"/>
      <c r="Z77" s="54"/>
    </row>
    <row r="78" spans="1:26" x14ac:dyDescent="0.3">
      <c r="A78" s="51" t="s">
        <v>225</v>
      </c>
      <c r="B78" s="52" t="s">
        <v>90</v>
      </c>
      <c r="C78" s="53">
        <v>53827</v>
      </c>
      <c r="D78" s="54"/>
      <c r="E78" s="54"/>
      <c r="F78" s="54"/>
      <c r="G78" s="38" t="s">
        <v>116</v>
      </c>
      <c r="H78" s="54"/>
      <c r="I78" s="54"/>
      <c r="J78" s="54"/>
      <c r="K78" s="54"/>
      <c r="L78" s="54"/>
      <c r="M78" s="54"/>
      <c r="N78" s="54"/>
      <c r="O78" s="54"/>
      <c r="P78" s="54"/>
      <c r="Q78" s="54"/>
      <c r="R78" s="54"/>
      <c r="S78" s="54"/>
      <c r="T78" s="54"/>
      <c r="U78" s="54"/>
      <c r="V78" s="54"/>
      <c r="W78" s="54"/>
      <c r="X78" s="54"/>
      <c r="Y78" s="54"/>
      <c r="Z78" s="54"/>
    </row>
    <row r="79" spans="1:26" x14ac:dyDescent="0.3">
      <c r="A79" s="51" t="s">
        <v>226</v>
      </c>
      <c r="B79" s="52" t="s">
        <v>90</v>
      </c>
      <c r="C79" s="53">
        <v>53827</v>
      </c>
      <c r="D79" s="54"/>
      <c r="E79" s="54"/>
      <c r="F79" s="54"/>
      <c r="G79" s="38" t="s">
        <v>116</v>
      </c>
      <c r="H79" s="54"/>
      <c r="I79" s="54"/>
      <c r="J79" s="54"/>
      <c r="K79" s="54"/>
      <c r="L79" s="54"/>
      <c r="M79" s="54"/>
      <c r="N79" s="54"/>
      <c r="O79" s="54"/>
      <c r="P79" s="54"/>
      <c r="Q79" s="54"/>
      <c r="R79" s="54"/>
      <c r="S79" s="54"/>
      <c r="T79" s="54"/>
      <c r="U79" s="54"/>
      <c r="V79" s="54"/>
      <c r="W79" s="54"/>
      <c r="X79" s="54"/>
      <c r="Y79" s="54"/>
      <c r="Z79" s="54"/>
    </row>
    <row r="80" spans="1:26" x14ac:dyDescent="0.3">
      <c r="A80" s="51" t="s">
        <v>227</v>
      </c>
      <c r="B80" s="52" t="s">
        <v>90</v>
      </c>
      <c r="C80" s="53">
        <v>53827</v>
      </c>
      <c r="D80" s="54"/>
      <c r="E80" s="54"/>
      <c r="F80" s="54"/>
      <c r="G80" s="38" t="s">
        <v>116</v>
      </c>
      <c r="H80" s="54"/>
      <c r="I80" s="54"/>
      <c r="J80" s="54"/>
      <c r="K80" s="54"/>
      <c r="L80" s="54"/>
      <c r="M80" s="54"/>
      <c r="N80" s="54"/>
      <c r="O80" s="54"/>
      <c r="P80" s="54"/>
      <c r="Q80" s="54"/>
      <c r="R80" s="54"/>
      <c r="S80" s="54"/>
      <c r="T80" s="54"/>
      <c r="U80" s="54"/>
      <c r="V80" s="54"/>
      <c r="W80" s="54"/>
      <c r="X80" s="54"/>
      <c r="Y80" s="54"/>
      <c r="Z80" s="54"/>
    </row>
    <row r="81" spans="1:9" x14ac:dyDescent="0.3">
      <c r="A81" s="50" t="s">
        <v>228</v>
      </c>
      <c r="B81" s="42" t="s">
        <v>92</v>
      </c>
      <c r="C81" s="55">
        <f>ROUND(218776*(1/(1*0.3*0.4)),0)</f>
        <v>1823133</v>
      </c>
      <c r="D81" s="1"/>
      <c r="E81" s="1"/>
      <c r="F81" s="1"/>
      <c r="G81" s="6" t="s">
        <v>116</v>
      </c>
    </row>
    <row r="82" spans="1:9" x14ac:dyDescent="0.3">
      <c r="A82" s="50" t="s">
        <v>229</v>
      </c>
      <c r="B82" s="42" t="s">
        <v>92</v>
      </c>
      <c r="C82" s="55">
        <f>ROUND(216371*(1/(1*0.3*0.4)),0)</f>
        <v>1803092</v>
      </c>
      <c r="D82" s="1"/>
      <c r="E82" s="1"/>
      <c r="F82" s="1"/>
      <c r="G82" s="6" t="s">
        <v>116</v>
      </c>
    </row>
    <row r="83" spans="1:9" x14ac:dyDescent="0.3">
      <c r="A83" s="50" t="s">
        <v>230</v>
      </c>
      <c r="B83" s="42" t="s">
        <v>90</v>
      </c>
      <c r="C83" s="8">
        <v>28744</v>
      </c>
      <c r="D83" s="1"/>
      <c r="E83" s="1"/>
      <c r="F83" s="1"/>
      <c r="G83" s="6" t="s">
        <v>116</v>
      </c>
    </row>
    <row r="84" spans="1:9" x14ac:dyDescent="0.3">
      <c r="A84" s="50" t="s">
        <v>231</v>
      </c>
      <c r="B84" s="42" t="s">
        <v>33</v>
      </c>
      <c r="C84" s="8">
        <v>3650000</v>
      </c>
      <c r="G84" s="6" t="s">
        <v>232</v>
      </c>
    </row>
    <row r="85" spans="1:9" x14ac:dyDescent="0.3">
      <c r="A85" s="50" t="s">
        <v>233</v>
      </c>
      <c r="B85" s="42" t="s">
        <v>33</v>
      </c>
      <c r="C85" s="8">
        <v>758033</v>
      </c>
      <c r="G85" s="6" t="s">
        <v>116</v>
      </c>
    </row>
    <row r="86" spans="1:9" x14ac:dyDescent="0.3">
      <c r="A86" s="39" t="s">
        <v>94</v>
      </c>
      <c r="B86" s="40"/>
      <c r="C86" s="8">
        <v>1</v>
      </c>
      <c r="G86" s="6"/>
    </row>
    <row r="87" spans="1:9" x14ac:dyDescent="0.3">
      <c r="A87" s="50" t="s">
        <v>95</v>
      </c>
      <c r="B87" s="42" t="s">
        <v>234</v>
      </c>
      <c r="C87" s="8">
        <f>ROUND(201877*1.2,0)</f>
        <v>242252</v>
      </c>
      <c r="G87" s="57" t="s">
        <v>235</v>
      </c>
    </row>
    <row r="88" spans="1:9" x14ac:dyDescent="0.3">
      <c r="A88" s="45" t="s">
        <v>97</v>
      </c>
      <c r="B88" s="40"/>
      <c r="C88" s="8">
        <v>1</v>
      </c>
      <c r="G88" s="6"/>
    </row>
    <row r="89" spans="1:9" x14ac:dyDescent="0.3">
      <c r="A89" s="50" t="s">
        <v>98</v>
      </c>
      <c r="B89" s="42" t="s">
        <v>33</v>
      </c>
      <c r="C89" s="8">
        <v>565781</v>
      </c>
      <c r="G89" s="6" t="s">
        <v>116</v>
      </c>
    </row>
    <row r="90" spans="1:9" x14ac:dyDescent="0.3">
      <c r="A90" s="50" t="s">
        <v>236</v>
      </c>
      <c r="B90" s="42" t="s">
        <v>33</v>
      </c>
      <c r="C90" s="8">
        <v>250287</v>
      </c>
      <c r="G90" s="6" t="s">
        <v>116</v>
      </c>
    </row>
    <row r="91" spans="1:9" x14ac:dyDescent="0.3">
      <c r="A91" s="50" t="s">
        <v>237</v>
      </c>
      <c r="B91" s="42" t="s">
        <v>33</v>
      </c>
      <c r="C91" s="8">
        <v>584838</v>
      </c>
      <c r="G91" s="6" t="s">
        <v>116</v>
      </c>
    </row>
    <row r="92" spans="1:9" x14ac:dyDescent="0.3">
      <c r="A92" s="50" t="s">
        <v>238</v>
      </c>
      <c r="B92" s="42" t="s">
        <v>33</v>
      </c>
      <c r="C92" s="8">
        <f>+ROUND(565781*1.7,0)</f>
        <v>961828</v>
      </c>
      <c r="G92" s="6" t="s">
        <v>239</v>
      </c>
    </row>
    <row r="93" spans="1:9" x14ac:dyDescent="0.3">
      <c r="A93" s="50" t="s">
        <v>240</v>
      </c>
      <c r="B93" s="42" t="s">
        <v>33</v>
      </c>
      <c r="C93" s="8">
        <f>ROUND(250287*1.7,0)</f>
        <v>425488</v>
      </c>
      <c r="D93" s="1"/>
      <c r="E93" s="1"/>
      <c r="F93" s="1"/>
      <c r="G93" s="6" t="s">
        <v>239</v>
      </c>
    </row>
    <row r="94" spans="1:9" x14ac:dyDescent="0.3">
      <c r="A94" s="50" t="s">
        <v>241</v>
      </c>
      <c r="B94" s="42" t="s">
        <v>33</v>
      </c>
      <c r="C94" s="8">
        <f>+ROUND(H94*(2.33*0.3),0)</f>
        <v>189953</v>
      </c>
      <c r="D94" s="1"/>
      <c r="E94" s="1"/>
      <c r="F94" s="1"/>
      <c r="G94" s="6" t="s">
        <v>122</v>
      </c>
      <c r="H94" s="15">
        <v>271749</v>
      </c>
      <c r="I94" s="1" t="s">
        <v>221</v>
      </c>
    </row>
    <row r="95" spans="1:9" x14ac:dyDescent="0.3">
      <c r="A95" s="50" t="s">
        <v>242</v>
      </c>
      <c r="B95" s="42" t="s">
        <v>90</v>
      </c>
      <c r="C95" s="8">
        <v>69998</v>
      </c>
      <c r="G95" s="6" t="s">
        <v>116</v>
      </c>
    </row>
    <row r="96" spans="1:9" x14ac:dyDescent="0.3">
      <c r="A96" s="58" t="s">
        <v>243</v>
      </c>
      <c r="B96" s="42" t="s">
        <v>33</v>
      </c>
      <c r="C96" s="8">
        <f>+ROUND(H96*(0.72*0.3),0)</f>
        <v>58698</v>
      </c>
      <c r="G96" s="6" t="s">
        <v>122</v>
      </c>
      <c r="H96" s="15">
        <v>271749</v>
      </c>
      <c r="I96" s="1" t="s">
        <v>221</v>
      </c>
    </row>
    <row r="97" spans="1:26" x14ac:dyDescent="0.3">
      <c r="A97" s="50" t="s">
        <v>244</v>
      </c>
      <c r="B97" s="42" t="s">
        <v>33</v>
      </c>
      <c r="C97" s="8">
        <f>+ROUND(H97*(1*2.72),0)</f>
        <v>1825169</v>
      </c>
      <c r="G97" s="6" t="s">
        <v>122</v>
      </c>
      <c r="H97" s="15">
        <v>671018</v>
      </c>
      <c r="I97" s="1" t="s">
        <v>221</v>
      </c>
    </row>
    <row r="98" spans="1:26" x14ac:dyDescent="0.3">
      <c r="A98" s="50" t="s">
        <v>245</v>
      </c>
      <c r="B98" s="42" t="s">
        <v>33</v>
      </c>
      <c r="C98" s="8">
        <f>+ROUND(H98*(1.2*2.72),0)</f>
        <v>2190203</v>
      </c>
      <c r="G98" s="6" t="s">
        <v>122</v>
      </c>
      <c r="H98" s="15">
        <v>671018</v>
      </c>
      <c r="I98" s="1" t="s">
        <v>221</v>
      </c>
    </row>
    <row r="99" spans="1:26" x14ac:dyDescent="0.3">
      <c r="A99" s="50" t="s">
        <v>246</v>
      </c>
      <c r="B99" s="44" t="s">
        <v>90</v>
      </c>
      <c r="C99" s="8">
        <v>641023</v>
      </c>
      <c r="G99" s="6" t="s">
        <v>122</v>
      </c>
      <c r="H99" s="15"/>
      <c r="I99" s="1"/>
    </row>
    <row r="100" spans="1:26" x14ac:dyDescent="0.3">
      <c r="A100" s="50" t="s">
        <v>247</v>
      </c>
      <c r="B100" s="42" t="s">
        <v>33</v>
      </c>
      <c r="C100" s="8">
        <f>+ROUND((J100*2.2+H100),0)</f>
        <v>1749251</v>
      </c>
      <c r="G100" s="6" t="s">
        <v>116</v>
      </c>
      <c r="H100" s="15">
        <v>339000</v>
      </c>
      <c r="I100" s="1" t="s">
        <v>248</v>
      </c>
      <c r="J100" s="15">
        <v>641023</v>
      </c>
      <c r="K100" s="1" t="s">
        <v>249</v>
      </c>
    </row>
    <row r="101" spans="1:26" x14ac:dyDescent="0.3">
      <c r="A101" s="50" t="s">
        <v>250</v>
      </c>
      <c r="B101" s="42" t="s">
        <v>33</v>
      </c>
      <c r="C101" s="8">
        <v>33792</v>
      </c>
      <c r="G101" s="6" t="s">
        <v>116</v>
      </c>
      <c r="H101" s="1" t="s">
        <v>251</v>
      </c>
    </row>
    <row r="102" spans="1:26" x14ac:dyDescent="0.3">
      <c r="A102" s="50" t="s">
        <v>252</v>
      </c>
      <c r="B102" s="42" t="s">
        <v>33</v>
      </c>
      <c r="C102" s="8">
        <v>98547</v>
      </c>
      <c r="G102" s="6" t="s">
        <v>116</v>
      </c>
    </row>
    <row r="103" spans="1:26" x14ac:dyDescent="0.3">
      <c r="A103" s="50" t="s">
        <v>253</v>
      </c>
      <c r="B103" s="42" t="s">
        <v>33</v>
      </c>
      <c r="C103" s="8">
        <f>+ROUND(H103*(0.6*0.5),0)</f>
        <v>81525</v>
      </c>
      <c r="G103" s="6" t="s">
        <v>122</v>
      </c>
      <c r="H103" s="15">
        <v>271749</v>
      </c>
      <c r="I103" s="1" t="s">
        <v>254</v>
      </c>
    </row>
    <row r="104" spans="1:26" x14ac:dyDescent="0.3">
      <c r="A104" s="50" t="s">
        <v>255</v>
      </c>
      <c r="B104" s="42" t="s">
        <v>33</v>
      </c>
      <c r="C104" s="8">
        <f>+ROUND(H104*(1.35*0.5),0)</f>
        <v>183431</v>
      </c>
      <c r="G104" s="6" t="s">
        <v>122</v>
      </c>
      <c r="H104" s="15">
        <v>271749</v>
      </c>
      <c r="I104" s="1" t="s">
        <v>254</v>
      </c>
    </row>
    <row r="105" spans="1:26" x14ac:dyDescent="0.3">
      <c r="A105" s="50" t="s">
        <v>256</v>
      </c>
      <c r="B105" s="42" t="s">
        <v>33</v>
      </c>
      <c r="C105" s="8">
        <f>+ROUND(H105*(0.9*1.85),0)</f>
        <v>1117245</v>
      </c>
      <c r="D105" s="1"/>
      <c r="E105" s="1"/>
      <c r="F105" s="1"/>
      <c r="G105" s="6" t="s">
        <v>122</v>
      </c>
      <c r="H105" s="15">
        <v>671018</v>
      </c>
      <c r="I105" s="1" t="s">
        <v>254</v>
      </c>
    </row>
    <row r="106" spans="1:26" x14ac:dyDescent="0.3">
      <c r="A106" s="50" t="s">
        <v>257</v>
      </c>
      <c r="B106" s="42" t="s">
        <v>33</v>
      </c>
      <c r="C106" s="8">
        <f>+ROUND(H106*(0.65*2.2),0)</f>
        <v>959556</v>
      </c>
      <c r="D106" s="1"/>
      <c r="E106" s="1"/>
      <c r="F106" s="1"/>
      <c r="G106" s="6" t="s">
        <v>122</v>
      </c>
      <c r="H106" s="15">
        <v>671018</v>
      </c>
      <c r="I106" s="1" t="s">
        <v>254</v>
      </c>
    </row>
    <row r="107" spans="1:26" x14ac:dyDescent="0.3">
      <c r="A107" s="50" t="s">
        <v>258</v>
      </c>
      <c r="B107" s="42" t="s">
        <v>90</v>
      </c>
      <c r="C107" s="8">
        <v>641023</v>
      </c>
      <c r="D107" s="1"/>
      <c r="E107" s="1"/>
      <c r="F107" s="1"/>
      <c r="G107" s="6" t="s">
        <v>122</v>
      </c>
    </row>
    <row r="108" spans="1:26" x14ac:dyDescent="0.3">
      <c r="A108" s="50" t="s">
        <v>259</v>
      </c>
      <c r="B108" s="42" t="s">
        <v>33</v>
      </c>
      <c r="C108" s="8">
        <f>+ROUND(H108*(0.96*1.6),0)</f>
        <v>879010</v>
      </c>
      <c r="G108" s="6" t="s">
        <v>116</v>
      </c>
      <c r="H108" s="15">
        <v>572272</v>
      </c>
      <c r="I108" s="1" t="s">
        <v>254</v>
      </c>
    </row>
    <row r="109" spans="1:26" x14ac:dyDescent="0.3">
      <c r="A109" s="50" t="s">
        <v>158</v>
      </c>
      <c r="B109" s="42" t="s">
        <v>33</v>
      </c>
      <c r="C109" s="8">
        <v>21000</v>
      </c>
      <c r="D109" s="1"/>
      <c r="E109" s="1"/>
      <c r="F109" s="1"/>
      <c r="G109" s="6" t="s">
        <v>138</v>
      </c>
      <c r="H109" s="15"/>
      <c r="I109" s="1"/>
      <c r="J109" s="1"/>
      <c r="K109" s="1"/>
      <c r="L109" s="1"/>
      <c r="M109" s="1"/>
      <c r="N109" s="1"/>
      <c r="O109" s="1"/>
      <c r="P109" s="1"/>
      <c r="Q109" s="1"/>
      <c r="R109" s="1"/>
      <c r="S109" s="1"/>
      <c r="T109" s="1"/>
      <c r="U109" s="1"/>
      <c r="V109" s="1"/>
      <c r="W109" s="1"/>
      <c r="X109" s="1"/>
      <c r="Y109" s="1"/>
      <c r="Z109" s="1"/>
    </row>
    <row r="110" spans="1:26" x14ac:dyDescent="0.3">
      <c r="A110" s="50" t="s">
        <v>260</v>
      </c>
      <c r="B110" s="42" t="s">
        <v>33</v>
      </c>
      <c r="C110" s="8">
        <f>+ROUND((J110*2.2+H110),0)</f>
        <v>1749251</v>
      </c>
      <c r="D110" s="1"/>
      <c r="E110" s="1"/>
      <c r="F110" s="1"/>
      <c r="G110" s="6" t="s">
        <v>116</v>
      </c>
      <c r="H110" s="15">
        <v>339000</v>
      </c>
      <c r="I110" s="1" t="s">
        <v>248</v>
      </c>
      <c r="J110" s="15">
        <v>641023</v>
      </c>
      <c r="K110" s="1" t="s">
        <v>249</v>
      </c>
    </row>
    <row r="111" spans="1:26" x14ac:dyDescent="0.3">
      <c r="A111" s="50" t="s">
        <v>261</v>
      </c>
      <c r="B111" s="42" t="s">
        <v>93</v>
      </c>
      <c r="C111" s="8">
        <f t="shared" ref="C111:C112" si="8">ROUND(C81*0.12*0.2*1.4,0)</f>
        <v>61257</v>
      </c>
      <c r="G111" s="6" t="s">
        <v>262</v>
      </c>
      <c r="H111" s="15">
        <f>ROUND(C81*0.12*0.2,0)</f>
        <v>43755</v>
      </c>
      <c r="I111" s="6" t="s">
        <v>263</v>
      </c>
      <c r="J111" s="15">
        <f>H111*1.4</f>
        <v>61256.999999999993</v>
      </c>
    </row>
    <row r="112" spans="1:26" x14ac:dyDescent="0.3">
      <c r="A112" s="50" t="s">
        <v>264</v>
      </c>
      <c r="B112" s="42" t="s">
        <v>93</v>
      </c>
      <c r="C112" s="8">
        <f t="shared" si="8"/>
        <v>60584</v>
      </c>
      <c r="G112" s="6"/>
    </row>
    <row r="113" spans="1:10" x14ac:dyDescent="0.3">
      <c r="A113" s="50" t="s">
        <v>265</v>
      </c>
      <c r="B113" s="42" t="s">
        <v>93</v>
      </c>
      <c r="C113" s="8">
        <f>ROUND(C82*0.12*0.25*1.4,0)</f>
        <v>75730</v>
      </c>
      <c r="G113" s="6" t="s">
        <v>262</v>
      </c>
      <c r="H113" s="15">
        <f>ROUND(C82*0.12*0.25,0)</f>
        <v>54093</v>
      </c>
      <c r="I113" s="6" t="s">
        <v>263</v>
      </c>
      <c r="J113" s="15">
        <f>H113*1.4</f>
        <v>75730.2</v>
      </c>
    </row>
    <row r="114" spans="1:10" x14ac:dyDescent="0.3">
      <c r="A114" s="50" t="s">
        <v>266</v>
      </c>
      <c r="B114" s="42" t="s">
        <v>33</v>
      </c>
      <c r="C114" s="8">
        <f>ROUND(C66*1.05,0)</f>
        <v>18771</v>
      </c>
      <c r="G114" s="6"/>
    </row>
    <row r="115" spans="1:10" x14ac:dyDescent="0.3">
      <c r="A115" s="36"/>
      <c r="B115" s="46"/>
      <c r="C115" s="59"/>
      <c r="G115" s="6"/>
    </row>
    <row r="116" spans="1:10" x14ac:dyDescent="0.3">
      <c r="A116" s="36"/>
      <c r="B116" s="46"/>
      <c r="C116" s="59"/>
      <c r="G116" s="6"/>
    </row>
    <row r="117" spans="1:10" x14ac:dyDescent="0.3">
      <c r="A117" s="36"/>
      <c r="B117" s="46"/>
      <c r="C117" s="59"/>
      <c r="G117" s="6"/>
    </row>
    <row r="118" spans="1:10" x14ac:dyDescent="0.3">
      <c r="A118" s="36"/>
      <c r="B118" s="46"/>
      <c r="C118" s="59"/>
      <c r="G118" s="6"/>
    </row>
    <row r="119" spans="1:10" x14ac:dyDescent="0.3">
      <c r="A119" s="36"/>
      <c r="B119" s="46"/>
      <c r="C119" s="59"/>
      <c r="G119" s="6"/>
    </row>
    <row r="120" spans="1:10" x14ac:dyDescent="0.3">
      <c r="A120" s="36"/>
      <c r="B120" s="46"/>
      <c r="C120" s="59"/>
      <c r="G120" s="6"/>
    </row>
    <row r="121" spans="1:10" x14ac:dyDescent="0.3">
      <c r="A121" s="36"/>
      <c r="B121" s="46"/>
      <c r="C121" s="59"/>
      <c r="G121" s="6"/>
    </row>
    <row r="122" spans="1:10" x14ac:dyDescent="0.3">
      <c r="A122" s="36"/>
      <c r="B122" s="46"/>
      <c r="C122" s="59"/>
      <c r="G122" s="6"/>
    </row>
    <row r="123" spans="1:10" x14ac:dyDescent="0.3">
      <c r="A123" s="36"/>
      <c r="B123" s="46"/>
      <c r="C123" s="59"/>
      <c r="G123" s="6"/>
    </row>
    <row r="124" spans="1:10" x14ac:dyDescent="0.3">
      <c r="A124" s="36"/>
      <c r="B124" s="46"/>
      <c r="C124" s="59"/>
      <c r="G124" s="6"/>
    </row>
    <row r="125" spans="1:10" x14ac:dyDescent="0.3">
      <c r="A125" s="36"/>
      <c r="B125" s="46"/>
      <c r="C125" s="59"/>
      <c r="G125" s="6"/>
    </row>
    <row r="126" spans="1:10" x14ac:dyDescent="0.3">
      <c r="A126" s="36"/>
      <c r="B126" s="46"/>
      <c r="C126" s="59"/>
      <c r="G126" s="6"/>
    </row>
    <row r="127" spans="1:10" x14ac:dyDescent="0.3">
      <c r="A127" s="36"/>
      <c r="B127" s="46"/>
      <c r="C127" s="59"/>
      <c r="G127" s="6"/>
    </row>
    <row r="128" spans="1:10" x14ac:dyDescent="0.3">
      <c r="A128" s="36"/>
      <c r="B128" s="46"/>
      <c r="C128" s="59"/>
      <c r="G128" s="6"/>
    </row>
    <row r="129" spans="1:7" x14ac:dyDescent="0.3">
      <c r="A129" s="36"/>
      <c r="B129" s="46"/>
      <c r="C129" s="59"/>
      <c r="G129" s="6"/>
    </row>
    <row r="130" spans="1:7" x14ac:dyDescent="0.3">
      <c r="A130" s="36"/>
      <c r="B130" s="46"/>
      <c r="C130" s="59"/>
      <c r="G130" s="6"/>
    </row>
    <row r="131" spans="1:7" x14ac:dyDescent="0.3">
      <c r="A131" s="36"/>
      <c r="B131" s="46"/>
      <c r="C131" s="59"/>
      <c r="G131" s="6"/>
    </row>
    <row r="132" spans="1:7" x14ac:dyDescent="0.3">
      <c r="A132" s="36"/>
      <c r="B132" s="46"/>
      <c r="C132" s="59"/>
      <c r="G132" s="6"/>
    </row>
    <row r="133" spans="1:7" x14ac:dyDescent="0.3">
      <c r="A133" s="36"/>
      <c r="B133" s="46"/>
      <c r="C133" s="59"/>
      <c r="G133" s="6"/>
    </row>
    <row r="134" spans="1:7" x14ac:dyDescent="0.3">
      <c r="A134" s="36"/>
      <c r="B134" s="46"/>
      <c r="C134" s="59"/>
      <c r="G134" s="6"/>
    </row>
    <row r="135" spans="1:7" x14ac:dyDescent="0.3">
      <c r="A135" s="36"/>
      <c r="B135" s="46"/>
      <c r="C135" s="59"/>
      <c r="G135" s="6"/>
    </row>
    <row r="136" spans="1:7" x14ac:dyDescent="0.3">
      <c r="A136" s="36"/>
      <c r="B136" s="46"/>
      <c r="C136" s="59"/>
      <c r="G136" s="6"/>
    </row>
    <row r="137" spans="1:7" x14ac:dyDescent="0.3">
      <c r="A137" s="36"/>
      <c r="B137" s="46"/>
      <c r="C137" s="59"/>
      <c r="G137" s="6"/>
    </row>
    <row r="138" spans="1:7" x14ac:dyDescent="0.3">
      <c r="A138" s="36"/>
      <c r="B138" s="46"/>
      <c r="C138" s="59"/>
      <c r="G138" s="6"/>
    </row>
    <row r="139" spans="1:7" x14ac:dyDescent="0.3">
      <c r="A139" s="36"/>
      <c r="B139" s="46"/>
      <c r="C139" s="59"/>
      <c r="G139" s="6"/>
    </row>
    <row r="140" spans="1:7" x14ac:dyDescent="0.3">
      <c r="A140" s="36"/>
      <c r="B140" s="46"/>
      <c r="C140" s="59"/>
      <c r="G140" s="6"/>
    </row>
    <row r="141" spans="1:7" x14ac:dyDescent="0.3">
      <c r="A141" s="36"/>
      <c r="B141" s="46"/>
      <c r="C141" s="59"/>
      <c r="G141" s="6"/>
    </row>
    <row r="142" spans="1:7" x14ac:dyDescent="0.3">
      <c r="A142" s="36"/>
      <c r="B142" s="46"/>
      <c r="C142" s="59"/>
      <c r="G142" s="6"/>
    </row>
    <row r="143" spans="1:7" x14ac:dyDescent="0.3">
      <c r="A143" s="36"/>
      <c r="B143" s="46"/>
      <c r="C143" s="59"/>
      <c r="G143" s="6"/>
    </row>
    <row r="144" spans="1:7" x14ac:dyDescent="0.3">
      <c r="A144" s="36"/>
      <c r="B144" s="46"/>
      <c r="C144" s="59"/>
      <c r="G144" s="6"/>
    </row>
    <row r="145" spans="1:7" x14ac:dyDescent="0.3">
      <c r="A145" s="36"/>
      <c r="B145" s="46"/>
      <c r="C145" s="59"/>
      <c r="G145" s="6"/>
    </row>
    <row r="146" spans="1:7" x14ac:dyDescent="0.3">
      <c r="A146" s="36"/>
      <c r="B146" s="46"/>
      <c r="C146" s="59"/>
      <c r="G146" s="6"/>
    </row>
    <row r="147" spans="1:7" x14ac:dyDescent="0.3">
      <c r="A147" s="36"/>
      <c r="B147" s="46"/>
      <c r="C147" s="59"/>
      <c r="G147" s="6"/>
    </row>
    <row r="148" spans="1:7" x14ac:dyDescent="0.3">
      <c r="A148" s="36"/>
      <c r="B148" s="46"/>
      <c r="C148" s="59"/>
      <c r="G148" s="6"/>
    </row>
    <row r="149" spans="1:7" x14ac:dyDescent="0.3">
      <c r="A149" s="36"/>
      <c r="B149" s="46"/>
      <c r="C149" s="59"/>
      <c r="G149" s="6"/>
    </row>
    <row r="150" spans="1:7" x14ac:dyDescent="0.3">
      <c r="A150" s="36"/>
      <c r="B150" s="46"/>
      <c r="C150" s="59"/>
      <c r="G150" s="6"/>
    </row>
    <row r="151" spans="1:7" x14ac:dyDescent="0.3">
      <c r="A151" s="36"/>
      <c r="B151" s="46"/>
      <c r="C151" s="59"/>
      <c r="G151" s="6"/>
    </row>
    <row r="152" spans="1:7" x14ac:dyDescent="0.3">
      <c r="A152" s="36"/>
      <c r="B152" s="46"/>
      <c r="C152" s="59"/>
      <c r="G152" s="6"/>
    </row>
    <row r="153" spans="1:7" x14ac:dyDescent="0.3">
      <c r="A153" s="36"/>
      <c r="B153" s="46"/>
      <c r="C153" s="59"/>
      <c r="G153" s="6"/>
    </row>
    <row r="154" spans="1:7" x14ac:dyDescent="0.3">
      <c r="A154" s="36"/>
      <c r="B154" s="46"/>
      <c r="C154" s="59"/>
      <c r="G154" s="6"/>
    </row>
    <row r="155" spans="1:7" x14ac:dyDescent="0.3">
      <c r="A155" s="36"/>
      <c r="B155" s="46"/>
      <c r="C155" s="59"/>
      <c r="G155" s="6"/>
    </row>
    <row r="156" spans="1:7" x14ac:dyDescent="0.3">
      <c r="A156" s="36"/>
      <c r="B156" s="46"/>
      <c r="C156" s="59"/>
      <c r="G156" s="6"/>
    </row>
    <row r="157" spans="1:7" x14ac:dyDescent="0.3">
      <c r="A157" s="36"/>
      <c r="B157" s="46"/>
      <c r="C157" s="59"/>
      <c r="G157" s="6"/>
    </row>
    <row r="158" spans="1:7" x14ac:dyDescent="0.3">
      <c r="A158" s="36"/>
      <c r="B158" s="46"/>
      <c r="C158" s="59"/>
      <c r="G158" s="6"/>
    </row>
    <row r="159" spans="1:7" x14ac:dyDescent="0.3">
      <c r="A159" s="36"/>
      <c r="B159" s="46"/>
      <c r="C159" s="59"/>
      <c r="G159" s="6"/>
    </row>
    <row r="160" spans="1:7" x14ac:dyDescent="0.3">
      <c r="A160" s="36"/>
      <c r="B160" s="46"/>
      <c r="C160" s="59"/>
      <c r="G160" s="6"/>
    </row>
    <row r="161" spans="1:7" x14ac:dyDescent="0.3">
      <c r="A161" s="36"/>
      <c r="B161" s="46"/>
      <c r="C161" s="59"/>
      <c r="G161" s="6"/>
    </row>
    <row r="162" spans="1:7" x14ac:dyDescent="0.3">
      <c r="A162" s="36"/>
      <c r="B162" s="46"/>
      <c r="C162" s="59"/>
      <c r="G162" s="6"/>
    </row>
    <row r="163" spans="1:7" x14ac:dyDescent="0.3">
      <c r="A163" s="36"/>
      <c r="B163" s="46"/>
      <c r="C163" s="59"/>
      <c r="G163" s="6"/>
    </row>
    <row r="164" spans="1:7" x14ac:dyDescent="0.3">
      <c r="A164" s="36"/>
      <c r="B164" s="46"/>
      <c r="C164" s="59"/>
      <c r="G164" s="6"/>
    </row>
    <row r="165" spans="1:7" x14ac:dyDescent="0.3">
      <c r="A165" s="36"/>
      <c r="B165" s="46"/>
      <c r="C165" s="59"/>
      <c r="G165" s="6"/>
    </row>
    <row r="166" spans="1:7" x14ac:dyDescent="0.3">
      <c r="A166" s="36"/>
      <c r="B166" s="46"/>
      <c r="C166" s="59"/>
      <c r="G166" s="6"/>
    </row>
    <row r="167" spans="1:7" x14ac:dyDescent="0.3">
      <c r="A167" s="36"/>
      <c r="B167" s="46"/>
      <c r="C167" s="59"/>
      <c r="G167" s="6"/>
    </row>
    <row r="168" spans="1:7" x14ac:dyDescent="0.3">
      <c r="A168" s="36"/>
      <c r="B168" s="46"/>
      <c r="C168" s="59"/>
      <c r="G168" s="6"/>
    </row>
    <row r="169" spans="1:7" x14ac:dyDescent="0.3">
      <c r="A169" s="36"/>
      <c r="B169" s="46"/>
      <c r="C169" s="59"/>
      <c r="G169" s="6"/>
    </row>
    <row r="170" spans="1:7" x14ac:dyDescent="0.3">
      <c r="A170" s="36"/>
      <c r="B170" s="46"/>
      <c r="C170" s="59"/>
      <c r="G170" s="6"/>
    </row>
    <row r="171" spans="1:7" x14ac:dyDescent="0.3">
      <c r="A171" s="36"/>
      <c r="B171" s="46"/>
      <c r="C171" s="59"/>
      <c r="G171" s="6"/>
    </row>
    <row r="172" spans="1:7" x14ac:dyDescent="0.3">
      <c r="A172" s="36"/>
      <c r="B172" s="46"/>
      <c r="C172" s="59"/>
      <c r="G172" s="6"/>
    </row>
    <row r="173" spans="1:7" x14ac:dyDescent="0.3">
      <c r="A173" s="36"/>
      <c r="B173" s="46"/>
      <c r="C173" s="59"/>
      <c r="G173" s="6"/>
    </row>
    <row r="174" spans="1:7" x14ac:dyDescent="0.3">
      <c r="A174" s="36"/>
      <c r="B174" s="46"/>
      <c r="C174" s="59"/>
      <c r="G174" s="6"/>
    </row>
    <row r="175" spans="1:7" x14ac:dyDescent="0.3">
      <c r="A175" s="36"/>
      <c r="B175" s="46"/>
      <c r="C175" s="59"/>
      <c r="G175" s="6"/>
    </row>
    <row r="176" spans="1:7" x14ac:dyDescent="0.3">
      <c r="A176" s="36"/>
      <c r="B176" s="46"/>
      <c r="C176" s="59"/>
      <c r="G176" s="6"/>
    </row>
    <row r="177" spans="1:7" x14ac:dyDescent="0.3">
      <c r="A177" s="36"/>
      <c r="B177" s="46"/>
      <c r="C177" s="59"/>
      <c r="G177" s="6"/>
    </row>
    <row r="178" spans="1:7" x14ac:dyDescent="0.3">
      <c r="A178" s="36"/>
      <c r="B178" s="46"/>
      <c r="C178" s="59"/>
      <c r="G178" s="6"/>
    </row>
    <row r="179" spans="1:7" x14ac:dyDescent="0.3">
      <c r="A179" s="36"/>
      <c r="B179" s="46"/>
      <c r="C179" s="59"/>
      <c r="G179" s="6"/>
    </row>
    <row r="180" spans="1:7" x14ac:dyDescent="0.3">
      <c r="A180" s="36"/>
      <c r="B180" s="46"/>
      <c r="C180" s="59"/>
      <c r="G180" s="6"/>
    </row>
    <row r="181" spans="1:7" x14ac:dyDescent="0.3">
      <c r="A181" s="36"/>
      <c r="B181" s="46"/>
      <c r="C181" s="59"/>
      <c r="G181" s="6"/>
    </row>
    <row r="182" spans="1:7" x14ac:dyDescent="0.3">
      <c r="A182" s="36"/>
      <c r="B182" s="46"/>
      <c r="C182" s="59"/>
      <c r="G182" s="6"/>
    </row>
    <row r="183" spans="1:7" x14ac:dyDescent="0.3">
      <c r="A183" s="36"/>
      <c r="B183" s="46"/>
      <c r="C183" s="59"/>
      <c r="G183" s="6"/>
    </row>
    <row r="184" spans="1:7" x14ac:dyDescent="0.3">
      <c r="A184" s="36"/>
      <c r="B184" s="46"/>
      <c r="C184" s="59"/>
      <c r="G184" s="6"/>
    </row>
    <row r="185" spans="1:7" x14ac:dyDescent="0.3">
      <c r="A185" s="36"/>
      <c r="B185" s="46"/>
      <c r="C185" s="59"/>
      <c r="G185" s="6"/>
    </row>
    <row r="186" spans="1:7" x14ac:dyDescent="0.3">
      <c r="A186" s="36"/>
      <c r="B186" s="46"/>
      <c r="C186" s="59"/>
      <c r="G186" s="6"/>
    </row>
    <row r="187" spans="1:7" x14ac:dyDescent="0.3">
      <c r="A187" s="36"/>
      <c r="B187" s="46"/>
      <c r="C187" s="59"/>
      <c r="G187" s="6"/>
    </row>
    <row r="188" spans="1:7" x14ac:dyDescent="0.3">
      <c r="A188" s="36"/>
      <c r="B188" s="46"/>
      <c r="C188" s="59"/>
      <c r="G188" s="6"/>
    </row>
    <row r="189" spans="1:7" x14ac:dyDescent="0.3">
      <c r="A189" s="36"/>
      <c r="B189" s="46"/>
      <c r="C189" s="59"/>
      <c r="G189" s="6"/>
    </row>
    <row r="190" spans="1:7" x14ac:dyDescent="0.3">
      <c r="A190" s="36"/>
      <c r="B190" s="46"/>
      <c r="C190" s="59"/>
      <c r="G190" s="6"/>
    </row>
    <row r="191" spans="1:7" x14ac:dyDescent="0.3">
      <c r="A191" s="36"/>
      <c r="B191" s="46"/>
      <c r="C191" s="59"/>
      <c r="G191" s="6"/>
    </row>
    <row r="192" spans="1:7" x14ac:dyDescent="0.3">
      <c r="A192" s="36"/>
      <c r="B192" s="46"/>
      <c r="C192" s="59"/>
      <c r="G192" s="6"/>
    </row>
    <row r="193" spans="1:7" x14ac:dyDescent="0.3">
      <c r="A193" s="36"/>
      <c r="B193" s="46"/>
      <c r="C193" s="59"/>
      <c r="G193" s="6"/>
    </row>
    <row r="194" spans="1:7" x14ac:dyDescent="0.3">
      <c r="A194" s="36"/>
      <c r="B194" s="46"/>
      <c r="C194" s="59"/>
      <c r="G194" s="6"/>
    </row>
    <row r="195" spans="1:7" x14ac:dyDescent="0.3">
      <c r="A195" s="36"/>
      <c r="B195" s="46"/>
      <c r="C195" s="59"/>
      <c r="G195" s="6"/>
    </row>
    <row r="196" spans="1:7" x14ac:dyDescent="0.3">
      <c r="A196" s="36"/>
      <c r="B196" s="46"/>
      <c r="C196" s="59"/>
      <c r="G196" s="6"/>
    </row>
    <row r="197" spans="1:7" x14ac:dyDescent="0.3">
      <c r="A197" s="36"/>
      <c r="B197" s="46"/>
      <c r="C197" s="59"/>
      <c r="G197" s="6"/>
    </row>
    <row r="198" spans="1:7" x14ac:dyDescent="0.3">
      <c r="A198" s="36"/>
      <c r="B198" s="46"/>
      <c r="C198" s="59"/>
      <c r="G198" s="6"/>
    </row>
    <row r="199" spans="1:7" x14ac:dyDescent="0.3">
      <c r="A199" s="36"/>
      <c r="B199" s="46"/>
      <c r="C199" s="59"/>
      <c r="G199" s="6"/>
    </row>
    <row r="200" spans="1:7" x14ac:dyDescent="0.3">
      <c r="A200" s="36"/>
      <c r="B200" s="46"/>
      <c r="C200" s="59"/>
      <c r="G200" s="6"/>
    </row>
    <row r="201" spans="1:7" x14ac:dyDescent="0.3">
      <c r="A201" s="36"/>
      <c r="B201" s="46"/>
      <c r="C201" s="59"/>
      <c r="G201" s="6"/>
    </row>
    <row r="202" spans="1:7" x14ac:dyDescent="0.3">
      <c r="A202" s="36"/>
      <c r="B202" s="46"/>
      <c r="C202" s="59"/>
      <c r="G202" s="6"/>
    </row>
    <row r="203" spans="1:7" x14ac:dyDescent="0.3">
      <c r="A203" s="36"/>
      <c r="B203" s="46"/>
      <c r="C203" s="59"/>
      <c r="G203" s="6"/>
    </row>
    <row r="204" spans="1:7" x14ac:dyDescent="0.3">
      <c r="A204" s="36"/>
      <c r="B204" s="46"/>
      <c r="C204" s="59"/>
      <c r="G204" s="6"/>
    </row>
    <row r="205" spans="1:7" x14ac:dyDescent="0.3">
      <c r="A205" s="36"/>
      <c r="B205" s="46"/>
      <c r="C205" s="59"/>
      <c r="G205" s="6"/>
    </row>
    <row r="206" spans="1:7" x14ac:dyDescent="0.3">
      <c r="A206" s="36"/>
      <c r="B206" s="46"/>
      <c r="C206" s="59"/>
      <c r="G206" s="6"/>
    </row>
    <row r="207" spans="1:7" x14ac:dyDescent="0.3">
      <c r="A207" s="36"/>
      <c r="B207" s="46"/>
      <c r="C207" s="59"/>
      <c r="G207" s="6"/>
    </row>
    <row r="208" spans="1:7" x14ac:dyDescent="0.3">
      <c r="A208" s="36"/>
      <c r="B208" s="46"/>
      <c r="C208" s="59"/>
      <c r="G208" s="6"/>
    </row>
    <row r="209" spans="1:7" x14ac:dyDescent="0.3">
      <c r="A209" s="36"/>
      <c r="B209" s="46"/>
      <c r="C209" s="59"/>
      <c r="G209" s="6"/>
    </row>
    <row r="210" spans="1:7" x14ac:dyDescent="0.3">
      <c r="A210" s="36"/>
      <c r="B210" s="46"/>
      <c r="C210" s="59"/>
      <c r="G210" s="6"/>
    </row>
    <row r="211" spans="1:7" x14ac:dyDescent="0.3">
      <c r="A211" s="36"/>
      <c r="B211" s="46"/>
      <c r="C211" s="59"/>
      <c r="G211" s="6"/>
    </row>
    <row r="212" spans="1:7" x14ac:dyDescent="0.3">
      <c r="A212" s="36"/>
      <c r="B212" s="46"/>
      <c r="C212" s="59"/>
      <c r="G212" s="6"/>
    </row>
    <row r="213" spans="1:7" x14ac:dyDescent="0.3">
      <c r="A213" s="36"/>
      <c r="B213" s="46"/>
      <c r="C213" s="59"/>
      <c r="G213" s="6"/>
    </row>
    <row r="214" spans="1:7" x14ac:dyDescent="0.3">
      <c r="A214" s="36"/>
      <c r="B214" s="46"/>
      <c r="C214" s="59"/>
      <c r="G214" s="6"/>
    </row>
    <row r="215" spans="1:7" x14ac:dyDescent="0.3">
      <c r="A215" s="36"/>
      <c r="B215" s="46"/>
      <c r="C215" s="59"/>
      <c r="G215" s="6"/>
    </row>
    <row r="216" spans="1:7" x14ac:dyDescent="0.3">
      <c r="A216" s="36"/>
      <c r="B216" s="46"/>
      <c r="C216" s="59"/>
      <c r="G216" s="6"/>
    </row>
    <row r="217" spans="1:7" x14ac:dyDescent="0.3">
      <c r="A217" s="36"/>
      <c r="B217" s="46"/>
      <c r="C217" s="59"/>
      <c r="G217" s="6"/>
    </row>
    <row r="218" spans="1:7" x14ac:dyDescent="0.3">
      <c r="A218" s="36"/>
      <c r="B218" s="46"/>
      <c r="C218" s="59"/>
      <c r="G218" s="6"/>
    </row>
    <row r="219" spans="1:7" x14ac:dyDescent="0.3">
      <c r="A219" s="36"/>
      <c r="B219" s="46"/>
      <c r="C219" s="59"/>
      <c r="G219" s="6"/>
    </row>
    <row r="220" spans="1:7" x14ac:dyDescent="0.3">
      <c r="A220" s="36"/>
      <c r="B220" s="46"/>
      <c r="C220" s="59"/>
      <c r="G220" s="6"/>
    </row>
    <row r="221" spans="1:7" x14ac:dyDescent="0.3">
      <c r="A221" s="36"/>
      <c r="B221" s="46"/>
      <c r="C221" s="59"/>
      <c r="G221" s="6"/>
    </row>
    <row r="222" spans="1:7" x14ac:dyDescent="0.3">
      <c r="A222" s="36"/>
      <c r="B222" s="46"/>
      <c r="C222" s="59"/>
      <c r="G222" s="6"/>
    </row>
    <row r="223" spans="1:7" x14ac:dyDescent="0.3">
      <c r="A223" s="36"/>
      <c r="B223" s="46"/>
      <c r="C223" s="59"/>
      <c r="G223" s="6"/>
    </row>
    <row r="224" spans="1:7" x14ac:dyDescent="0.3">
      <c r="A224" s="36"/>
      <c r="B224" s="46"/>
      <c r="C224" s="59"/>
      <c r="G224" s="6"/>
    </row>
    <row r="225" spans="1:7" x14ac:dyDescent="0.3">
      <c r="A225" s="36"/>
      <c r="B225" s="46"/>
      <c r="C225" s="59"/>
      <c r="G225" s="6"/>
    </row>
    <row r="226" spans="1:7" x14ac:dyDescent="0.3">
      <c r="A226" s="36"/>
      <c r="B226" s="46"/>
      <c r="C226" s="59"/>
      <c r="G226" s="6"/>
    </row>
    <row r="227" spans="1:7" x14ac:dyDescent="0.3">
      <c r="A227" s="36"/>
      <c r="B227" s="46"/>
      <c r="C227" s="59"/>
      <c r="G227" s="6"/>
    </row>
    <row r="228" spans="1:7" x14ac:dyDescent="0.3">
      <c r="A228" s="36"/>
      <c r="B228" s="46"/>
      <c r="C228" s="59"/>
      <c r="G228" s="6"/>
    </row>
    <row r="229" spans="1:7" x14ac:dyDescent="0.3">
      <c r="A229" s="36"/>
      <c r="B229" s="46"/>
      <c r="C229" s="59"/>
      <c r="G229" s="6"/>
    </row>
    <row r="230" spans="1:7" x14ac:dyDescent="0.3">
      <c r="A230" s="36"/>
      <c r="B230" s="46"/>
      <c r="C230" s="59"/>
      <c r="G230" s="6"/>
    </row>
    <row r="231" spans="1:7" x14ac:dyDescent="0.3">
      <c r="A231" s="36"/>
      <c r="B231" s="46"/>
      <c r="C231" s="59"/>
      <c r="G231" s="6"/>
    </row>
    <row r="232" spans="1:7" x14ac:dyDescent="0.3">
      <c r="A232" s="36"/>
      <c r="B232" s="46"/>
      <c r="C232" s="59"/>
      <c r="G232" s="6"/>
    </row>
    <row r="233" spans="1:7" x14ac:dyDescent="0.3">
      <c r="A233" s="36"/>
      <c r="B233" s="46"/>
      <c r="C233" s="59"/>
      <c r="G233" s="6"/>
    </row>
    <row r="234" spans="1:7" x14ac:dyDescent="0.3">
      <c r="A234" s="36"/>
      <c r="B234" s="46"/>
      <c r="C234" s="59"/>
      <c r="G234" s="6"/>
    </row>
    <row r="235" spans="1:7" x14ac:dyDescent="0.3">
      <c r="A235" s="36"/>
      <c r="B235" s="46"/>
      <c r="C235" s="59"/>
      <c r="G235" s="6"/>
    </row>
    <row r="236" spans="1:7" x14ac:dyDescent="0.3">
      <c r="A236" s="36"/>
      <c r="B236" s="46"/>
      <c r="C236" s="59"/>
      <c r="G236" s="6"/>
    </row>
    <row r="237" spans="1:7" x14ac:dyDescent="0.3">
      <c r="A237" s="36"/>
      <c r="B237" s="46"/>
      <c r="C237" s="59"/>
      <c r="G237" s="6"/>
    </row>
    <row r="238" spans="1:7" x14ac:dyDescent="0.3">
      <c r="A238" s="36"/>
      <c r="B238" s="46"/>
      <c r="C238" s="59"/>
      <c r="G238" s="6"/>
    </row>
    <row r="239" spans="1:7" x14ac:dyDescent="0.3">
      <c r="A239" s="36"/>
      <c r="B239" s="46"/>
      <c r="C239" s="59"/>
      <c r="G239" s="6"/>
    </row>
    <row r="240" spans="1:7" x14ac:dyDescent="0.3">
      <c r="A240" s="36"/>
      <c r="B240" s="46"/>
      <c r="C240" s="59"/>
      <c r="G240" s="6"/>
    </row>
    <row r="241" spans="1:7" x14ac:dyDescent="0.3">
      <c r="A241" s="36"/>
      <c r="B241" s="46"/>
      <c r="C241" s="59"/>
      <c r="G241" s="6"/>
    </row>
    <row r="242" spans="1:7" x14ac:dyDescent="0.3">
      <c r="A242" s="36"/>
      <c r="B242" s="46"/>
      <c r="C242" s="59"/>
      <c r="G242" s="6"/>
    </row>
    <row r="243" spans="1:7" x14ac:dyDescent="0.3">
      <c r="A243" s="36"/>
      <c r="B243" s="46"/>
      <c r="C243" s="59"/>
      <c r="G243" s="6"/>
    </row>
    <row r="244" spans="1:7" x14ac:dyDescent="0.3">
      <c r="A244" s="36"/>
      <c r="B244" s="46"/>
      <c r="C244" s="59"/>
      <c r="G244" s="6"/>
    </row>
    <row r="245" spans="1:7" x14ac:dyDescent="0.3">
      <c r="A245" s="36"/>
      <c r="B245" s="46"/>
      <c r="C245" s="59"/>
      <c r="G245" s="6"/>
    </row>
    <row r="246" spans="1:7" x14ac:dyDescent="0.3">
      <c r="A246" s="36"/>
      <c r="B246" s="46"/>
      <c r="C246" s="59"/>
      <c r="G246" s="6"/>
    </row>
    <row r="247" spans="1:7" x14ac:dyDescent="0.3">
      <c r="A247" s="36"/>
      <c r="B247" s="46"/>
      <c r="C247" s="59"/>
      <c r="G247" s="6"/>
    </row>
    <row r="248" spans="1:7" x14ac:dyDescent="0.3">
      <c r="A248" s="36"/>
      <c r="B248" s="46"/>
      <c r="C248" s="59"/>
      <c r="G248" s="6"/>
    </row>
    <row r="249" spans="1:7" x14ac:dyDescent="0.3">
      <c r="A249" s="36"/>
      <c r="B249" s="46"/>
      <c r="C249" s="59"/>
      <c r="G249" s="6"/>
    </row>
    <row r="250" spans="1:7" x14ac:dyDescent="0.3">
      <c r="A250" s="36"/>
      <c r="B250" s="46"/>
      <c r="C250" s="59"/>
      <c r="G250" s="6"/>
    </row>
    <row r="251" spans="1:7" x14ac:dyDescent="0.3">
      <c r="A251" s="36"/>
      <c r="B251" s="46"/>
      <c r="C251" s="59"/>
      <c r="G251" s="6"/>
    </row>
    <row r="252" spans="1:7" x14ac:dyDescent="0.3">
      <c r="A252" s="36"/>
      <c r="B252" s="46"/>
      <c r="C252" s="59"/>
      <c r="G252" s="6"/>
    </row>
    <row r="253" spans="1:7" x14ac:dyDescent="0.3">
      <c r="A253" s="36"/>
      <c r="B253" s="46"/>
      <c r="C253" s="59"/>
      <c r="G253" s="6"/>
    </row>
    <row r="254" spans="1:7" x14ac:dyDescent="0.3">
      <c r="A254" s="36"/>
      <c r="B254" s="46"/>
      <c r="C254" s="59"/>
      <c r="G254" s="6"/>
    </row>
    <row r="255" spans="1:7" x14ac:dyDescent="0.3">
      <c r="A255" s="36"/>
      <c r="B255" s="46"/>
      <c r="C255" s="59"/>
      <c r="G255" s="6"/>
    </row>
    <row r="256" spans="1:7" x14ac:dyDescent="0.3">
      <c r="A256" s="36"/>
      <c r="B256" s="46"/>
      <c r="C256" s="59"/>
      <c r="G256" s="6"/>
    </row>
    <row r="257" spans="1:7" x14ac:dyDescent="0.3">
      <c r="A257" s="36"/>
      <c r="B257" s="46"/>
      <c r="C257" s="59"/>
      <c r="G257" s="6"/>
    </row>
    <row r="258" spans="1:7" x14ac:dyDescent="0.3">
      <c r="A258" s="36"/>
      <c r="B258" s="46"/>
      <c r="C258" s="59"/>
      <c r="G258" s="6"/>
    </row>
    <row r="259" spans="1:7" x14ac:dyDescent="0.3">
      <c r="A259" s="36"/>
      <c r="B259" s="46"/>
      <c r="C259" s="59"/>
      <c r="G259" s="6"/>
    </row>
    <row r="260" spans="1:7" x14ac:dyDescent="0.3">
      <c r="A260" s="36"/>
      <c r="B260" s="46"/>
      <c r="C260" s="59"/>
      <c r="G260" s="6"/>
    </row>
    <row r="261" spans="1:7" x14ac:dyDescent="0.3">
      <c r="A261" s="36"/>
      <c r="B261" s="46"/>
      <c r="C261" s="59"/>
      <c r="G261" s="6"/>
    </row>
    <row r="262" spans="1:7" x14ac:dyDescent="0.3">
      <c r="A262" s="36"/>
      <c r="B262" s="46"/>
      <c r="C262" s="59"/>
      <c r="G262" s="6"/>
    </row>
    <row r="263" spans="1:7" x14ac:dyDescent="0.3">
      <c r="A263" s="36"/>
      <c r="B263" s="46"/>
      <c r="C263" s="59"/>
      <c r="G263" s="6"/>
    </row>
    <row r="264" spans="1:7" x14ac:dyDescent="0.3">
      <c r="A264" s="36"/>
      <c r="B264" s="46"/>
      <c r="C264" s="59"/>
      <c r="G264" s="6"/>
    </row>
    <row r="265" spans="1:7" x14ac:dyDescent="0.3">
      <c r="A265" s="36"/>
      <c r="B265" s="46"/>
      <c r="C265" s="59"/>
      <c r="G265" s="6"/>
    </row>
    <row r="266" spans="1:7" x14ac:dyDescent="0.3">
      <c r="A266" s="36"/>
      <c r="B266" s="46"/>
      <c r="C266" s="59"/>
      <c r="G266" s="6"/>
    </row>
    <row r="267" spans="1:7" x14ac:dyDescent="0.3">
      <c r="A267" s="36"/>
      <c r="B267" s="46"/>
      <c r="C267" s="59"/>
      <c r="G267" s="6"/>
    </row>
    <row r="268" spans="1:7" x14ac:dyDescent="0.3">
      <c r="A268" s="36"/>
      <c r="B268" s="46"/>
      <c r="C268" s="59"/>
      <c r="G268" s="6"/>
    </row>
    <row r="269" spans="1:7" x14ac:dyDescent="0.3">
      <c r="A269" s="36"/>
      <c r="B269" s="46"/>
      <c r="C269" s="59"/>
      <c r="G269" s="6"/>
    </row>
    <row r="270" spans="1:7" x14ac:dyDescent="0.3">
      <c r="A270" s="36"/>
      <c r="B270" s="46"/>
      <c r="C270" s="59"/>
      <c r="G270" s="6"/>
    </row>
    <row r="271" spans="1:7" x14ac:dyDescent="0.3">
      <c r="A271" s="36"/>
      <c r="B271" s="46"/>
      <c r="C271" s="59"/>
      <c r="G271" s="6"/>
    </row>
    <row r="272" spans="1:7" x14ac:dyDescent="0.3">
      <c r="A272" s="36"/>
      <c r="B272" s="46"/>
      <c r="C272" s="59"/>
      <c r="G272" s="6"/>
    </row>
    <row r="273" spans="1:7" x14ac:dyDescent="0.3">
      <c r="A273" s="36"/>
      <c r="B273" s="46"/>
      <c r="C273" s="59"/>
      <c r="G273" s="6"/>
    </row>
    <row r="274" spans="1:7" x14ac:dyDescent="0.3">
      <c r="A274" s="36"/>
      <c r="B274" s="46"/>
      <c r="C274" s="59"/>
      <c r="G274" s="6"/>
    </row>
    <row r="275" spans="1:7" x14ac:dyDescent="0.3">
      <c r="A275" s="36"/>
      <c r="B275" s="46"/>
      <c r="C275" s="59"/>
      <c r="G275" s="6"/>
    </row>
    <row r="276" spans="1:7" x14ac:dyDescent="0.3">
      <c r="A276" s="36"/>
      <c r="B276" s="46"/>
      <c r="C276" s="59"/>
      <c r="G276" s="6"/>
    </row>
    <row r="277" spans="1:7" x14ac:dyDescent="0.3">
      <c r="A277" s="36"/>
      <c r="B277" s="46"/>
      <c r="C277" s="59"/>
      <c r="G277" s="6"/>
    </row>
    <row r="278" spans="1:7" x14ac:dyDescent="0.3">
      <c r="A278" s="36"/>
      <c r="B278" s="46"/>
      <c r="C278" s="59"/>
      <c r="G278" s="6"/>
    </row>
    <row r="279" spans="1:7" x14ac:dyDescent="0.3">
      <c r="A279" s="36"/>
      <c r="B279" s="46"/>
      <c r="C279" s="59"/>
      <c r="G279" s="6"/>
    </row>
    <row r="280" spans="1:7" x14ac:dyDescent="0.3">
      <c r="A280" s="36"/>
      <c r="B280" s="46"/>
      <c r="C280" s="59"/>
      <c r="G280" s="6"/>
    </row>
    <row r="281" spans="1:7" x14ac:dyDescent="0.3">
      <c r="A281" s="36"/>
      <c r="B281" s="46"/>
      <c r="C281" s="59"/>
      <c r="G281" s="6"/>
    </row>
    <row r="282" spans="1:7" x14ac:dyDescent="0.3">
      <c r="A282" s="36"/>
      <c r="B282" s="46"/>
      <c r="C282" s="59"/>
      <c r="G282" s="6"/>
    </row>
    <row r="283" spans="1:7" x14ac:dyDescent="0.3">
      <c r="A283" s="36"/>
      <c r="B283" s="46"/>
      <c r="C283" s="59"/>
      <c r="G283" s="6"/>
    </row>
    <row r="284" spans="1:7" x14ac:dyDescent="0.3">
      <c r="A284" s="36"/>
      <c r="B284" s="46"/>
      <c r="C284" s="59"/>
      <c r="G284" s="6"/>
    </row>
    <row r="285" spans="1:7" x14ac:dyDescent="0.3">
      <c r="A285" s="36"/>
      <c r="B285" s="46"/>
      <c r="C285" s="59"/>
      <c r="G285" s="6"/>
    </row>
    <row r="286" spans="1:7" x14ac:dyDescent="0.3">
      <c r="A286" s="36"/>
      <c r="B286" s="46"/>
      <c r="C286" s="59"/>
      <c r="G286" s="6"/>
    </row>
    <row r="287" spans="1:7" x14ac:dyDescent="0.3">
      <c r="A287" s="36"/>
      <c r="B287" s="46"/>
      <c r="C287" s="59"/>
      <c r="G287" s="6"/>
    </row>
    <row r="288" spans="1:7" x14ac:dyDescent="0.3">
      <c r="A288" s="36"/>
      <c r="B288" s="46"/>
      <c r="C288" s="59"/>
      <c r="G288" s="6"/>
    </row>
    <row r="289" spans="1:7" x14ac:dyDescent="0.3">
      <c r="A289" s="36"/>
      <c r="B289" s="46"/>
      <c r="C289" s="59"/>
      <c r="G289" s="6"/>
    </row>
    <row r="290" spans="1:7" x14ac:dyDescent="0.3">
      <c r="A290" s="36"/>
      <c r="B290" s="46"/>
      <c r="C290" s="59"/>
      <c r="G290" s="6"/>
    </row>
    <row r="291" spans="1:7" x14ac:dyDescent="0.3">
      <c r="A291" s="36"/>
      <c r="B291" s="46"/>
      <c r="C291" s="59"/>
      <c r="G291" s="6"/>
    </row>
    <row r="292" spans="1:7" x14ac:dyDescent="0.3">
      <c r="A292" s="36"/>
      <c r="B292" s="46"/>
      <c r="C292" s="59"/>
      <c r="G292" s="6"/>
    </row>
    <row r="293" spans="1:7" x14ac:dyDescent="0.3">
      <c r="A293" s="36"/>
      <c r="B293" s="46"/>
      <c r="C293" s="59"/>
      <c r="G293" s="6"/>
    </row>
    <row r="294" spans="1:7" x14ac:dyDescent="0.3">
      <c r="A294" s="36"/>
      <c r="B294" s="46"/>
      <c r="C294" s="59"/>
      <c r="G294" s="6"/>
    </row>
    <row r="295" spans="1:7" x14ac:dyDescent="0.3">
      <c r="A295" s="36"/>
      <c r="B295" s="46"/>
      <c r="C295" s="59"/>
      <c r="G295" s="6"/>
    </row>
    <row r="296" spans="1:7" x14ac:dyDescent="0.3">
      <c r="A296" s="36"/>
      <c r="B296" s="46"/>
      <c r="C296" s="59"/>
      <c r="G296" s="6"/>
    </row>
    <row r="297" spans="1:7" x14ac:dyDescent="0.3">
      <c r="A297" s="36"/>
      <c r="B297" s="46"/>
      <c r="C297" s="59"/>
      <c r="G297" s="6"/>
    </row>
    <row r="298" spans="1:7" x14ac:dyDescent="0.3">
      <c r="A298" s="36"/>
      <c r="B298" s="46"/>
      <c r="C298" s="59"/>
      <c r="G298" s="6"/>
    </row>
    <row r="299" spans="1:7" x14ac:dyDescent="0.3">
      <c r="A299" s="36"/>
      <c r="B299" s="46"/>
      <c r="C299" s="59"/>
      <c r="G299" s="6"/>
    </row>
    <row r="300" spans="1:7" x14ac:dyDescent="0.3">
      <c r="A300" s="36"/>
      <c r="B300" s="46"/>
      <c r="C300" s="59"/>
      <c r="G300" s="6"/>
    </row>
    <row r="301" spans="1:7" x14ac:dyDescent="0.3">
      <c r="A301" s="36"/>
      <c r="B301" s="46"/>
      <c r="C301" s="59"/>
      <c r="G301" s="6"/>
    </row>
    <row r="302" spans="1:7" x14ac:dyDescent="0.3">
      <c r="A302" s="36"/>
      <c r="B302" s="46"/>
      <c r="C302" s="59"/>
      <c r="G302" s="6"/>
    </row>
    <row r="303" spans="1:7" x14ac:dyDescent="0.3">
      <c r="A303" s="36"/>
      <c r="B303" s="46"/>
      <c r="C303" s="59"/>
      <c r="G303" s="6"/>
    </row>
    <row r="304" spans="1:7" x14ac:dyDescent="0.3">
      <c r="A304" s="36"/>
      <c r="B304" s="46"/>
      <c r="C304" s="59"/>
      <c r="G304" s="6"/>
    </row>
    <row r="305" spans="1:7" x14ac:dyDescent="0.3">
      <c r="A305" s="36"/>
      <c r="B305" s="46"/>
      <c r="C305" s="59"/>
      <c r="G305" s="6"/>
    </row>
    <row r="306" spans="1:7" x14ac:dyDescent="0.3">
      <c r="A306" s="36"/>
      <c r="B306" s="46"/>
      <c r="C306" s="59"/>
      <c r="G306" s="6"/>
    </row>
    <row r="307" spans="1:7" x14ac:dyDescent="0.3">
      <c r="A307" s="36"/>
      <c r="B307" s="46"/>
      <c r="C307" s="59"/>
      <c r="G307" s="6"/>
    </row>
    <row r="308" spans="1:7" x14ac:dyDescent="0.3">
      <c r="A308" s="36"/>
      <c r="B308" s="46"/>
      <c r="C308" s="59"/>
      <c r="G308" s="6"/>
    </row>
    <row r="309" spans="1:7" x14ac:dyDescent="0.3">
      <c r="A309" s="36"/>
      <c r="B309" s="46"/>
      <c r="C309" s="59"/>
      <c r="G309" s="6"/>
    </row>
    <row r="310" spans="1:7" x14ac:dyDescent="0.3">
      <c r="A310" s="36"/>
      <c r="B310" s="46"/>
      <c r="C310" s="59"/>
      <c r="G310" s="6"/>
    </row>
    <row r="311" spans="1:7" x14ac:dyDescent="0.3">
      <c r="A311" s="36"/>
      <c r="B311" s="46"/>
      <c r="C311" s="59"/>
      <c r="G311" s="6"/>
    </row>
    <row r="312" spans="1:7" x14ac:dyDescent="0.3">
      <c r="A312" s="36"/>
      <c r="B312" s="46"/>
      <c r="C312" s="59"/>
      <c r="G312" s="6"/>
    </row>
    <row r="313" spans="1:7" x14ac:dyDescent="0.3">
      <c r="A313" s="36"/>
      <c r="B313" s="46"/>
      <c r="C313" s="59"/>
      <c r="G313" s="6"/>
    </row>
    <row r="314" spans="1:7" x14ac:dyDescent="0.3">
      <c r="A314" s="36"/>
      <c r="B314" s="46"/>
      <c r="C314" s="59"/>
      <c r="G314" s="6"/>
    </row>
    <row r="315" spans="1:7" x14ac:dyDescent="0.3">
      <c r="A315" s="36"/>
      <c r="B315" s="46"/>
      <c r="C315" s="59"/>
      <c r="G315" s="6"/>
    </row>
    <row r="316" spans="1:7" x14ac:dyDescent="0.3">
      <c r="A316" s="36"/>
      <c r="B316" s="46"/>
      <c r="C316" s="59"/>
      <c r="G316" s="6"/>
    </row>
    <row r="317" spans="1:7" x14ac:dyDescent="0.3">
      <c r="A317" s="36"/>
      <c r="B317" s="46"/>
      <c r="C317" s="59"/>
      <c r="G317" s="6"/>
    </row>
    <row r="318" spans="1:7" x14ac:dyDescent="0.3">
      <c r="A318" s="36"/>
      <c r="B318" s="46"/>
      <c r="C318" s="59"/>
      <c r="G318" s="6"/>
    </row>
    <row r="319" spans="1:7" x14ac:dyDescent="0.3">
      <c r="A319" s="36"/>
      <c r="B319" s="46"/>
      <c r="C319" s="59"/>
      <c r="G319" s="6"/>
    </row>
    <row r="320" spans="1:7" x14ac:dyDescent="0.3">
      <c r="A320" s="36"/>
      <c r="B320" s="46"/>
      <c r="C320" s="59"/>
      <c r="G320" s="6"/>
    </row>
    <row r="321" spans="1:7" x14ac:dyDescent="0.3">
      <c r="A321" s="36"/>
      <c r="B321" s="46"/>
      <c r="C321" s="59"/>
      <c r="G321" s="6"/>
    </row>
    <row r="322" spans="1:7" x14ac:dyDescent="0.3">
      <c r="A322" s="36"/>
      <c r="B322" s="46"/>
      <c r="C322" s="59"/>
      <c r="G322" s="6"/>
    </row>
    <row r="323" spans="1:7" x14ac:dyDescent="0.3">
      <c r="A323" s="36"/>
      <c r="B323" s="46"/>
      <c r="C323" s="59"/>
      <c r="G323" s="6"/>
    </row>
    <row r="324" spans="1:7" x14ac:dyDescent="0.3">
      <c r="A324" s="36"/>
      <c r="B324" s="46"/>
      <c r="C324" s="59"/>
      <c r="G324" s="6"/>
    </row>
    <row r="325" spans="1:7" x14ac:dyDescent="0.3">
      <c r="A325" s="36"/>
      <c r="B325" s="46"/>
      <c r="C325" s="59"/>
      <c r="G325" s="6"/>
    </row>
    <row r="326" spans="1:7" x14ac:dyDescent="0.3">
      <c r="A326" s="36"/>
      <c r="B326" s="46"/>
      <c r="C326" s="59"/>
      <c r="G326" s="6"/>
    </row>
    <row r="327" spans="1:7" x14ac:dyDescent="0.3">
      <c r="A327" s="36"/>
      <c r="B327" s="46"/>
      <c r="C327" s="59"/>
      <c r="G327" s="6"/>
    </row>
    <row r="328" spans="1:7" x14ac:dyDescent="0.3">
      <c r="A328" s="36"/>
      <c r="B328" s="46"/>
      <c r="C328" s="59"/>
      <c r="G328" s="6"/>
    </row>
    <row r="329" spans="1:7" x14ac:dyDescent="0.3">
      <c r="A329" s="36"/>
      <c r="B329" s="46"/>
      <c r="C329" s="59"/>
      <c r="G329" s="6"/>
    </row>
    <row r="330" spans="1:7" x14ac:dyDescent="0.3">
      <c r="A330" s="36"/>
      <c r="B330" s="46"/>
      <c r="C330" s="59"/>
      <c r="G330" s="6"/>
    </row>
    <row r="331" spans="1:7" x14ac:dyDescent="0.3">
      <c r="A331" s="36"/>
      <c r="B331" s="46"/>
      <c r="C331" s="59"/>
      <c r="G331" s="6"/>
    </row>
    <row r="332" spans="1:7" x14ac:dyDescent="0.3">
      <c r="A332" s="36"/>
      <c r="B332" s="46"/>
      <c r="C332" s="59"/>
      <c r="G332" s="6"/>
    </row>
    <row r="333" spans="1:7" x14ac:dyDescent="0.3">
      <c r="A333" s="36"/>
      <c r="B333" s="46"/>
      <c r="C333" s="59"/>
      <c r="G333" s="6"/>
    </row>
    <row r="334" spans="1:7" x14ac:dyDescent="0.3">
      <c r="A334" s="36"/>
      <c r="B334" s="46"/>
      <c r="C334" s="59"/>
      <c r="G334" s="6"/>
    </row>
    <row r="335" spans="1:7" x14ac:dyDescent="0.3">
      <c r="A335" s="36"/>
      <c r="B335" s="46"/>
      <c r="C335" s="59"/>
      <c r="G335" s="6"/>
    </row>
    <row r="336" spans="1:7" x14ac:dyDescent="0.3">
      <c r="A336" s="36"/>
      <c r="B336" s="46"/>
      <c r="C336" s="59"/>
      <c r="G336" s="6"/>
    </row>
    <row r="337" spans="1:7" x14ac:dyDescent="0.3">
      <c r="A337" s="36"/>
      <c r="B337" s="46"/>
      <c r="C337" s="59"/>
      <c r="G337" s="6"/>
    </row>
    <row r="338" spans="1:7" x14ac:dyDescent="0.3">
      <c r="A338" s="36"/>
      <c r="B338" s="46"/>
      <c r="C338" s="59"/>
      <c r="G338" s="6"/>
    </row>
    <row r="339" spans="1:7" x14ac:dyDescent="0.3">
      <c r="A339" s="36"/>
      <c r="B339" s="46"/>
      <c r="C339" s="59"/>
      <c r="G339" s="6"/>
    </row>
    <row r="340" spans="1:7" x14ac:dyDescent="0.3">
      <c r="A340" s="36"/>
      <c r="B340" s="46"/>
      <c r="C340" s="59"/>
      <c r="G340" s="6"/>
    </row>
    <row r="341" spans="1:7" x14ac:dyDescent="0.3">
      <c r="A341" s="36"/>
      <c r="B341" s="46"/>
      <c r="C341" s="59"/>
      <c r="G341" s="6"/>
    </row>
    <row r="342" spans="1:7" x14ac:dyDescent="0.3">
      <c r="A342" s="36"/>
      <c r="B342" s="46"/>
      <c r="C342" s="59"/>
      <c r="G342" s="6"/>
    </row>
    <row r="343" spans="1:7" x14ac:dyDescent="0.3">
      <c r="A343" s="36"/>
      <c r="B343" s="46"/>
      <c r="C343" s="59"/>
      <c r="G343" s="6"/>
    </row>
    <row r="344" spans="1:7" x14ac:dyDescent="0.3">
      <c r="A344" s="36"/>
      <c r="B344" s="46"/>
      <c r="C344" s="59"/>
      <c r="G344" s="6"/>
    </row>
    <row r="345" spans="1:7" x14ac:dyDescent="0.3">
      <c r="A345" s="36"/>
      <c r="B345" s="46"/>
      <c r="C345" s="59"/>
      <c r="G345" s="6"/>
    </row>
    <row r="346" spans="1:7" x14ac:dyDescent="0.3">
      <c r="A346" s="36"/>
      <c r="B346" s="46"/>
      <c r="C346" s="59"/>
      <c r="G346" s="6"/>
    </row>
    <row r="347" spans="1:7" x14ac:dyDescent="0.3">
      <c r="A347" s="36"/>
      <c r="B347" s="46"/>
      <c r="C347" s="59"/>
      <c r="G347" s="6"/>
    </row>
    <row r="348" spans="1:7" x14ac:dyDescent="0.3">
      <c r="A348" s="36"/>
      <c r="B348" s="46"/>
      <c r="C348" s="59"/>
      <c r="G348" s="6"/>
    </row>
    <row r="349" spans="1:7" x14ac:dyDescent="0.3">
      <c r="A349" s="36"/>
      <c r="B349" s="46"/>
      <c r="C349" s="59"/>
      <c r="G349" s="6"/>
    </row>
    <row r="350" spans="1:7" x14ac:dyDescent="0.3">
      <c r="A350" s="36"/>
      <c r="B350" s="46"/>
      <c r="C350" s="59"/>
      <c r="G350" s="6"/>
    </row>
    <row r="351" spans="1:7" x14ac:dyDescent="0.3">
      <c r="A351" s="36"/>
      <c r="B351" s="46"/>
      <c r="C351" s="59"/>
      <c r="G351" s="6"/>
    </row>
    <row r="352" spans="1:7" x14ac:dyDescent="0.3">
      <c r="A352" s="36"/>
      <c r="B352" s="46"/>
      <c r="C352" s="59"/>
      <c r="G352" s="6"/>
    </row>
    <row r="353" spans="1:7" x14ac:dyDescent="0.3">
      <c r="A353" s="36"/>
      <c r="B353" s="46"/>
      <c r="C353" s="59"/>
      <c r="G353" s="6"/>
    </row>
    <row r="354" spans="1:7" x14ac:dyDescent="0.3">
      <c r="A354" s="36"/>
      <c r="B354" s="46"/>
      <c r="C354" s="59"/>
      <c r="G354" s="6"/>
    </row>
    <row r="355" spans="1:7" x14ac:dyDescent="0.3">
      <c r="A355" s="36"/>
      <c r="B355" s="46"/>
      <c r="C355" s="59"/>
      <c r="G355" s="6"/>
    </row>
    <row r="356" spans="1:7" x14ac:dyDescent="0.3">
      <c r="A356" s="36"/>
      <c r="B356" s="46"/>
      <c r="C356" s="59"/>
      <c r="G356" s="6"/>
    </row>
    <row r="357" spans="1:7" x14ac:dyDescent="0.3">
      <c r="A357" s="36"/>
      <c r="B357" s="46"/>
      <c r="C357" s="59"/>
      <c r="G357" s="6"/>
    </row>
    <row r="358" spans="1:7" x14ac:dyDescent="0.3">
      <c r="A358" s="36"/>
      <c r="B358" s="46"/>
      <c r="C358" s="59"/>
      <c r="G358" s="6"/>
    </row>
    <row r="359" spans="1:7" x14ac:dyDescent="0.3">
      <c r="A359" s="36"/>
      <c r="B359" s="46"/>
      <c r="C359" s="59"/>
      <c r="G359" s="6"/>
    </row>
    <row r="360" spans="1:7" x14ac:dyDescent="0.3">
      <c r="A360" s="36"/>
      <c r="B360" s="46"/>
      <c r="C360" s="59"/>
      <c r="G360" s="6"/>
    </row>
    <row r="361" spans="1:7" x14ac:dyDescent="0.3">
      <c r="A361" s="36"/>
      <c r="B361" s="46"/>
      <c r="C361" s="59"/>
      <c r="G361" s="6"/>
    </row>
    <row r="362" spans="1:7" x14ac:dyDescent="0.3">
      <c r="A362" s="36"/>
      <c r="B362" s="46"/>
      <c r="C362" s="59"/>
      <c r="G362" s="6"/>
    </row>
    <row r="363" spans="1:7" x14ac:dyDescent="0.3">
      <c r="A363" s="36"/>
      <c r="B363" s="46"/>
      <c r="C363" s="59"/>
      <c r="G363" s="6"/>
    </row>
    <row r="364" spans="1:7" x14ac:dyDescent="0.3">
      <c r="A364" s="36"/>
      <c r="B364" s="46"/>
      <c r="C364" s="59"/>
      <c r="G364" s="6"/>
    </row>
    <row r="365" spans="1:7" x14ac:dyDescent="0.3">
      <c r="A365" s="36"/>
      <c r="B365" s="46"/>
      <c r="C365" s="59"/>
      <c r="G365" s="6"/>
    </row>
    <row r="366" spans="1:7" x14ac:dyDescent="0.3">
      <c r="A366" s="36"/>
      <c r="B366" s="46"/>
      <c r="C366" s="59"/>
      <c r="G366" s="6"/>
    </row>
    <row r="367" spans="1:7" x14ac:dyDescent="0.3">
      <c r="A367" s="36"/>
      <c r="B367" s="46"/>
      <c r="C367" s="59"/>
      <c r="G367" s="6"/>
    </row>
    <row r="368" spans="1:7" x14ac:dyDescent="0.3">
      <c r="A368" s="36"/>
      <c r="B368" s="46"/>
      <c r="C368" s="59"/>
      <c r="G368" s="6"/>
    </row>
    <row r="369" spans="1:7" x14ac:dyDescent="0.3">
      <c r="A369" s="36"/>
      <c r="B369" s="46"/>
      <c r="C369" s="59"/>
      <c r="G369" s="6"/>
    </row>
    <row r="370" spans="1:7" x14ac:dyDescent="0.3">
      <c r="A370" s="36"/>
      <c r="B370" s="46"/>
      <c r="C370" s="59"/>
      <c r="G370" s="6"/>
    </row>
    <row r="371" spans="1:7" x14ac:dyDescent="0.3">
      <c r="A371" s="36"/>
      <c r="B371" s="46"/>
      <c r="C371" s="59"/>
      <c r="G371" s="6"/>
    </row>
    <row r="372" spans="1:7" x14ac:dyDescent="0.3">
      <c r="A372" s="36"/>
      <c r="B372" s="46"/>
      <c r="C372" s="59"/>
      <c r="G372" s="6"/>
    </row>
    <row r="373" spans="1:7" x14ac:dyDescent="0.3">
      <c r="A373" s="36"/>
      <c r="B373" s="46"/>
      <c r="C373" s="59"/>
      <c r="G373" s="6"/>
    </row>
    <row r="374" spans="1:7" x14ac:dyDescent="0.3">
      <c r="A374" s="36"/>
      <c r="B374" s="46"/>
      <c r="C374" s="59"/>
      <c r="G374" s="6"/>
    </row>
    <row r="375" spans="1:7" x14ac:dyDescent="0.3">
      <c r="A375" s="36"/>
      <c r="B375" s="46"/>
      <c r="C375" s="59"/>
      <c r="G375" s="6"/>
    </row>
    <row r="376" spans="1:7" x14ac:dyDescent="0.3">
      <c r="A376" s="36"/>
      <c r="B376" s="46"/>
      <c r="C376" s="59"/>
      <c r="G376" s="6"/>
    </row>
    <row r="377" spans="1:7" x14ac:dyDescent="0.3">
      <c r="A377" s="36"/>
      <c r="B377" s="46"/>
      <c r="C377" s="59"/>
      <c r="G377" s="6"/>
    </row>
    <row r="378" spans="1:7" x14ac:dyDescent="0.3">
      <c r="A378" s="36"/>
      <c r="B378" s="46"/>
      <c r="C378" s="59"/>
      <c r="G378" s="6"/>
    </row>
    <row r="379" spans="1:7" x14ac:dyDescent="0.3">
      <c r="A379" s="36"/>
      <c r="B379" s="46"/>
      <c r="C379" s="59"/>
      <c r="G379" s="6"/>
    </row>
    <row r="380" spans="1:7" x14ac:dyDescent="0.3">
      <c r="A380" s="36"/>
      <c r="B380" s="46"/>
      <c r="C380" s="59"/>
      <c r="G380" s="6"/>
    </row>
    <row r="381" spans="1:7" x14ac:dyDescent="0.3">
      <c r="A381" s="36"/>
      <c r="B381" s="46"/>
      <c r="C381" s="59"/>
      <c r="G381" s="6"/>
    </row>
    <row r="382" spans="1:7" x14ac:dyDescent="0.3">
      <c r="A382" s="36"/>
      <c r="B382" s="46"/>
      <c r="C382" s="59"/>
      <c r="G382" s="6"/>
    </row>
    <row r="383" spans="1:7" x14ac:dyDescent="0.3">
      <c r="A383" s="36"/>
      <c r="B383" s="46"/>
      <c r="C383" s="59"/>
      <c r="G383" s="6"/>
    </row>
    <row r="384" spans="1:7" x14ac:dyDescent="0.3">
      <c r="A384" s="36"/>
      <c r="B384" s="46"/>
      <c r="C384" s="59"/>
      <c r="G384" s="6"/>
    </row>
    <row r="385" spans="1:7" x14ac:dyDescent="0.3">
      <c r="A385" s="36"/>
      <c r="B385" s="46"/>
      <c r="C385" s="59"/>
      <c r="G385" s="6"/>
    </row>
    <row r="386" spans="1:7" x14ac:dyDescent="0.3">
      <c r="A386" s="36"/>
      <c r="B386" s="46"/>
      <c r="C386" s="59"/>
      <c r="G386" s="6"/>
    </row>
    <row r="387" spans="1:7" x14ac:dyDescent="0.3">
      <c r="A387" s="36"/>
      <c r="B387" s="46"/>
      <c r="C387" s="59"/>
      <c r="G387" s="6"/>
    </row>
    <row r="388" spans="1:7" x14ac:dyDescent="0.3">
      <c r="A388" s="36"/>
      <c r="B388" s="46"/>
      <c r="C388" s="59"/>
      <c r="G388" s="6"/>
    </row>
    <row r="389" spans="1:7" x14ac:dyDescent="0.3">
      <c r="A389" s="36"/>
      <c r="B389" s="46"/>
      <c r="C389" s="59"/>
      <c r="G389" s="6"/>
    </row>
    <row r="390" spans="1:7" x14ac:dyDescent="0.3">
      <c r="A390" s="36"/>
      <c r="B390" s="46"/>
      <c r="C390" s="59"/>
      <c r="G390" s="6"/>
    </row>
    <row r="391" spans="1:7" x14ac:dyDescent="0.3">
      <c r="A391" s="36"/>
      <c r="B391" s="46"/>
      <c r="C391" s="59"/>
      <c r="G391" s="6"/>
    </row>
    <row r="392" spans="1:7" x14ac:dyDescent="0.3">
      <c r="A392" s="36"/>
      <c r="B392" s="46"/>
      <c r="C392" s="59"/>
      <c r="G392" s="6"/>
    </row>
    <row r="393" spans="1:7" x14ac:dyDescent="0.3">
      <c r="A393" s="36"/>
      <c r="B393" s="46"/>
      <c r="C393" s="59"/>
      <c r="G393" s="6"/>
    </row>
    <row r="394" spans="1:7" x14ac:dyDescent="0.3">
      <c r="A394" s="36"/>
      <c r="B394" s="46"/>
      <c r="C394" s="59"/>
      <c r="G394" s="6"/>
    </row>
    <row r="395" spans="1:7" x14ac:dyDescent="0.3">
      <c r="A395" s="36"/>
      <c r="B395" s="46"/>
      <c r="C395" s="59"/>
      <c r="G395" s="6"/>
    </row>
    <row r="396" spans="1:7" x14ac:dyDescent="0.3">
      <c r="A396" s="36"/>
      <c r="B396" s="46"/>
      <c r="C396" s="59"/>
      <c r="G396" s="6"/>
    </row>
    <row r="397" spans="1:7" x14ac:dyDescent="0.3">
      <c r="A397" s="36"/>
      <c r="B397" s="46"/>
      <c r="C397" s="59"/>
      <c r="G397" s="6"/>
    </row>
    <row r="398" spans="1:7" x14ac:dyDescent="0.3">
      <c r="A398" s="36"/>
      <c r="B398" s="46"/>
      <c r="C398" s="59"/>
      <c r="G398" s="6"/>
    </row>
    <row r="399" spans="1:7" x14ac:dyDescent="0.3">
      <c r="A399" s="36"/>
      <c r="B399" s="46"/>
      <c r="C399" s="59"/>
      <c r="G399" s="6"/>
    </row>
    <row r="400" spans="1:7" x14ac:dyDescent="0.3">
      <c r="A400" s="36"/>
      <c r="B400" s="46"/>
      <c r="C400" s="59"/>
      <c r="G400" s="6"/>
    </row>
    <row r="401" spans="1:7" x14ac:dyDescent="0.3">
      <c r="A401" s="36"/>
      <c r="B401" s="46"/>
      <c r="C401" s="59"/>
      <c r="G401" s="6"/>
    </row>
    <row r="402" spans="1:7" x14ac:dyDescent="0.3">
      <c r="A402" s="36"/>
      <c r="B402" s="46"/>
      <c r="C402" s="59"/>
      <c r="G402" s="6"/>
    </row>
    <row r="403" spans="1:7" x14ac:dyDescent="0.3">
      <c r="A403" s="36"/>
      <c r="B403" s="46"/>
      <c r="C403" s="59"/>
      <c r="G403" s="6"/>
    </row>
    <row r="404" spans="1:7" x14ac:dyDescent="0.3">
      <c r="A404" s="36"/>
      <c r="B404" s="46"/>
      <c r="C404" s="59"/>
      <c r="G404" s="6"/>
    </row>
    <row r="405" spans="1:7" x14ac:dyDescent="0.3">
      <c r="A405" s="36"/>
      <c r="B405" s="46"/>
      <c r="C405" s="59"/>
      <c r="G405" s="6"/>
    </row>
    <row r="406" spans="1:7" x14ac:dyDescent="0.3">
      <c r="A406" s="36"/>
      <c r="B406" s="46"/>
      <c r="C406" s="59"/>
      <c r="G406" s="6"/>
    </row>
    <row r="407" spans="1:7" x14ac:dyDescent="0.3">
      <c r="A407" s="36"/>
      <c r="B407" s="46"/>
      <c r="C407" s="59"/>
      <c r="G407" s="6"/>
    </row>
    <row r="408" spans="1:7" x14ac:dyDescent="0.3">
      <c r="A408" s="36"/>
      <c r="B408" s="46"/>
      <c r="C408" s="59"/>
      <c r="G408" s="6"/>
    </row>
    <row r="409" spans="1:7" x14ac:dyDescent="0.3">
      <c r="A409" s="36"/>
      <c r="B409" s="46"/>
      <c r="C409" s="59"/>
      <c r="G409" s="6"/>
    </row>
    <row r="410" spans="1:7" x14ac:dyDescent="0.3">
      <c r="A410" s="36"/>
      <c r="B410" s="46"/>
      <c r="C410" s="59"/>
      <c r="G410" s="6"/>
    </row>
    <row r="411" spans="1:7" x14ac:dyDescent="0.3">
      <c r="A411" s="36"/>
      <c r="B411" s="46"/>
      <c r="C411" s="59"/>
      <c r="G411" s="6"/>
    </row>
    <row r="412" spans="1:7" x14ac:dyDescent="0.3">
      <c r="A412" s="36"/>
      <c r="B412" s="46"/>
      <c r="C412" s="59"/>
      <c r="G412" s="6"/>
    </row>
    <row r="413" spans="1:7" x14ac:dyDescent="0.3">
      <c r="A413" s="36"/>
      <c r="B413" s="46"/>
      <c r="C413" s="59"/>
      <c r="G413" s="6"/>
    </row>
    <row r="414" spans="1:7" x14ac:dyDescent="0.3">
      <c r="A414" s="36"/>
      <c r="B414" s="46"/>
      <c r="C414" s="59"/>
      <c r="G414" s="6"/>
    </row>
    <row r="415" spans="1:7" x14ac:dyDescent="0.3">
      <c r="A415" s="36"/>
      <c r="B415" s="46"/>
      <c r="C415" s="59"/>
      <c r="G415" s="6"/>
    </row>
    <row r="416" spans="1:7" x14ac:dyDescent="0.3">
      <c r="A416" s="36"/>
      <c r="B416" s="46"/>
      <c r="C416" s="59"/>
      <c r="G416" s="6"/>
    </row>
    <row r="417" spans="1:7" x14ac:dyDescent="0.3">
      <c r="A417" s="36"/>
      <c r="B417" s="46"/>
      <c r="C417" s="59"/>
      <c r="G417" s="6"/>
    </row>
    <row r="418" spans="1:7" x14ac:dyDescent="0.3">
      <c r="A418" s="36"/>
      <c r="B418" s="46"/>
      <c r="C418" s="59"/>
      <c r="G418" s="6"/>
    </row>
    <row r="419" spans="1:7" x14ac:dyDescent="0.3">
      <c r="A419" s="36"/>
      <c r="B419" s="46"/>
      <c r="C419" s="59"/>
      <c r="G419" s="6"/>
    </row>
    <row r="420" spans="1:7" x14ac:dyDescent="0.3">
      <c r="A420" s="36"/>
      <c r="B420" s="46"/>
      <c r="C420" s="59"/>
      <c r="G420" s="6"/>
    </row>
    <row r="421" spans="1:7" x14ac:dyDescent="0.3">
      <c r="A421" s="36"/>
      <c r="B421" s="46"/>
      <c r="C421" s="59"/>
      <c r="G421" s="6"/>
    </row>
    <row r="422" spans="1:7" x14ac:dyDescent="0.3">
      <c r="A422" s="36"/>
      <c r="B422" s="46"/>
      <c r="C422" s="59"/>
      <c r="G422" s="6"/>
    </row>
    <row r="423" spans="1:7" x14ac:dyDescent="0.3">
      <c r="A423" s="36"/>
      <c r="B423" s="46"/>
      <c r="C423" s="59"/>
      <c r="G423" s="6"/>
    </row>
    <row r="424" spans="1:7" x14ac:dyDescent="0.3">
      <c r="A424" s="36"/>
      <c r="B424" s="46"/>
      <c r="C424" s="59"/>
      <c r="G424" s="6"/>
    </row>
    <row r="425" spans="1:7" x14ac:dyDescent="0.3">
      <c r="A425" s="36"/>
      <c r="B425" s="46"/>
      <c r="C425" s="59"/>
      <c r="G425" s="6"/>
    </row>
    <row r="426" spans="1:7" x14ac:dyDescent="0.3">
      <c r="A426" s="36"/>
      <c r="B426" s="46"/>
      <c r="C426" s="59"/>
      <c r="G426" s="6"/>
    </row>
    <row r="427" spans="1:7" x14ac:dyDescent="0.3">
      <c r="A427" s="36"/>
      <c r="B427" s="46"/>
      <c r="C427" s="59"/>
      <c r="G427" s="6"/>
    </row>
    <row r="428" spans="1:7" x14ac:dyDescent="0.3">
      <c r="A428" s="36"/>
      <c r="B428" s="46"/>
      <c r="C428" s="59"/>
      <c r="G428" s="6"/>
    </row>
    <row r="429" spans="1:7" x14ac:dyDescent="0.3">
      <c r="A429" s="36"/>
      <c r="B429" s="46"/>
      <c r="C429" s="59"/>
      <c r="G429" s="6"/>
    </row>
    <row r="430" spans="1:7" x14ac:dyDescent="0.3">
      <c r="A430" s="36"/>
      <c r="B430" s="46"/>
      <c r="C430" s="59"/>
      <c r="G430" s="6"/>
    </row>
    <row r="431" spans="1:7" x14ac:dyDescent="0.3">
      <c r="A431" s="36"/>
      <c r="B431" s="46"/>
      <c r="C431" s="59"/>
      <c r="G431" s="6"/>
    </row>
    <row r="432" spans="1:7" x14ac:dyDescent="0.3">
      <c r="A432" s="36"/>
      <c r="B432" s="46"/>
      <c r="C432" s="59"/>
      <c r="G432" s="6"/>
    </row>
    <row r="433" spans="1:7" x14ac:dyDescent="0.3">
      <c r="A433" s="36"/>
      <c r="B433" s="46"/>
      <c r="C433" s="59"/>
      <c r="G433" s="6"/>
    </row>
    <row r="434" spans="1:7" x14ac:dyDescent="0.3">
      <c r="A434" s="36"/>
      <c r="B434" s="46"/>
      <c r="C434" s="59"/>
      <c r="G434" s="6"/>
    </row>
    <row r="435" spans="1:7" x14ac:dyDescent="0.3">
      <c r="A435" s="36"/>
      <c r="B435" s="46"/>
      <c r="C435" s="59"/>
      <c r="G435" s="6"/>
    </row>
    <row r="436" spans="1:7" x14ac:dyDescent="0.3">
      <c r="A436" s="36"/>
      <c r="B436" s="46"/>
      <c r="C436" s="59"/>
      <c r="G436" s="6"/>
    </row>
    <row r="437" spans="1:7" x14ac:dyDescent="0.3">
      <c r="A437" s="36"/>
      <c r="B437" s="46"/>
      <c r="C437" s="59"/>
      <c r="G437" s="6"/>
    </row>
    <row r="438" spans="1:7" x14ac:dyDescent="0.3">
      <c r="A438" s="36"/>
      <c r="B438" s="46"/>
      <c r="C438" s="59"/>
      <c r="G438" s="6"/>
    </row>
    <row r="439" spans="1:7" x14ac:dyDescent="0.3">
      <c r="A439" s="36"/>
      <c r="B439" s="46"/>
      <c r="C439" s="59"/>
      <c r="G439" s="6"/>
    </row>
    <row r="440" spans="1:7" x14ac:dyDescent="0.3">
      <c r="A440" s="36"/>
      <c r="B440" s="46"/>
      <c r="C440" s="59"/>
      <c r="G440" s="6"/>
    </row>
    <row r="441" spans="1:7" x14ac:dyDescent="0.3">
      <c r="A441" s="36"/>
      <c r="B441" s="46"/>
      <c r="C441" s="59"/>
      <c r="G441" s="6"/>
    </row>
    <row r="442" spans="1:7" x14ac:dyDescent="0.3">
      <c r="A442" s="36"/>
      <c r="B442" s="46"/>
      <c r="C442" s="59"/>
      <c r="G442" s="6"/>
    </row>
    <row r="443" spans="1:7" x14ac:dyDescent="0.3">
      <c r="A443" s="36"/>
      <c r="B443" s="46"/>
      <c r="C443" s="59"/>
      <c r="G443" s="6"/>
    </row>
    <row r="444" spans="1:7" x14ac:dyDescent="0.3">
      <c r="A444" s="36"/>
      <c r="B444" s="46"/>
      <c r="C444" s="59"/>
      <c r="G444" s="6"/>
    </row>
    <row r="445" spans="1:7" x14ac:dyDescent="0.3">
      <c r="A445" s="36"/>
      <c r="B445" s="46"/>
      <c r="C445" s="59"/>
      <c r="G445" s="6"/>
    </row>
    <row r="446" spans="1:7" x14ac:dyDescent="0.3">
      <c r="A446" s="36"/>
      <c r="B446" s="46"/>
      <c r="C446" s="59"/>
      <c r="G446" s="6"/>
    </row>
    <row r="447" spans="1:7" x14ac:dyDescent="0.3">
      <c r="A447" s="36"/>
      <c r="B447" s="46"/>
      <c r="C447" s="59"/>
      <c r="G447" s="6"/>
    </row>
    <row r="448" spans="1:7" x14ac:dyDescent="0.3">
      <c r="A448" s="36"/>
      <c r="B448" s="46"/>
      <c r="C448" s="59"/>
      <c r="G448" s="6"/>
    </row>
    <row r="449" spans="1:7" x14ac:dyDescent="0.3">
      <c r="A449" s="36"/>
      <c r="B449" s="46"/>
      <c r="C449" s="59"/>
      <c r="G449" s="6"/>
    </row>
    <row r="450" spans="1:7" x14ac:dyDescent="0.3">
      <c r="A450" s="36"/>
      <c r="B450" s="46"/>
      <c r="C450" s="59"/>
      <c r="G450" s="6"/>
    </row>
    <row r="451" spans="1:7" x14ac:dyDescent="0.3">
      <c r="A451" s="36"/>
      <c r="B451" s="46"/>
      <c r="C451" s="59"/>
      <c r="G451" s="6"/>
    </row>
    <row r="452" spans="1:7" x14ac:dyDescent="0.3">
      <c r="A452" s="36"/>
      <c r="B452" s="46"/>
      <c r="C452" s="59"/>
      <c r="G452" s="6"/>
    </row>
    <row r="453" spans="1:7" x14ac:dyDescent="0.3">
      <c r="A453" s="36"/>
      <c r="B453" s="46"/>
      <c r="C453" s="59"/>
      <c r="G453" s="6"/>
    </row>
    <row r="454" spans="1:7" x14ac:dyDescent="0.3">
      <c r="A454" s="36"/>
      <c r="B454" s="46"/>
      <c r="C454" s="59"/>
      <c r="G454" s="6"/>
    </row>
    <row r="455" spans="1:7" x14ac:dyDescent="0.3">
      <c r="A455" s="36"/>
      <c r="B455" s="46"/>
      <c r="C455" s="59"/>
      <c r="G455" s="6"/>
    </row>
    <row r="456" spans="1:7" x14ac:dyDescent="0.3">
      <c r="A456" s="36"/>
      <c r="B456" s="46"/>
      <c r="C456" s="59"/>
      <c r="G456" s="6"/>
    </row>
    <row r="457" spans="1:7" x14ac:dyDescent="0.3">
      <c r="A457" s="36"/>
      <c r="B457" s="46"/>
      <c r="C457" s="59"/>
      <c r="G457" s="6"/>
    </row>
    <row r="458" spans="1:7" x14ac:dyDescent="0.3">
      <c r="A458" s="36"/>
      <c r="B458" s="46"/>
      <c r="C458" s="59"/>
      <c r="G458" s="6"/>
    </row>
    <row r="459" spans="1:7" x14ac:dyDescent="0.3">
      <c r="A459" s="36"/>
      <c r="B459" s="46"/>
      <c r="C459" s="59"/>
      <c r="G459" s="6"/>
    </row>
    <row r="460" spans="1:7" x14ac:dyDescent="0.3">
      <c r="A460" s="36"/>
      <c r="B460" s="46"/>
      <c r="C460" s="59"/>
      <c r="G460" s="6"/>
    </row>
    <row r="461" spans="1:7" x14ac:dyDescent="0.3">
      <c r="A461" s="36"/>
      <c r="B461" s="46"/>
      <c r="C461" s="59"/>
      <c r="G461" s="6"/>
    </row>
    <row r="462" spans="1:7" x14ac:dyDescent="0.3">
      <c r="A462" s="36"/>
      <c r="B462" s="46"/>
      <c r="C462" s="59"/>
      <c r="G462" s="6"/>
    </row>
    <row r="463" spans="1:7" x14ac:dyDescent="0.3">
      <c r="A463" s="36"/>
      <c r="B463" s="46"/>
      <c r="C463" s="59"/>
      <c r="G463" s="6"/>
    </row>
    <row r="464" spans="1:7" x14ac:dyDescent="0.3">
      <c r="A464" s="36"/>
      <c r="B464" s="46"/>
      <c r="C464" s="59"/>
      <c r="G464" s="6"/>
    </row>
    <row r="465" spans="1:7" x14ac:dyDescent="0.3">
      <c r="A465" s="36"/>
      <c r="B465" s="46"/>
      <c r="C465" s="59"/>
      <c r="G465" s="6"/>
    </row>
    <row r="466" spans="1:7" x14ac:dyDescent="0.3">
      <c r="A466" s="36"/>
      <c r="B466" s="46"/>
      <c r="C466" s="59"/>
      <c r="G466" s="6"/>
    </row>
    <row r="467" spans="1:7" x14ac:dyDescent="0.3">
      <c r="A467" s="36"/>
      <c r="B467" s="46"/>
      <c r="C467" s="59"/>
      <c r="G467" s="6"/>
    </row>
    <row r="468" spans="1:7" x14ac:dyDescent="0.3">
      <c r="A468" s="36"/>
      <c r="B468" s="46"/>
      <c r="C468" s="59"/>
      <c r="G468" s="6"/>
    </row>
    <row r="469" spans="1:7" x14ac:dyDescent="0.3">
      <c r="A469" s="36"/>
      <c r="B469" s="46"/>
      <c r="C469" s="59"/>
      <c r="G469" s="6"/>
    </row>
    <row r="470" spans="1:7" x14ac:dyDescent="0.3">
      <c r="A470" s="36"/>
      <c r="B470" s="46"/>
      <c r="C470" s="59"/>
      <c r="G470" s="6"/>
    </row>
    <row r="471" spans="1:7" x14ac:dyDescent="0.3">
      <c r="A471" s="36"/>
      <c r="B471" s="46"/>
      <c r="C471" s="59"/>
      <c r="G471" s="6"/>
    </row>
    <row r="472" spans="1:7" x14ac:dyDescent="0.3">
      <c r="A472" s="36"/>
      <c r="B472" s="46"/>
      <c r="C472" s="59"/>
      <c r="G472" s="6"/>
    </row>
    <row r="473" spans="1:7" x14ac:dyDescent="0.3">
      <c r="A473" s="36"/>
      <c r="B473" s="46"/>
      <c r="C473" s="59"/>
      <c r="G473" s="6"/>
    </row>
    <row r="474" spans="1:7" x14ac:dyDescent="0.3">
      <c r="A474" s="36"/>
      <c r="B474" s="46"/>
      <c r="C474" s="59"/>
      <c r="G474" s="6"/>
    </row>
    <row r="475" spans="1:7" x14ac:dyDescent="0.3">
      <c r="A475" s="36"/>
      <c r="B475" s="46"/>
      <c r="C475" s="59"/>
      <c r="G475" s="6"/>
    </row>
    <row r="476" spans="1:7" x14ac:dyDescent="0.3">
      <c r="A476" s="36"/>
      <c r="B476" s="46"/>
      <c r="C476" s="59"/>
      <c r="G476" s="6"/>
    </row>
    <row r="477" spans="1:7" x14ac:dyDescent="0.3">
      <c r="A477" s="36"/>
      <c r="B477" s="46"/>
      <c r="C477" s="59"/>
      <c r="G477" s="6"/>
    </row>
    <row r="478" spans="1:7" x14ac:dyDescent="0.3">
      <c r="A478" s="36"/>
      <c r="B478" s="46"/>
      <c r="C478" s="59"/>
      <c r="G478" s="6"/>
    </row>
    <row r="479" spans="1:7" x14ac:dyDescent="0.3">
      <c r="A479" s="36"/>
      <c r="B479" s="46"/>
      <c r="C479" s="59"/>
      <c r="G479" s="6"/>
    </row>
    <row r="480" spans="1:7" x14ac:dyDescent="0.3">
      <c r="A480" s="36"/>
      <c r="B480" s="46"/>
      <c r="C480" s="59"/>
      <c r="G480" s="6"/>
    </row>
    <row r="481" spans="1:7" x14ac:dyDescent="0.3">
      <c r="A481" s="36"/>
      <c r="B481" s="46"/>
      <c r="C481" s="59"/>
      <c r="G481" s="6"/>
    </row>
    <row r="482" spans="1:7" x14ac:dyDescent="0.3">
      <c r="A482" s="36"/>
      <c r="B482" s="46"/>
      <c r="C482" s="59"/>
      <c r="G482" s="6"/>
    </row>
    <row r="483" spans="1:7" x14ac:dyDescent="0.3">
      <c r="A483" s="36"/>
      <c r="B483" s="46"/>
      <c r="C483" s="59"/>
      <c r="G483" s="6"/>
    </row>
    <row r="484" spans="1:7" x14ac:dyDescent="0.3">
      <c r="A484" s="36"/>
      <c r="B484" s="46"/>
      <c r="C484" s="59"/>
      <c r="G484" s="6"/>
    </row>
    <row r="485" spans="1:7" x14ac:dyDescent="0.3">
      <c r="A485" s="36"/>
      <c r="B485" s="46"/>
      <c r="C485" s="59"/>
      <c r="G485" s="6"/>
    </row>
    <row r="486" spans="1:7" x14ac:dyDescent="0.3">
      <c r="A486" s="36"/>
      <c r="B486" s="46"/>
      <c r="C486" s="59"/>
      <c r="G486" s="6"/>
    </row>
    <row r="487" spans="1:7" x14ac:dyDescent="0.3">
      <c r="A487" s="36"/>
      <c r="B487" s="46"/>
      <c r="C487" s="59"/>
      <c r="G487" s="6"/>
    </row>
    <row r="488" spans="1:7" x14ac:dyDescent="0.3">
      <c r="A488" s="36"/>
      <c r="B488" s="46"/>
      <c r="C488" s="59"/>
      <c r="G488" s="6"/>
    </row>
    <row r="489" spans="1:7" x14ac:dyDescent="0.3">
      <c r="A489" s="36"/>
      <c r="B489" s="46"/>
      <c r="C489" s="59"/>
      <c r="G489" s="6"/>
    </row>
    <row r="490" spans="1:7" x14ac:dyDescent="0.3">
      <c r="A490" s="36"/>
      <c r="B490" s="46"/>
      <c r="C490" s="59"/>
      <c r="G490" s="6"/>
    </row>
    <row r="491" spans="1:7" x14ac:dyDescent="0.3">
      <c r="A491" s="36"/>
      <c r="B491" s="46"/>
      <c r="C491" s="59"/>
      <c r="G491" s="6"/>
    </row>
    <row r="492" spans="1:7" x14ac:dyDescent="0.3">
      <c r="A492" s="36"/>
      <c r="B492" s="46"/>
      <c r="C492" s="59"/>
      <c r="G492" s="6"/>
    </row>
    <row r="493" spans="1:7" x14ac:dyDescent="0.3">
      <c r="A493" s="36"/>
      <c r="B493" s="46"/>
      <c r="C493" s="59"/>
      <c r="G493" s="6"/>
    </row>
    <row r="494" spans="1:7" x14ac:dyDescent="0.3">
      <c r="A494" s="36"/>
      <c r="B494" s="46"/>
      <c r="C494" s="59"/>
      <c r="G494" s="6"/>
    </row>
    <row r="495" spans="1:7" x14ac:dyDescent="0.3">
      <c r="A495" s="36"/>
      <c r="B495" s="46"/>
      <c r="C495" s="59"/>
      <c r="G495" s="6"/>
    </row>
    <row r="496" spans="1:7" x14ac:dyDescent="0.3">
      <c r="A496" s="36"/>
      <c r="B496" s="46"/>
      <c r="C496" s="59"/>
      <c r="G496" s="6"/>
    </row>
    <row r="497" spans="1:7" x14ac:dyDescent="0.3">
      <c r="A497" s="36"/>
      <c r="B497" s="46"/>
      <c r="C497" s="59"/>
      <c r="G497" s="6"/>
    </row>
    <row r="498" spans="1:7" x14ac:dyDescent="0.3">
      <c r="A498" s="36"/>
      <c r="B498" s="46"/>
      <c r="C498" s="59"/>
      <c r="G498" s="6"/>
    </row>
    <row r="499" spans="1:7" x14ac:dyDescent="0.3">
      <c r="A499" s="36"/>
      <c r="B499" s="46"/>
      <c r="C499" s="59"/>
      <c r="G499" s="6"/>
    </row>
    <row r="500" spans="1:7" x14ac:dyDescent="0.3">
      <c r="A500" s="36"/>
      <c r="B500" s="46"/>
      <c r="C500" s="59"/>
      <c r="G500" s="6"/>
    </row>
    <row r="501" spans="1:7" x14ac:dyDescent="0.3">
      <c r="A501" s="36"/>
      <c r="B501" s="46"/>
      <c r="C501" s="59"/>
      <c r="G501" s="6"/>
    </row>
    <row r="502" spans="1:7" x14ac:dyDescent="0.3">
      <c r="A502" s="36"/>
      <c r="B502" s="46"/>
      <c r="C502" s="59"/>
      <c r="G502" s="6"/>
    </row>
    <row r="503" spans="1:7" x14ac:dyDescent="0.3">
      <c r="A503" s="36"/>
      <c r="B503" s="46"/>
      <c r="C503" s="59"/>
      <c r="G503" s="6"/>
    </row>
    <row r="504" spans="1:7" x14ac:dyDescent="0.3">
      <c r="A504" s="36"/>
      <c r="B504" s="46"/>
      <c r="C504" s="59"/>
      <c r="G504" s="6"/>
    </row>
    <row r="505" spans="1:7" x14ac:dyDescent="0.3">
      <c r="A505" s="36"/>
      <c r="B505" s="46"/>
      <c r="C505" s="59"/>
      <c r="G505" s="6"/>
    </row>
    <row r="506" spans="1:7" x14ac:dyDescent="0.3">
      <c r="A506" s="36"/>
      <c r="B506" s="46"/>
      <c r="C506" s="59"/>
      <c r="G506" s="6"/>
    </row>
    <row r="507" spans="1:7" x14ac:dyDescent="0.3">
      <c r="A507" s="36"/>
      <c r="B507" s="46"/>
      <c r="C507" s="59"/>
      <c r="G507" s="6"/>
    </row>
    <row r="508" spans="1:7" x14ac:dyDescent="0.3">
      <c r="A508" s="36"/>
      <c r="B508" s="46"/>
      <c r="C508" s="59"/>
      <c r="G508" s="6"/>
    </row>
    <row r="509" spans="1:7" x14ac:dyDescent="0.3">
      <c r="A509" s="36"/>
      <c r="B509" s="46"/>
      <c r="C509" s="59"/>
      <c r="G509" s="6"/>
    </row>
    <row r="510" spans="1:7" x14ac:dyDescent="0.3">
      <c r="A510" s="36"/>
      <c r="B510" s="46"/>
      <c r="C510" s="59"/>
      <c r="G510" s="6"/>
    </row>
    <row r="511" spans="1:7" x14ac:dyDescent="0.3">
      <c r="A511" s="36"/>
      <c r="B511" s="46"/>
      <c r="C511" s="59"/>
      <c r="G511" s="6"/>
    </row>
    <row r="512" spans="1:7" x14ac:dyDescent="0.3">
      <c r="A512" s="36"/>
      <c r="B512" s="46"/>
      <c r="C512" s="59"/>
      <c r="G512" s="6"/>
    </row>
    <row r="513" spans="1:7" x14ac:dyDescent="0.3">
      <c r="A513" s="36"/>
      <c r="B513" s="46"/>
      <c r="C513" s="59"/>
      <c r="G513" s="6"/>
    </row>
    <row r="514" spans="1:7" x14ac:dyDescent="0.3">
      <c r="A514" s="36"/>
      <c r="B514" s="46"/>
      <c r="C514" s="59"/>
      <c r="G514" s="6"/>
    </row>
    <row r="515" spans="1:7" x14ac:dyDescent="0.3">
      <c r="A515" s="36"/>
      <c r="B515" s="46"/>
      <c r="C515" s="59"/>
      <c r="G515" s="6"/>
    </row>
    <row r="516" spans="1:7" x14ac:dyDescent="0.3">
      <c r="A516" s="36"/>
      <c r="B516" s="46"/>
      <c r="C516" s="59"/>
      <c r="G516" s="6"/>
    </row>
    <row r="517" spans="1:7" x14ac:dyDescent="0.3">
      <c r="A517" s="36"/>
      <c r="B517" s="46"/>
      <c r="C517" s="59"/>
      <c r="G517" s="6"/>
    </row>
    <row r="518" spans="1:7" x14ac:dyDescent="0.3">
      <c r="A518" s="36"/>
      <c r="B518" s="46"/>
      <c r="C518" s="59"/>
      <c r="G518" s="6"/>
    </row>
    <row r="519" spans="1:7" x14ac:dyDescent="0.3">
      <c r="A519" s="36"/>
      <c r="B519" s="46"/>
      <c r="C519" s="59"/>
      <c r="G519" s="6"/>
    </row>
    <row r="520" spans="1:7" x14ac:dyDescent="0.3">
      <c r="A520" s="36"/>
      <c r="B520" s="46"/>
      <c r="C520" s="59"/>
      <c r="G520" s="6"/>
    </row>
    <row r="521" spans="1:7" x14ac:dyDescent="0.3">
      <c r="A521" s="36"/>
      <c r="B521" s="46"/>
      <c r="C521" s="59"/>
      <c r="G521" s="6"/>
    </row>
    <row r="522" spans="1:7" x14ac:dyDescent="0.3">
      <c r="A522" s="36"/>
      <c r="B522" s="46"/>
      <c r="C522" s="59"/>
      <c r="G522" s="6"/>
    </row>
    <row r="523" spans="1:7" x14ac:dyDescent="0.3">
      <c r="A523" s="36"/>
      <c r="B523" s="46"/>
      <c r="C523" s="59"/>
      <c r="G523" s="6"/>
    </row>
    <row r="524" spans="1:7" x14ac:dyDescent="0.3">
      <c r="A524" s="36"/>
      <c r="B524" s="46"/>
      <c r="C524" s="59"/>
      <c r="G524" s="6"/>
    </row>
    <row r="525" spans="1:7" x14ac:dyDescent="0.3">
      <c r="A525" s="36"/>
      <c r="B525" s="46"/>
      <c r="C525" s="59"/>
      <c r="G525" s="6"/>
    </row>
    <row r="526" spans="1:7" x14ac:dyDescent="0.3">
      <c r="A526" s="36"/>
      <c r="B526" s="46"/>
      <c r="C526" s="59"/>
      <c r="G526" s="6"/>
    </row>
    <row r="527" spans="1:7" x14ac:dyDescent="0.3">
      <c r="A527" s="36"/>
      <c r="B527" s="46"/>
      <c r="C527" s="59"/>
      <c r="G527" s="6"/>
    </row>
    <row r="528" spans="1:7" x14ac:dyDescent="0.3">
      <c r="A528" s="36"/>
      <c r="B528" s="46"/>
      <c r="C528" s="59"/>
      <c r="G528" s="6"/>
    </row>
    <row r="529" spans="1:7" x14ac:dyDescent="0.3">
      <c r="A529" s="36"/>
      <c r="B529" s="46"/>
      <c r="C529" s="59"/>
      <c r="G529" s="6"/>
    </row>
    <row r="530" spans="1:7" x14ac:dyDescent="0.3">
      <c r="A530" s="36"/>
      <c r="B530" s="46"/>
      <c r="C530" s="59"/>
      <c r="G530" s="6"/>
    </row>
    <row r="531" spans="1:7" x14ac:dyDescent="0.3">
      <c r="A531" s="36"/>
      <c r="B531" s="46"/>
      <c r="C531" s="59"/>
      <c r="G531" s="6"/>
    </row>
    <row r="532" spans="1:7" x14ac:dyDescent="0.3">
      <c r="A532" s="36"/>
      <c r="B532" s="46"/>
      <c r="C532" s="59"/>
      <c r="G532" s="6"/>
    </row>
    <row r="533" spans="1:7" x14ac:dyDescent="0.3">
      <c r="A533" s="36"/>
      <c r="B533" s="46"/>
      <c r="C533" s="59"/>
      <c r="G533" s="6"/>
    </row>
    <row r="534" spans="1:7" x14ac:dyDescent="0.3">
      <c r="A534" s="36"/>
      <c r="B534" s="46"/>
      <c r="C534" s="59"/>
      <c r="G534" s="6"/>
    </row>
    <row r="535" spans="1:7" x14ac:dyDescent="0.3">
      <c r="A535" s="36"/>
      <c r="B535" s="46"/>
      <c r="C535" s="59"/>
      <c r="G535" s="6"/>
    </row>
    <row r="536" spans="1:7" x14ac:dyDescent="0.3">
      <c r="A536" s="36"/>
      <c r="B536" s="46"/>
      <c r="C536" s="59"/>
      <c r="G536" s="6"/>
    </row>
    <row r="537" spans="1:7" x14ac:dyDescent="0.3">
      <c r="A537" s="36"/>
      <c r="B537" s="46"/>
      <c r="C537" s="59"/>
      <c r="G537" s="6"/>
    </row>
    <row r="538" spans="1:7" x14ac:dyDescent="0.3">
      <c r="A538" s="36"/>
      <c r="B538" s="46"/>
      <c r="C538" s="59"/>
      <c r="G538" s="6"/>
    </row>
    <row r="539" spans="1:7" x14ac:dyDescent="0.3">
      <c r="A539" s="36"/>
      <c r="B539" s="46"/>
      <c r="C539" s="59"/>
      <c r="G539" s="6"/>
    </row>
    <row r="540" spans="1:7" x14ac:dyDescent="0.3">
      <c r="A540" s="36"/>
      <c r="B540" s="46"/>
      <c r="C540" s="59"/>
      <c r="G540" s="6"/>
    </row>
    <row r="541" spans="1:7" x14ac:dyDescent="0.3">
      <c r="A541" s="36"/>
      <c r="B541" s="46"/>
      <c r="C541" s="59"/>
      <c r="G541" s="6"/>
    </row>
    <row r="542" spans="1:7" x14ac:dyDescent="0.3">
      <c r="A542" s="36"/>
      <c r="B542" s="46"/>
      <c r="C542" s="59"/>
      <c r="G542" s="6"/>
    </row>
    <row r="543" spans="1:7" x14ac:dyDescent="0.3">
      <c r="A543" s="36"/>
      <c r="B543" s="46"/>
      <c r="C543" s="59"/>
      <c r="G543" s="6"/>
    </row>
    <row r="544" spans="1:7" x14ac:dyDescent="0.3">
      <c r="A544" s="36"/>
      <c r="B544" s="46"/>
      <c r="C544" s="59"/>
      <c r="G544" s="6"/>
    </row>
    <row r="545" spans="1:7" x14ac:dyDescent="0.3">
      <c r="A545" s="36"/>
      <c r="B545" s="46"/>
      <c r="C545" s="59"/>
      <c r="G545" s="6"/>
    </row>
    <row r="546" spans="1:7" x14ac:dyDescent="0.3">
      <c r="A546" s="36"/>
      <c r="B546" s="46"/>
      <c r="C546" s="59"/>
      <c r="G546" s="6"/>
    </row>
    <row r="547" spans="1:7" x14ac:dyDescent="0.3">
      <c r="A547" s="36"/>
      <c r="B547" s="46"/>
      <c r="C547" s="59"/>
      <c r="G547" s="6"/>
    </row>
    <row r="548" spans="1:7" x14ac:dyDescent="0.3">
      <c r="A548" s="36"/>
      <c r="B548" s="46"/>
      <c r="C548" s="59"/>
      <c r="G548" s="6"/>
    </row>
    <row r="549" spans="1:7" x14ac:dyDescent="0.3">
      <c r="A549" s="36"/>
      <c r="B549" s="46"/>
      <c r="C549" s="59"/>
      <c r="G549" s="6"/>
    </row>
    <row r="550" spans="1:7" x14ac:dyDescent="0.3">
      <c r="A550" s="36"/>
      <c r="B550" s="46"/>
      <c r="C550" s="59"/>
      <c r="G550" s="6"/>
    </row>
    <row r="551" spans="1:7" x14ac:dyDescent="0.3">
      <c r="A551" s="36"/>
      <c r="B551" s="46"/>
      <c r="C551" s="59"/>
      <c r="G551" s="6"/>
    </row>
    <row r="552" spans="1:7" x14ac:dyDescent="0.3">
      <c r="A552" s="36"/>
      <c r="B552" s="46"/>
      <c r="C552" s="59"/>
      <c r="G552" s="6"/>
    </row>
    <row r="553" spans="1:7" x14ac:dyDescent="0.3">
      <c r="A553" s="36"/>
      <c r="B553" s="46"/>
      <c r="C553" s="59"/>
      <c r="G553" s="6"/>
    </row>
    <row r="554" spans="1:7" x14ac:dyDescent="0.3">
      <c r="A554" s="36"/>
      <c r="B554" s="46"/>
      <c r="C554" s="59"/>
      <c r="G554" s="6"/>
    </row>
    <row r="555" spans="1:7" x14ac:dyDescent="0.3">
      <c r="A555" s="36"/>
      <c r="B555" s="46"/>
      <c r="C555" s="59"/>
      <c r="G555" s="6"/>
    </row>
    <row r="556" spans="1:7" x14ac:dyDescent="0.3">
      <c r="A556" s="36"/>
      <c r="B556" s="46"/>
      <c r="C556" s="59"/>
      <c r="G556" s="6"/>
    </row>
    <row r="557" spans="1:7" x14ac:dyDescent="0.3">
      <c r="A557" s="36"/>
      <c r="B557" s="46"/>
      <c r="C557" s="59"/>
      <c r="G557" s="6"/>
    </row>
    <row r="558" spans="1:7" x14ac:dyDescent="0.3">
      <c r="A558" s="36"/>
      <c r="B558" s="46"/>
      <c r="C558" s="59"/>
      <c r="G558" s="6"/>
    </row>
    <row r="559" spans="1:7" x14ac:dyDescent="0.3">
      <c r="A559" s="36"/>
      <c r="B559" s="46"/>
      <c r="C559" s="59"/>
      <c r="G559" s="6"/>
    </row>
    <row r="560" spans="1:7" x14ac:dyDescent="0.3">
      <c r="A560" s="36"/>
      <c r="B560" s="46"/>
      <c r="C560" s="59"/>
      <c r="G560" s="6"/>
    </row>
    <row r="561" spans="1:7" x14ac:dyDescent="0.3">
      <c r="A561" s="36"/>
      <c r="B561" s="46"/>
      <c r="C561" s="59"/>
      <c r="G561" s="6"/>
    </row>
    <row r="562" spans="1:7" x14ac:dyDescent="0.3">
      <c r="A562" s="36"/>
      <c r="B562" s="46"/>
      <c r="C562" s="59"/>
      <c r="G562" s="6"/>
    </row>
    <row r="563" spans="1:7" x14ac:dyDescent="0.3">
      <c r="A563" s="36"/>
      <c r="B563" s="46"/>
      <c r="C563" s="59"/>
      <c r="G563" s="6"/>
    </row>
    <row r="564" spans="1:7" x14ac:dyDescent="0.3">
      <c r="A564" s="36"/>
      <c r="B564" s="46"/>
      <c r="C564" s="59"/>
      <c r="G564" s="6"/>
    </row>
    <row r="565" spans="1:7" x14ac:dyDescent="0.3">
      <c r="A565" s="36"/>
      <c r="B565" s="46"/>
      <c r="C565" s="59"/>
      <c r="G565" s="6"/>
    </row>
    <row r="566" spans="1:7" x14ac:dyDescent="0.3">
      <c r="A566" s="36"/>
      <c r="B566" s="46"/>
      <c r="C566" s="59"/>
      <c r="G566" s="6"/>
    </row>
    <row r="567" spans="1:7" x14ac:dyDescent="0.3">
      <c r="A567" s="36"/>
      <c r="B567" s="46"/>
      <c r="C567" s="59"/>
      <c r="G567" s="6"/>
    </row>
    <row r="568" spans="1:7" x14ac:dyDescent="0.3">
      <c r="A568" s="36"/>
      <c r="B568" s="46"/>
      <c r="C568" s="59"/>
      <c r="G568" s="6"/>
    </row>
    <row r="569" spans="1:7" x14ac:dyDescent="0.3">
      <c r="A569" s="36"/>
      <c r="B569" s="46"/>
      <c r="C569" s="59"/>
      <c r="G569" s="6"/>
    </row>
    <row r="570" spans="1:7" x14ac:dyDescent="0.3">
      <c r="A570" s="36"/>
      <c r="B570" s="46"/>
      <c r="C570" s="59"/>
      <c r="G570" s="6"/>
    </row>
    <row r="571" spans="1:7" x14ac:dyDescent="0.3">
      <c r="A571" s="36"/>
      <c r="B571" s="46"/>
      <c r="C571" s="59"/>
      <c r="G571" s="6"/>
    </row>
    <row r="572" spans="1:7" x14ac:dyDescent="0.3">
      <c r="A572" s="36"/>
      <c r="B572" s="46"/>
      <c r="C572" s="59"/>
      <c r="G572" s="6"/>
    </row>
    <row r="573" spans="1:7" x14ac:dyDescent="0.3">
      <c r="A573" s="36"/>
      <c r="B573" s="46"/>
      <c r="C573" s="59"/>
      <c r="G573" s="6"/>
    </row>
    <row r="574" spans="1:7" x14ac:dyDescent="0.3">
      <c r="A574" s="36"/>
      <c r="B574" s="46"/>
      <c r="C574" s="59"/>
      <c r="G574" s="6"/>
    </row>
    <row r="575" spans="1:7" x14ac:dyDescent="0.3">
      <c r="A575" s="36"/>
      <c r="B575" s="46"/>
      <c r="C575" s="59"/>
      <c r="G575" s="6"/>
    </row>
    <row r="576" spans="1:7" x14ac:dyDescent="0.3">
      <c r="A576" s="36"/>
      <c r="B576" s="46"/>
      <c r="C576" s="59"/>
      <c r="G576" s="6"/>
    </row>
    <row r="577" spans="1:7" x14ac:dyDescent="0.3">
      <c r="A577" s="36"/>
      <c r="B577" s="46"/>
      <c r="C577" s="59"/>
      <c r="G577" s="6"/>
    </row>
    <row r="578" spans="1:7" x14ac:dyDescent="0.3">
      <c r="A578" s="36"/>
      <c r="B578" s="46"/>
      <c r="C578" s="59"/>
      <c r="G578" s="6"/>
    </row>
    <row r="579" spans="1:7" x14ac:dyDescent="0.3">
      <c r="A579" s="36"/>
      <c r="B579" s="46"/>
      <c r="C579" s="59"/>
      <c r="G579" s="6"/>
    </row>
    <row r="580" spans="1:7" x14ac:dyDescent="0.3">
      <c r="A580" s="36"/>
      <c r="B580" s="46"/>
      <c r="C580" s="59"/>
      <c r="G580" s="6"/>
    </row>
    <row r="581" spans="1:7" x14ac:dyDescent="0.3">
      <c r="A581" s="36"/>
      <c r="B581" s="46"/>
      <c r="C581" s="59"/>
      <c r="G581" s="6"/>
    </row>
    <row r="582" spans="1:7" x14ac:dyDescent="0.3">
      <c r="A582" s="36"/>
      <c r="B582" s="46"/>
      <c r="C582" s="59"/>
      <c r="G582" s="6"/>
    </row>
    <row r="583" spans="1:7" x14ac:dyDescent="0.3">
      <c r="A583" s="36"/>
      <c r="B583" s="46"/>
      <c r="C583" s="59"/>
      <c r="G583" s="6"/>
    </row>
    <row r="584" spans="1:7" x14ac:dyDescent="0.3">
      <c r="A584" s="36"/>
      <c r="B584" s="46"/>
      <c r="C584" s="59"/>
      <c r="G584" s="6"/>
    </row>
    <row r="585" spans="1:7" x14ac:dyDescent="0.3">
      <c r="A585" s="36"/>
      <c r="B585" s="46"/>
      <c r="C585" s="59"/>
      <c r="G585" s="6"/>
    </row>
    <row r="586" spans="1:7" x14ac:dyDescent="0.3">
      <c r="A586" s="36"/>
      <c r="B586" s="46"/>
      <c r="C586" s="59"/>
      <c r="G586" s="6"/>
    </row>
    <row r="587" spans="1:7" x14ac:dyDescent="0.3">
      <c r="A587" s="36"/>
      <c r="B587" s="46"/>
      <c r="C587" s="59"/>
      <c r="G587" s="6"/>
    </row>
    <row r="588" spans="1:7" x14ac:dyDescent="0.3">
      <c r="A588" s="36"/>
      <c r="B588" s="46"/>
      <c r="C588" s="59"/>
      <c r="G588" s="6"/>
    </row>
    <row r="589" spans="1:7" x14ac:dyDescent="0.3">
      <c r="A589" s="36"/>
      <c r="B589" s="46"/>
      <c r="C589" s="59"/>
      <c r="G589" s="6"/>
    </row>
    <row r="590" spans="1:7" x14ac:dyDescent="0.3">
      <c r="A590" s="36"/>
      <c r="B590" s="46"/>
      <c r="C590" s="59"/>
      <c r="G590" s="6"/>
    </row>
    <row r="591" spans="1:7" x14ac:dyDescent="0.3">
      <c r="A591" s="36"/>
      <c r="B591" s="46"/>
      <c r="C591" s="59"/>
      <c r="G591" s="6"/>
    </row>
    <row r="592" spans="1:7" x14ac:dyDescent="0.3">
      <c r="A592" s="36"/>
      <c r="B592" s="46"/>
      <c r="C592" s="59"/>
      <c r="G592" s="6"/>
    </row>
    <row r="593" spans="1:7" x14ac:dyDescent="0.3">
      <c r="A593" s="36"/>
      <c r="B593" s="46"/>
      <c r="C593" s="59"/>
      <c r="G593" s="6"/>
    </row>
    <row r="594" spans="1:7" x14ac:dyDescent="0.3">
      <c r="A594" s="36"/>
      <c r="B594" s="46"/>
      <c r="C594" s="59"/>
      <c r="G594" s="6"/>
    </row>
    <row r="595" spans="1:7" x14ac:dyDescent="0.3">
      <c r="A595" s="36"/>
      <c r="B595" s="46"/>
      <c r="C595" s="59"/>
      <c r="G595" s="6"/>
    </row>
    <row r="596" spans="1:7" x14ac:dyDescent="0.3">
      <c r="A596" s="36"/>
      <c r="B596" s="46"/>
      <c r="C596" s="59"/>
      <c r="G596" s="6"/>
    </row>
    <row r="597" spans="1:7" x14ac:dyDescent="0.3">
      <c r="A597" s="36"/>
      <c r="B597" s="46"/>
      <c r="C597" s="59"/>
      <c r="G597" s="6"/>
    </row>
    <row r="598" spans="1:7" x14ac:dyDescent="0.3">
      <c r="A598" s="36"/>
      <c r="B598" s="46"/>
      <c r="C598" s="59"/>
      <c r="G598" s="6"/>
    </row>
    <row r="599" spans="1:7" x14ac:dyDescent="0.3">
      <c r="A599" s="36"/>
      <c r="B599" s="46"/>
      <c r="C599" s="59"/>
      <c r="G599" s="6"/>
    </row>
    <row r="600" spans="1:7" x14ac:dyDescent="0.3">
      <c r="A600" s="36"/>
      <c r="B600" s="46"/>
      <c r="C600" s="59"/>
      <c r="G600" s="6"/>
    </row>
    <row r="601" spans="1:7" x14ac:dyDescent="0.3">
      <c r="A601" s="36"/>
      <c r="B601" s="46"/>
      <c r="C601" s="59"/>
      <c r="G601" s="6"/>
    </row>
    <row r="602" spans="1:7" x14ac:dyDescent="0.3">
      <c r="A602" s="36"/>
      <c r="B602" s="46"/>
      <c r="C602" s="59"/>
      <c r="G602" s="6"/>
    </row>
    <row r="603" spans="1:7" x14ac:dyDescent="0.3">
      <c r="A603" s="36"/>
      <c r="B603" s="46"/>
      <c r="C603" s="59"/>
      <c r="G603" s="6"/>
    </row>
    <row r="604" spans="1:7" x14ac:dyDescent="0.3">
      <c r="A604" s="36"/>
      <c r="B604" s="46"/>
      <c r="C604" s="59"/>
      <c r="G604" s="6"/>
    </row>
    <row r="605" spans="1:7" x14ac:dyDescent="0.3">
      <c r="A605" s="36"/>
      <c r="B605" s="46"/>
      <c r="C605" s="59"/>
      <c r="G605" s="6"/>
    </row>
    <row r="606" spans="1:7" x14ac:dyDescent="0.3">
      <c r="A606" s="36"/>
      <c r="B606" s="46"/>
      <c r="C606" s="59"/>
      <c r="G606" s="6"/>
    </row>
    <row r="607" spans="1:7" x14ac:dyDescent="0.3">
      <c r="A607" s="36"/>
      <c r="B607" s="46"/>
      <c r="C607" s="59"/>
      <c r="G607" s="6"/>
    </row>
    <row r="608" spans="1:7" x14ac:dyDescent="0.3">
      <c r="A608" s="36"/>
      <c r="B608" s="46"/>
      <c r="C608" s="59"/>
      <c r="G608" s="6"/>
    </row>
    <row r="609" spans="1:7" x14ac:dyDescent="0.3">
      <c r="A609" s="36"/>
      <c r="B609" s="46"/>
      <c r="C609" s="59"/>
      <c r="G609" s="6"/>
    </row>
    <row r="610" spans="1:7" x14ac:dyDescent="0.3">
      <c r="A610" s="36"/>
      <c r="B610" s="46"/>
      <c r="C610" s="59"/>
      <c r="G610" s="6"/>
    </row>
    <row r="611" spans="1:7" x14ac:dyDescent="0.3">
      <c r="A611" s="36"/>
      <c r="B611" s="46"/>
      <c r="C611" s="59"/>
      <c r="G611" s="6"/>
    </row>
    <row r="612" spans="1:7" x14ac:dyDescent="0.3">
      <c r="A612" s="36"/>
      <c r="B612" s="46"/>
      <c r="C612" s="59"/>
      <c r="G612" s="6"/>
    </row>
    <row r="613" spans="1:7" x14ac:dyDescent="0.3">
      <c r="A613" s="36"/>
      <c r="B613" s="46"/>
      <c r="C613" s="59"/>
      <c r="G613" s="6"/>
    </row>
    <row r="614" spans="1:7" x14ac:dyDescent="0.3">
      <c r="A614" s="36"/>
      <c r="B614" s="46"/>
      <c r="C614" s="59"/>
      <c r="G614" s="6"/>
    </row>
    <row r="615" spans="1:7" x14ac:dyDescent="0.3">
      <c r="A615" s="36"/>
      <c r="B615" s="46"/>
      <c r="C615" s="59"/>
      <c r="G615" s="6"/>
    </row>
    <row r="616" spans="1:7" x14ac:dyDescent="0.3">
      <c r="A616" s="36"/>
      <c r="B616" s="46"/>
      <c r="C616" s="59"/>
      <c r="G616" s="6"/>
    </row>
    <row r="617" spans="1:7" x14ac:dyDescent="0.3">
      <c r="A617" s="36"/>
      <c r="B617" s="46"/>
      <c r="C617" s="59"/>
      <c r="G617" s="6"/>
    </row>
    <row r="618" spans="1:7" x14ac:dyDescent="0.3">
      <c r="A618" s="36"/>
      <c r="B618" s="46"/>
      <c r="C618" s="59"/>
      <c r="G618" s="6"/>
    </row>
    <row r="619" spans="1:7" x14ac:dyDescent="0.3">
      <c r="A619" s="36"/>
      <c r="B619" s="46"/>
      <c r="C619" s="59"/>
      <c r="G619" s="6"/>
    </row>
    <row r="620" spans="1:7" x14ac:dyDescent="0.3">
      <c r="A620" s="36"/>
      <c r="B620" s="46"/>
      <c r="C620" s="59"/>
      <c r="G620" s="6"/>
    </row>
    <row r="621" spans="1:7" x14ac:dyDescent="0.3">
      <c r="A621" s="36"/>
      <c r="B621" s="46"/>
      <c r="C621" s="59"/>
      <c r="G621" s="6"/>
    </row>
    <row r="622" spans="1:7" x14ac:dyDescent="0.3">
      <c r="A622" s="36"/>
      <c r="B622" s="46"/>
      <c r="C622" s="59"/>
      <c r="G622" s="6"/>
    </row>
    <row r="623" spans="1:7" x14ac:dyDescent="0.3">
      <c r="A623" s="36"/>
      <c r="B623" s="46"/>
      <c r="C623" s="59"/>
      <c r="G623" s="6"/>
    </row>
    <row r="624" spans="1:7" x14ac:dyDescent="0.3">
      <c r="A624" s="36"/>
      <c r="B624" s="46"/>
      <c r="C624" s="59"/>
      <c r="G624" s="6"/>
    </row>
    <row r="625" spans="1:7" x14ac:dyDescent="0.3">
      <c r="A625" s="36"/>
      <c r="B625" s="46"/>
      <c r="C625" s="59"/>
      <c r="G625" s="6"/>
    </row>
    <row r="626" spans="1:7" x14ac:dyDescent="0.3">
      <c r="A626" s="36"/>
      <c r="B626" s="46"/>
      <c r="C626" s="59"/>
      <c r="G626" s="6"/>
    </row>
    <row r="627" spans="1:7" x14ac:dyDescent="0.3">
      <c r="A627" s="36"/>
      <c r="B627" s="46"/>
      <c r="C627" s="59"/>
      <c r="G627" s="6"/>
    </row>
    <row r="628" spans="1:7" x14ac:dyDescent="0.3">
      <c r="A628" s="36"/>
      <c r="B628" s="46"/>
      <c r="C628" s="59"/>
      <c r="G628" s="6"/>
    </row>
    <row r="629" spans="1:7" x14ac:dyDescent="0.3">
      <c r="A629" s="36"/>
      <c r="B629" s="46"/>
      <c r="C629" s="59"/>
      <c r="G629" s="6"/>
    </row>
    <row r="630" spans="1:7" x14ac:dyDescent="0.3">
      <c r="A630" s="36"/>
      <c r="B630" s="46"/>
      <c r="C630" s="59"/>
      <c r="G630" s="6"/>
    </row>
    <row r="631" spans="1:7" x14ac:dyDescent="0.3">
      <c r="A631" s="36"/>
      <c r="B631" s="46"/>
      <c r="C631" s="59"/>
      <c r="G631" s="6"/>
    </row>
    <row r="632" spans="1:7" x14ac:dyDescent="0.3">
      <c r="A632" s="36"/>
      <c r="B632" s="46"/>
      <c r="C632" s="59"/>
      <c r="G632" s="6"/>
    </row>
    <row r="633" spans="1:7" x14ac:dyDescent="0.3">
      <c r="A633" s="36"/>
      <c r="B633" s="46"/>
      <c r="C633" s="59"/>
      <c r="G633" s="6"/>
    </row>
    <row r="634" spans="1:7" x14ac:dyDescent="0.3">
      <c r="A634" s="36"/>
      <c r="B634" s="46"/>
      <c r="C634" s="59"/>
      <c r="G634" s="6"/>
    </row>
    <row r="635" spans="1:7" x14ac:dyDescent="0.3">
      <c r="A635" s="36"/>
      <c r="B635" s="46"/>
      <c r="C635" s="59"/>
      <c r="G635" s="6"/>
    </row>
    <row r="636" spans="1:7" x14ac:dyDescent="0.3">
      <c r="A636" s="36"/>
      <c r="B636" s="46"/>
      <c r="C636" s="59"/>
      <c r="G636" s="6"/>
    </row>
    <row r="637" spans="1:7" x14ac:dyDescent="0.3">
      <c r="A637" s="36"/>
      <c r="B637" s="46"/>
      <c r="C637" s="59"/>
      <c r="G637" s="6"/>
    </row>
    <row r="638" spans="1:7" x14ac:dyDescent="0.3">
      <c r="A638" s="36"/>
      <c r="B638" s="46"/>
      <c r="C638" s="59"/>
      <c r="G638" s="6"/>
    </row>
    <row r="639" spans="1:7" x14ac:dyDescent="0.3">
      <c r="A639" s="36"/>
      <c r="B639" s="46"/>
      <c r="C639" s="59"/>
      <c r="G639" s="6"/>
    </row>
    <row r="640" spans="1:7" x14ac:dyDescent="0.3">
      <c r="A640" s="36"/>
      <c r="B640" s="46"/>
      <c r="C640" s="59"/>
      <c r="G640" s="6"/>
    </row>
    <row r="641" spans="1:7" x14ac:dyDescent="0.3">
      <c r="A641" s="36"/>
      <c r="B641" s="46"/>
      <c r="C641" s="59"/>
      <c r="G641" s="6"/>
    </row>
    <row r="642" spans="1:7" x14ac:dyDescent="0.3">
      <c r="A642" s="36"/>
      <c r="B642" s="46"/>
      <c r="C642" s="59"/>
      <c r="G642" s="6"/>
    </row>
    <row r="643" spans="1:7" x14ac:dyDescent="0.3">
      <c r="A643" s="36"/>
      <c r="B643" s="46"/>
      <c r="C643" s="59"/>
      <c r="G643" s="6"/>
    </row>
    <row r="644" spans="1:7" x14ac:dyDescent="0.3">
      <c r="A644" s="36"/>
      <c r="B644" s="46"/>
      <c r="C644" s="59"/>
      <c r="G644" s="6"/>
    </row>
    <row r="645" spans="1:7" x14ac:dyDescent="0.3">
      <c r="A645" s="36"/>
      <c r="B645" s="46"/>
      <c r="C645" s="59"/>
      <c r="G645" s="6"/>
    </row>
    <row r="646" spans="1:7" x14ac:dyDescent="0.3">
      <c r="A646" s="36"/>
      <c r="B646" s="46"/>
      <c r="C646" s="59"/>
      <c r="G646" s="6"/>
    </row>
    <row r="647" spans="1:7" x14ac:dyDescent="0.3">
      <c r="A647" s="36"/>
      <c r="B647" s="46"/>
      <c r="C647" s="59"/>
      <c r="G647" s="6"/>
    </row>
    <row r="648" spans="1:7" x14ac:dyDescent="0.3">
      <c r="A648" s="36"/>
      <c r="B648" s="46"/>
      <c r="C648" s="59"/>
      <c r="G648" s="6"/>
    </row>
    <row r="649" spans="1:7" x14ac:dyDescent="0.3">
      <c r="A649" s="36"/>
      <c r="B649" s="46"/>
      <c r="C649" s="59"/>
      <c r="G649" s="6"/>
    </row>
    <row r="650" spans="1:7" x14ac:dyDescent="0.3">
      <c r="A650" s="36"/>
      <c r="B650" s="46"/>
      <c r="C650" s="59"/>
      <c r="G650" s="6"/>
    </row>
    <row r="651" spans="1:7" x14ac:dyDescent="0.3">
      <c r="A651" s="36"/>
      <c r="B651" s="46"/>
      <c r="C651" s="59"/>
      <c r="G651" s="6"/>
    </row>
    <row r="652" spans="1:7" x14ac:dyDescent="0.3">
      <c r="A652" s="36"/>
      <c r="B652" s="46"/>
      <c r="C652" s="59"/>
      <c r="G652" s="6"/>
    </row>
    <row r="653" spans="1:7" x14ac:dyDescent="0.3">
      <c r="A653" s="36"/>
      <c r="B653" s="46"/>
      <c r="C653" s="59"/>
      <c r="G653" s="6"/>
    </row>
    <row r="654" spans="1:7" x14ac:dyDescent="0.3">
      <c r="A654" s="36"/>
      <c r="B654" s="46"/>
      <c r="C654" s="59"/>
      <c r="G654" s="6"/>
    </row>
    <row r="655" spans="1:7" x14ac:dyDescent="0.3">
      <c r="A655" s="36"/>
      <c r="B655" s="46"/>
      <c r="C655" s="59"/>
      <c r="G655" s="6"/>
    </row>
    <row r="656" spans="1:7" x14ac:dyDescent="0.3">
      <c r="A656" s="36"/>
      <c r="B656" s="46"/>
      <c r="C656" s="59"/>
      <c r="G656" s="6"/>
    </row>
    <row r="657" spans="1:7" x14ac:dyDescent="0.3">
      <c r="A657" s="36"/>
      <c r="B657" s="46"/>
      <c r="C657" s="59"/>
      <c r="G657" s="6"/>
    </row>
    <row r="658" spans="1:7" x14ac:dyDescent="0.3">
      <c r="A658" s="36"/>
      <c r="B658" s="46"/>
      <c r="C658" s="59"/>
      <c r="G658" s="6"/>
    </row>
    <row r="659" spans="1:7" x14ac:dyDescent="0.3">
      <c r="A659" s="36"/>
      <c r="B659" s="46"/>
      <c r="C659" s="59"/>
      <c r="G659" s="6"/>
    </row>
    <row r="660" spans="1:7" x14ac:dyDescent="0.3">
      <c r="A660" s="36"/>
      <c r="B660" s="46"/>
      <c r="C660" s="59"/>
      <c r="G660" s="6"/>
    </row>
    <row r="661" spans="1:7" x14ac:dyDescent="0.3">
      <c r="A661" s="36"/>
      <c r="B661" s="46"/>
      <c r="C661" s="59"/>
      <c r="G661" s="6"/>
    </row>
    <row r="662" spans="1:7" x14ac:dyDescent="0.3">
      <c r="A662" s="36"/>
      <c r="B662" s="46"/>
      <c r="C662" s="59"/>
      <c r="G662" s="6"/>
    </row>
    <row r="663" spans="1:7" x14ac:dyDescent="0.3">
      <c r="A663" s="36"/>
      <c r="B663" s="46"/>
      <c r="C663" s="59"/>
      <c r="G663" s="6"/>
    </row>
    <row r="664" spans="1:7" x14ac:dyDescent="0.3">
      <c r="A664" s="36"/>
      <c r="B664" s="46"/>
      <c r="C664" s="59"/>
      <c r="G664" s="6"/>
    </row>
    <row r="665" spans="1:7" x14ac:dyDescent="0.3">
      <c r="A665" s="36"/>
      <c r="B665" s="46"/>
      <c r="C665" s="59"/>
      <c r="G665" s="6"/>
    </row>
    <row r="666" spans="1:7" x14ac:dyDescent="0.3">
      <c r="A666" s="36"/>
      <c r="B666" s="46"/>
      <c r="C666" s="59"/>
      <c r="G666" s="6"/>
    </row>
    <row r="667" spans="1:7" x14ac:dyDescent="0.3">
      <c r="A667" s="36"/>
      <c r="B667" s="46"/>
      <c r="C667" s="59"/>
      <c r="G667" s="6"/>
    </row>
    <row r="668" spans="1:7" x14ac:dyDescent="0.3">
      <c r="A668" s="36"/>
      <c r="B668" s="46"/>
      <c r="C668" s="59"/>
      <c r="G668" s="6"/>
    </row>
    <row r="669" spans="1:7" x14ac:dyDescent="0.3">
      <c r="A669" s="36"/>
      <c r="B669" s="46"/>
      <c r="C669" s="59"/>
      <c r="G669" s="6"/>
    </row>
    <row r="670" spans="1:7" x14ac:dyDescent="0.3">
      <c r="A670" s="36"/>
      <c r="B670" s="46"/>
      <c r="C670" s="59"/>
      <c r="G670" s="6"/>
    </row>
    <row r="671" spans="1:7" x14ac:dyDescent="0.3">
      <c r="A671" s="36"/>
      <c r="B671" s="46"/>
      <c r="C671" s="59"/>
      <c r="G671" s="6"/>
    </row>
    <row r="672" spans="1:7" x14ac:dyDescent="0.3">
      <c r="A672" s="36"/>
      <c r="B672" s="46"/>
      <c r="C672" s="59"/>
      <c r="G672" s="6"/>
    </row>
    <row r="673" spans="1:7" x14ac:dyDescent="0.3">
      <c r="A673" s="36"/>
      <c r="B673" s="46"/>
      <c r="C673" s="59"/>
      <c r="G673" s="6"/>
    </row>
    <row r="674" spans="1:7" x14ac:dyDescent="0.3">
      <c r="A674" s="36"/>
      <c r="B674" s="46"/>
      <c r="C674" s="59"/>
      <c r="G674" s="6"/>
    </row>
    <row r="675" spans="1:7" x14ac:dyDescent="0.3">
      <c r="A675" s="36"/>
      <c r="B675" s="46"/>
      <c r="C675" s="59"/>
      <c r="G675" s="6"/>
    </row>
    <row r="676" spans="1:7" x14ac:dyDescent="0.3">
      <c r="A676" s="36"/>
      <c r="B676" s="46"/>
      <c r="C676" s="59"/>
      <c r="G676" s="6"/>
    </row>
    <row r="677" spans="1:7" x14ac:dyDescent="0.3">
      <c r="A677" s="36"/>
      <c r="B677" s="46"/>
      <c r="C677" s="59"/>
      <c r="G677" s="6"/>
    </row>
    <row r="678" spans="1:7" x14ac:dyDescent="0.3">
      <c r="A678" s="36"/>
      <c r="B678" s="46"/>
      <c r="C678" s="59"/>
      <c r="G678" s="6"/>
    </row>
    <row r="679" spans="1:7" x14ac:dyDescent="0.3">
      <c r="A679" s="36"/>
      <c r="B679" s="46"/>
      <c r="C679" s="59"/>
      <c r="G679" s="6"/>
    </row>
    <row r="680" spans="1:7" x14ac:dyDescent="0.3">
      <c r="A680" s="36"/>
      <c r="B680" s="46"/>
      <c r="C680" s="59"/>
      <c r="G680" s="6"/>
    </row>
    <row r="681" spans="1:7" x14ac:dyDescent="0.3">
      <c r="A681" s="36"/>
      <c r="B681" s="46"/>
      <c r="C681" s="59"/>
      <c r="G681" s="6"/>
    </row>
    <row r="682" spans="1:7" x14ac:dyDescent="0.3">
      <c r="A682" s="36"/>
      <c r="B682" s="46"/>
      <c r="C682" s="59"/>
      <c r="G682" s="6"/>
    </row>
    <row r="683" spans="1:7" x14ac:dyDescent="0.3">
      <c r="A683" s="36"/>
      <c r="B683" s="46"/>
      <c r="C683" s="59"/>
      <c r="G683" s="6"/>
    </row>
    <row r="684" spans="1:7" x14ac:dyDescent="0.3">
      <c r="A684" s="36"/>
      <c r="B684" s="46"/>
      <c r="C684" s="59"/>
      <c r="G684" s="6"/>
    </row>
    <row r="685" spans="1:7" x14ac:dyDescent="0.3">
      <c r="A685" s="36"/>
      <c r="B685" s="46"/>
      <c r="C685" s="59"/>
      <c r="G685" s="6"/>
    </row>
    <row r="686" spans="1:7" x14ac:dyDescent="0.3">
      <c r="A686" s="36"/>
      <c r="B686" s="46"/>
      <c r="C686" s="59"/>
      <c r="G686" s="6"/>
    </row>
    <row r="687" spans="1:7" x14ac:dyDescent="0.3">
      <c r="A687" s="36"/>
      <c r="B687" s="46"/>
      <c r="C687" s="59"/>
      <c r="G687" s="6"/>
    </row>
    <row r="688" spans="1:7" x14ac:dyDescent="0.3">
      <c r="A688" s="36"/>
      <c r="B688" s="46"/>
      <c r="C688" s="59"/>
      <c r="G688" s="6"/>
    </row>
    <row r="689" spans="1:7" x14ac:dyDescent="0.3">
      <c r="A689" s="36"/>
      <c r="B689" s="46"/>
      <c r="C689" s="59"/>
      <c r="G689" s="6"/>
    </row>
    <row r="690" spans="1:7" x14ac:dyDescent="0.3">
      <c r="A690" s="36"/>
      <c r="B690" s="46"/>
      <c r="C690" s="59"/>
      <c r="G690" s="6"/>
    </row>
    <row r="691" spans="1:7" x14ac:dyDescent="0.3">
      <c r="A691" s="36"/>
      <c r="B691" s="46"/>
      <c r="C691" s="59"/>
      <c r="G691" s="6"/>
    </row>
    <row r="692" spans="1:7" x14ac:dyDescent="0.3">
      <c r="A692" s="36"/>
      <c r="B692" s="46"/>
      <c r="C692" s="59"/>
      <c r="G692" s="6"/>
    </row>
    <row r="693" spans="1:7" x14ac:dyDescent="0.3">
      <c r="A693" s="36"/>
      <c r="B693" s="46"/>
      <c r="C693" s="59"/>
      <c r="G693" s="6"/>
    </row>
    <row r="694" spans="1:7" x14ac:dyDescent="0.3">
      <c r="A694" s="36"/>
      <c r="B694" s="46"/>
      <c r="C694" s="59"/>
      <c r="G694" s="6"/>
    </row>
    <row r="695" spans="1:7" x14ac:dyDescent="0.3">
      <c r="A695" s="36"/>
      <c r="B695" s="46"/>
      <c r="C695" s="59"/>
      <c r="G695" s="6"/>
    </row>
    <row r="696" spans="1:7" x14ac:dyDescent="0.3">
      <c r="A696" s="36"/>
      <c r="B696" s="46"/>
      <c r="C696" s="59"/>
      <c r="G696" s="6"/>
    </row>
    <row r="697" spans="1:7" x14ac:dyDescent="0.3">
      <c r="A697" s="36"/>
      <c r="B697" s="46"/>
      <c r="C697" s="59"/>
      <c r="G697" s="6"/>
    </row>
    <row r="698" spans="1:7" x14ac:dyDescent="0.3">
      <c r="A698" s="36"/>
      <c r="B698" s="46"/>
      <c r="C698" s="59"/>
      <c r="G698" s="6"/>
    </row>
    <row r="699" spans="1:7" x14ac:dyDescent="0.3">
      <c r="A699" s="36"/>
      <c r="B699" s="46"/>
      <c r="C699" s="59"/>
      <c r="G699" s="6"/>
    </row>
    <row r="700" spans="1:7" x14ac:dyDescent="0.3">
      <c r="A700" s="36"/>
      <c r="B700" s="46"/>
      <c r="C700" s="59"/>
      <c r="G700" s="6"/>
    </row>
    <row r="701" spans="1:7" x14ac:dyDescent="0.3">
      <c r="A701" s="36"/>
      <c r="B701" s="46"/>
      <c r="C701" s="59"/>
      <c r="G701" s="6"/>
    </row>
    <row r="702" spans="1:7" x14ac:dyDescent="0.3">
      <c r="A702" s="36"/>
      <c r="B702" s="46"/>
      <c r="C702" s="59"/>
      <c r="G702" s="6"/>
    </row>
    <row r="703" spans="1:7" x14ac:dyDescent="0.3">
      <c r="A703" s="36"/>
      <c r="B703" s="46"/>
      <c r="C703" s="59"/>
      <c r="G703" s="6"/>
    </row>
    <row r="704" spans="1:7" x14ac:dyDescent="0.3">
      <c r="A704" s="36"/>
      <c r="B704" s="46"/>
      <c r="C704" s="59"/>
      <c r="G704" s="6"/>
    </row>
    <row r="705" spans="1:7" x14ac:dyDescent="0.3">
      <c r="A705" s="36"/>
      <c r="B705" s="46"/>
      <c r="C705" s="59"/>
      <c r="G705" s="6"/>
    </row>
    <row r="706" spans="1:7" x14ac:dyDescent="0.3">
      <c r="A706" s="36"/>
      <c r="B706" s="46"/>
      <c r="C706" s="59"/>
      <c r="G706" s="6"/>
    </row>
    <row r="707" spans="1:7" x14ac:dyDescent="0.3">
      <c r="A707" s="36"/>
      <c r="B707" s="46"/>
      <c r="C707" s="59"/>
      <c r="G707" s="6"/>
    </row>
    <row r="708" spans="1:7" x14ac:dyDescent="0.3">
      <c r="A708" s="36"/>
      <c r="B708" s="46"/>
      <c r="C708" s="59"/>
      <c r="G708" s="6"/>
    </row>
    <row r="709" spans="1:7" x14ac:dyDescent="0.3">
      <c r="A709" s="36"/>
      <c r="B709" s="46"/>
      <c r="C709" s="59"/>
      <c r="G709" s="6"/>
    </row>
    <row r="710" spans="1:7" x14ac:dyDescent="0.3">
      <c r="A710" s="36"/>
      <c r="B710" s="46"/>
      <c r="C710" s="59"/>
      <c r="G710" s="6"/>
    </row>
    <row r="711" spans="1:7" x14ac:dyDescent="0.3">
      <c r="A711" s="36"/>
      <c r="B711" s="46"/>
      <c r="C711" s="59"/>
      <c r="G711" s="6"/>
    </row>
    <row r="712" spans="1:7" x14ac:dyDescent="0.3">
      <c r="A712" s="36"/>
      <c r="B712" s="46"/>
      <c r="C712" s="59"/>
      <c r="G712" s="6"/>
    </row>
    <row r="713" spans="1:7" x14ac:dyDescent="0.3">
      <c r="A713" s="36"/>
      <c r="B713" s="46"/>
      <c r="C713" s="59"/>
      <c r="G713" s="6"/>
    </row>
    <row r="714" spans="1:7" x14ac:dyDescent="0.3">
      <c r="A714" s="36"/>
      <c r="B714" s="46"/>
      <c r="C714" s="59"/>
      <c r="G714" s="6"/>
    </row>
    <row r="715" spans="1:7" x14ac:dyDescent="0.3">
      <c r="A715" s="36"/>
      <c r="B715" s="46"/>
      <c r="C715" s="59"/>
      <c r="G715" s="6"/>
    </row>
    <row r="716" spans="1:7" x14ac:dyDescent="0.3">
      <c r="A716" s="36"/>
      <c r="B716" s="46"/>
      <c r="C716" s="59"/>
      <c r="G716" s="6"/>
    </row>
    <row r="717" spans="1:7" x14ac:dyDescent="0.3">
      <c r="A717" s="36"/>
      <c r="B717" s="46"/>
      <c r="C717" s="59"/>
      <c r="G717" s="6"/>
    </row>
    <row r="718" spans="1:7" x14ac:dyDescent="0.3">
      <c r="A718" s="36"/>
      <c r="B718" s="46"/>
      <c r="C718" s="59"/>
      <c r="G718" s="6"/>
    </row>
    <row r="719" spans="1:7" x14ac:dyDescent="0.3">
      <c r="A719" s="36"/>
      <c r="B719" s="46"/>
      <c r="C719" s="59"/>
      <c r="G719" s="6"/>
    </row>
    <row r="720" spans="1:7" x14ac:dyDescent="0.3">
      <c r="A720" s="36"/>
      <c r="B720" s="46"/>
      <c r="C720" s="59"/>
      <c r="G720" s="6"/>
    </row>
    <row r="721" spans="1:7" x14ac:dyDescent="0.3">
      <c r="A721" s="36"/>
      <c r="B721" s="46"/>
      <c r="C721" s="59"/>
      <c r="G721" s="6"/>
    </row>
    <row r="722" spans="1:7" x14ac:dyDescent="0.3">
      <c r="A722" s="36"/>
      <c r="B722" s="46"/>
      <c r="C722" s="59"/>
      <c r="G722" s="6"/>
    </row>
    <row r="723" spans="1:7" x14ac:dyDescent="0.3">
      <c r="A723" s="36"/>
      <c r="B723" s="46"/>
      <c r="C723" s="59"/>
      <c r="G723" s="6"/>
    </row>
    <row r="724" spans="1:7" x14ac:dyDescent="0.3">
      <c r="A724" s="36"/>
      <c r="B724" s="46"/>
      <c r="C724" s="59"/>
      <c r="G724" s="6"/>
    </row>
    <row r="725" spans="1:7" x14ac:dyDescent="0.3">
      <c r="A725" s="36"/>
      <c r="B725" s="46"/>
      <c r="C725" s="59"/>
      <c r="G725" s="6"/>
    </row>
    <row r="726" spans="1:7" x14ac:dyDescent="0.3">
      <c r="A726" s="36"/>
      <c r="B726" s="46"/>
      <c r="C726" s="59"/>
      <c r="G726" s="6"/>
    </row>
    <row r="727" spans="1:7" x14ac:dyDescent="0.3">
      <c r="A727" s="36"/>
      <c r="B727" s="46"/>
      <c r="C727" s="59"/>
      <c r="G727" s="6"/>
    </row>
    <row r="728" spans="1:7" x14ac:dyDescent="0.3">
      <c r="A728" s="36"/>
      <c r="B728" s="46"/>
      <c r="C728" s="59"/>
      <c r="G728" s="6"/>
    </row>
    <row r="729" spans="1:7" x14ac:dyDescent="0.3">
      <c r="A729" s="36"/>
      <c r="B729" s="46"/>
      <c r="C729" s="59"/>
      <c r="G729" s="6"/>
    </row>
    <row r="730" spans="1:7" x14ac:dyDescent="0.3">
      <c r="A730" s="36"/>
      <c r="B730" s="46"/>
      <c r="C730" s="59"/>
      <c r="G730" s="6"/>
    </row>
    <row r="731" spans="1:7" x14ac:dyDescent="0.3">
      <c r="A731" s="36"/>
      <c r="B731" s="46"/>
      <c r="C731" s="59"/>
      <c r="G731" s="6"/>
    </row>
    <row r="732" spans="1:7" x14ac:dyDescent="0.3">
      <c r="A732" s="36"/>
      <c r="B732" s="46"/>
      <c r="C732" s="59"/>
      <c r="G732" s="6"/>
    </row>
    <row r="733" spans="1:7" x14ac:dyDescent="0.3">
      <c r="A733" s="36"/>
      <c r="B733" s="46"/>
      <c r="C733" s="59"/>
      <c r="G733" s="6"/>
    </row>
    <row r="734" spans="1:7" x14ac:dyDescent="0.3">
      <c r="A734" s="36"/>
      <c r="B734" s="46"/>
      <c r="C734" s="59"/>
      <c r="G734" s="6"/>
    </row>
    <row r="735" spans="1:7" x14ac:dyDescent="0.3">
      <c r="A735" s="36"/>
      <c r="B735" s="46"/>
      <c r="C735" s="59"/>
      <c r="G735" s="6"/>
    </row>
    <row r="736" spans="1:7" x14ac:dyDescent="0.3">
      <c r="A736" s="36"/>
      <c r="B736" s="46"/>
      <c r="C736" s="59"/>
      <c r="G736" s="6"/>
    </row>
    <row r="737" spans="1:7" x14ac:dyDescent="0.3">
      <c r="A737" s="36"/>
      <c r="B737" s="46"/>
      <c r="C737" s="59"/>
      <c r="G737" s="6"/>
    </row>
    <row r="738" spans="1:7" x14ac:dyDescent="0.3">
      <c r="A738" s="36"/>
      <c r="B738" s="46"/>
      <c r="C738" s="59"/>
      <c r="G738" s="6"/>
    </row>
    <row r="739" spans="1:7" x14ac:dyDescent="0.3">
      <c r="A739" s="36"/>
      <c r="B739" s="46"/>
      <c r="C739" s="59"/>
      <c r="G739" s="6"/>
    </row>
    <row r="740" spans="1:7" x14ac:dyDescent="0.3">
      <c r="A740" s="36"/>
      <c r="B740" s="46"/>
      <c r="C740" s="59"/>
      <c r="G740" s="6"/>
    </row>
    <row r="741" spans="1:7" x14ac:dyDescent="0.3">
      <c r="A741" s="36"/>
      <c r="B741" s="46"/>
      <c r="C741" s="59"/>
      <c r="G741" s="6"/>
    </row>
    <row r="742" spans="1:7" x14ac:dyDescent="0.3">
      <c r="A742" s="36"/>
      <c r="B742" s="46"/>
      <c r="C742" s="59"/>
      <c r="G742" s="6"/>
    </row>
    <row r="743" spans="1:7" x14ac:dyDescent="0.3">
      <c r="A743" s="36"/>
      <c r="B743" s="46"/>
      <c r="C743" s="59"/>
      <c r="G743" s="6"/>
    </row>
    <row r="744" spans="1:7" x14ac:dyDescent="0.3">
      <c r="A744" s="36"/>
      <c r="B744" s="46"/>
      <c r="C744" s="59"/>
      <c r="G744" s="6"/>
    </row>
    <row r="745" spans="1:7" x14ac:dyDescent="0.3">
      <c r="A745" s="36"/>
      <c r="B745" s="46"/>
      <c r="C745" s="59"/>
      <c r="G745" s="6"/>
    </row>
    <row r="746" spans="1:7" x14ac:dyDescent="0.3">
      <c r="A746" s="36"/>
      <c r="B746" s="46"/>
      <c r="C746" s="59"/>
      <c r="G746" s="6"/>
    </row>
    <row r="747" spans="1:7" x14ac:dyDescent="0.3">
      <c r="A747" s="36"/>
      <c r="B747" s="46"/>
      <c r="C747" s="59"/>
      <c r="G747" s="6"/>
    </row>
    <row r="748" spans="1:7" x14ac:dyDescent="0.3">
      <c r="A748" s="36"/>
      <c r="B748" s="46"/>
      <c r="C748" s="59"/>
      <c r="G748" s="6"/>
    </row>
    <row r="749" spans="1:7" x14ac:dyDescent="0.3">
      <c r="A749" s="36"/>
      <c r="B749" s="46"/>
      <c r="C749" s="59"/>
      <c r="G749" s="6"/>
    </row>
    <row r="750" spans="1:7" x14ac:dyDescent="0.3">
      <c r="A750" s="36"/>
      <c r="B750" s="46"/>
      <c r="C750" s="59"/>
      <c r="G750" s="6"/>
    </row>
    <row r="751" spans="1:7" x14ac:dyDescent="0.3">
      <c r="A751" s="36"/>
      <c r="B751" s="46"/>
      <c r="C751" s="59"/>
      <c r="G751" s="6"/>
    </row>
    <row r="752" spans="1:7" x14ac:dyDescent="0.3">
      <c r="A752" s="36"/>
      <c r="B752" s="46"/>
      <c r="C752" s="59"/>
      <c r="G752" s="6"/>
    </row>
    <row r="753" spans="1:7" x14ac:dyDescent="0.3">
      <c r="A753" s="36"/>
      <c r="B753" s="46"/>
      <c r="C753" s="59"/>
      <c r="G753" s="6"/>
    </row>
    <row r="754" spans="1:7" x14ac:dyDescent="0.3">
      <c r="A754" s="36"/>
      <c r="B754" s="46"/>
      <c r="C754" s="59"/>
      <c r="G754" s="6"/>
    </row>
    <row r="755" spans="1:7" x14ac:dyDescent="0.3">
      <c r="A755" s="36"/>
      <c r="B755" s="46"/>
      <c r="C755" s="59"/>
      <c r="G755" s="6"/>
    </row>
    <row r="756" spans="1:7" x14ac:dyDescent="0.3">
      <c r="A756" s="36"/>
      <c r="B756" s="46"/>
      <c r="C756" s="59"/>
      <c r="G756" s="6"/>
    </row>
    <row r="757" spans="1:7" x14ac:dyDescent="0.3">
      <c r="A757" s="36"/>
      <c r="B757" s="46"/>
      <c r="C757" s="59"/>
      <c r="G757" s="6"/>
    </row>
    <row r="758" spans="1:7" x14ac:dyDescent="0.3">
      <c r="A758" s="36"/>
      <c r="B758" s="46"/>
      <c r="C758" s="59"/>
      <c r="G758" s="6"/>
    </row>
    <row r="759" spans="1:7" x14ac:dyDescent="0.3">
      <c r="A759" s="36"/>
      <c r="B759" s="46"/>
      <c r="C759" s="59"/>
      <c r="G759" s="6"/>
    </row>
    <row r="760" spans="1:7" x14ac:dyDescent="0.3">
      <c r="A760" s="36"/>
      <c r="B760" s="46"/>
      <c r="C760" s="59"/>
      <c r="G760" s="6"/>
    </row>
    <row r="761" spans="1:7" x14ac:dyDescent="0.3">
      <c r="A761" s="36"/>
      <c r="B761" s="46"/>
      <c r="C761" s="59"/>
      <c r="G761" s="6"/>
    </row>
    <row r="762" spans="1:7" x14ac:dyDescent="0.3">
      <c r="A762" s="36"/>
      <c r="B762" s="46"/>
      <c r="C762" s="59"/>
      <c r="G762" s="6"/>
    </row>
    <row r="763" spans="1:7" x14ac:dyDescent="0.3">
      <c r="A763" s="36"/>
      <c r="B763" s="46"/>
      <c r="C763" s="59"/>
      <c r="G763" s="6"/>
    </row>
    <row r="764" spans="1:7" x14ac:dyDescent="0.3">
      <c r="A764" s="36"/>
      <c r="B764" s="46"/>
      <c r="C764" s="59"/>
      <c r="G764" s="6"/>
    </row>
    <row r="765" spans="1:7" x14ac:dyDescent="0.3">
      <c r="A765" s="36"/>
      <c r="B765" s="46"/>
      <c r="C765" s="59"/>
      <c r="G765" s="6"/>
    </row>
    <row r="766" spans="1:7" x14ac:dyDescent="0.3">
      <c r="A766" s="36"/>
      <c r="B766" s="46"/>
      <c r="C766" s="59"/>
      <c r="G766" s="6"/>
    </row>
    <row r="767" spans="1:7" x14ac:dyDescent="0.3">
      <c r="A767" s="36"/>
      <c r="B767" s="46"/>
      <c r="C767" s="59"/>
      <c r="G767" s="6"/>
    </row>
    <row r="768" spans="1:7" x14ac:dyDescent="0.3">
      <c r="A768" s="36"/>
      <c r="B768" s="46"/>
      <c r="C768" s="59"/>
      <c r="G768" s="6"/>
    </row>
    <row r="769" spans="1:7" x14ac:dyDescent="0.3">
      <c r="A769" s="36"/>
      <c r="B769" s="46"/>
      <c r="C769" s="59"/>
      <c r="G769" s="6"/>
    </row>
    <row r="770" spans="1:7" x14ac:dyDescent="0.3">
      <c r="A770" s="36"/>
      <c r="B770" s="46"/>
      <c r="C770" s="59"/>
      <c r="G770" s="6"/>
    </row>
    <row r="771" spans="1:7" x14ac:dyDescent="0.3">
      <c r="A771" s="36"/>
      <c r="B771" s="46"/>
      <c r="C771" s="59"/>
      <c r="G771" s="6"/>
    </row>
    <row r="772" spans="1:7" x14ac:dyDescent="0.3">
      <c r="A772" s="36"/>
      <c r="B772" s="46"/>
      <c r="C772" s="59"/>
      <c r="G772" s="6"/>
    </row>
    <row r="773" spans="1:7" x14ac:dyDescent="0.3">
      <c r="A773" s="36"/>
      <c r="B773" s="46"/>
      <c r="C773" s="59"/>
      <c r="G773" s="6"/>
    </row>
    <row r="774" spans="1:7" x14ac:dyDescent="0.3">
      <c r="A774" s="36"/>
      <c r="B774" s="46"/>
      <c r="C774" s="59"/>
      <c r="G774" s="6"/>
    </row>
    <row r="775" spans="1:7" x14ac:dyDescent="0.3">
      <c r="A775" s="36"/>
      <c r="B775" s="46"/>
      <c r="C775" s="59"/>
      <c r="G775" s="6"/>
    </row>
    <row r="776" spans="1:7" x14ac:dyDescent="0.3">
      <c r="A776" s="36"/>
      <c r="B776" s="46"/>
      <c r="C776" s="59"/>
      <c r="G776" s="6"/>
    </row>
    <row r="777" spans="1:7" x14ac:dyDescent="0.3">
      <c r="A777" s="36"/>
      <c r="B777" s="46"/>
      <c r="C777" s="59"/>
      <c r="G777" s="6"/>
    </row>
    <row r="778" spans="1:7" x14ac:dyDescent="0.3">
      <c r="A778" s="36"/>
      <c r="B778" s="46"/>
      <c r="C778" s="59"/>
      <c r="G778" s="6"/>
    </row>
    <row r="779" spans="1:7" x14ac:dyDescent="0.3">
      <c r="A779" s="36"/>
      <c r="B779" s="46"/>
      <c r="C779" s="59"/>
      <c r="G779" s="6"/>
    </row>
    <row r="780" spans="1:7" x14ac:dyDescent="0.3">
      <c r="A780" s="36"/>
      <c r="B780" s="46"/>
      <c r="C780" s="59"/>
      <c r="G780" s="6"/>
    </row>
    <row r="781" spans="1:7" x14ac:dyDescent="0.3">
      <c r="A781" s="36"/>
      <c r="B781" s="46"/>
      <c r="C781" s="59"/>
      <c r="G781" s="6"/>
    </row>
    <row r="782" spans="1:7" x14ac:dyDescent="0.3">
      <c r="A782" s="36"/>
      <c r="B782" s="46"/>
      <c r="C782" s="59"/>
      <c r="G782" s="6"/>
    </row>
    <row r="783" spans="1:7" x14ac:dyDescent="0.3">
      <c r="A783" s="36"/>
      <c r="B783" s="46"/>
      <c r="C783" s="59"/>
      <c r="G783" s="6"/>
    </row>
    <row r="784" spans="1:7" x14ac:dyDescent="0.3">
      <c r="A784" s="36"/>
      <c r="B784" s="46"/>
      <c r="C784" s="59"/>
      <c r="G784" s="6"/>
    </row>
    <row r="785" spans="1:7" x14ac:dyDescent="0.3">
      <c r="A785" s="36"/>
      <c r="B785" s="46"/>
      <c r="C785" s="59"/>
      <c r="G785" s="6"/>
    </row>
    <row r="786" spans="1:7" x14ac:dyDescent="0.3">
      <c r="A786" s="36"/>
      <c r="B786" s="46"/>
      <c r="C786" s="59"/>
      <c r="G786" s="6"/>
    </row>
    <row r="787" spans="1:7" x14ac:dyDescent="0.3">
      <c r="A787" s="36"/>
      <c r="B787" s="46"/>
      <c r="C787" s="59"/>
      <c r="G787" s="6"/>
    </row>
    <row r="788" spans="1:7" x14ac:dyDescent="0.3">
      <c r="A788" s="36"/>
      <c r="B788" s="46"/>
      <c r="C788" s="59"/>
      <c r="G788" s="6"/>
    </row>
    <row r="789" spans="1:7" x14ac:dyDescent="0.3">
      <c r="A789" s="36"/>
      <c r="B789" s="46"/>
      <c r="C789" s="59"/>
      <c r="G789" s="6"/>
    </row>
    <row r="790" spans="1:7" x14ac:dyDescent="0.3">
      <c r="A790" s="36"/>
      <c r="B790" s="46"/>
      <c r="C790" s="59"/>
      <c r="G790" s="6"/>
    </row>
    <row r="791" spans="1:7" x14ac:dyDescent="0.3">
      <c r="A791" s="36"/>
      <c r="B791" s="46"/>
      <c r="C791" s="59"/>
      <c r="G791" s="6"/>
    </row>
    <row r="792" spans="1:7" x14ac:dyDescent="0.3">
      <c r="A792" s="36"/>
      <c r="B792" s="46"/>
      <c r="C792" s="59"/>
      <c r="G792" s="6"/>
    </row>
    <row r="793" spans="1:7" x14ac:dyDescent="0.3">
      <c r="A793" s="36"/>
      <c r="B793" s="46"/>
      <c r="C793" s="59"/>
      <c r="G793" s="6"/>
    </row>
    <row r="794" spans="1:7" x14ac:dyDescent="0.3">
      <c r="A794" s="36"/>
      <c r="B794" s="46"/>
      <c r="C794" s="59"/>
      <c r="G794" s="6"/>
    </row>
    <row r="795" spans="1:7" x14ac:dyDescent="0.3">
      <c r="A795" s="36"/>
      <c r="B795" s="46"/>
      <c r="C795" s="59"/>
      <c r="G795" s="6"/>
    </row>
    <row r="796" spans="1:7" x14ac:dyDescent="0.3">
      <c r="A796" s="36"/>
      <c r="B796" s="46"/>
      <c r="C796" s="59"/>
      <c r="G796" s="6"/>
    </row>
    <row r="797" spans="1:7" x14ac:dyDescent="0.3">
      <c r="A797" s="36"/>
      <c r="B797" s="46"/>
      <c r="C797" s="59"/>
      <c r="G797" s="6"/>
    </row>
    <row r="798" spans="1:7" x14ac:dyDescent="0.3">
      <c r="A798" s="36"/>
      <c r="B798" s="46"/>
      <c r="C798" s="59"/>
      <c r="G798" s="6"/>
    </row>
    <row r="799" spans="1:7" x14ac:dyDescent="0.3">
      <c r="A799" s="36"/>
      <c r="B799" s="46"/>
      <c r="C799" s="59"/>
      <c r="G799" s="6"/>
    </row>
    <row r="800" spans="1:7" x14ac:dyDescent="0.3">
      <c r="A800" s="36"/>
      <c r="B800" s="46"/>
      <c r="C800" s="59"/>
      <c r="G800" s="6"/>
    </row>
    <row r="801" spans="1:7" x14ac:dyDescent="0.3">
      <c r="A801" s="36"/>
      <c r="B801" s="46"/>
      <c r="C801" s="59"/>
      <c r="G801" s="6"/>
    </row>
    <row r="802" spans="1:7" x14ac:dyDescent="0.3">
      <c r="A802" s="36"/>
      <c r="B802" s="46"/>
      <c r="C802" s="59"/>
      <c r="G802" s="6"/>
    </row>
    <row r="803" spans="1:7" x14ac:dyDescent="0.3">
      <c r="A803" s="36"/>
      <c r="B803" s="46"/>
      <c r="C803" s="59"/>
      <c r="G803" s="6"/>
    </row>
    <row r="804" spans="1:7" x14ac:dyDescent="0.3">
      <c r="A804" s="36"/>
      <c r="B804" s="46"/>
      <c r="C804" s="59"/>
      <c r="G804" s="6"/>
    </row>
    <row r="805" spans="1:7" x14ac:dyDescent="0.3">
      <c r="A805" s="36"/>
      <c r="B805" s="46"/>
      <c r="C805" s="59"/>
      <c r="G805" s="6"/>
    </row>
    <row r="806" spans="1:7" x14ac:dyDescent="0.3">
      <c r="A806" s="36"/>
      <c r="B806" s="46"/>
      <c r="C806" s="59"/>
      <c r="G806" s="6"/>
    </row>
    <row r="807" spans="1:7" x14ac:dyDescent="0.3">
      <c r="A807" s="36"/>
      <c r="B807" s="46"/>
      <c r="C807" s="59"/>
      <c r="G807" s="6"/>
    </row>
    <row r="808" spans="1:7" x14ac:dyDescent="0.3">
      <c r="A808" s="36"/>
      <c r="B808" s="46"/>
      <c r="C808" s="59"/>
      <c r="G808" s="6"/>
    </row>
    <row r="809" spans="1:7" x14ac:dyDescent="0.3">
      <c r="A809" s="36"/>
      <c r="B809" s="46"/>
      <c r="C809" s="59"/>
      <c r="G809" s="6"/>
    </row>
    <row r="810" spans="1:7" x14ac:dyDescent="0.3">
      <c r="A810" s="36"/>
      <c r="B810" s="46"/>
      <c r="C810" s="59"/>
      <c r="G810" s="6"/>
    </row>
    <row r="811" spans="1:7" x14ac:dyDescent="0.3">
      <c r="A811" s="36"/>
      <c r="B811" s="46"/>
      <c r="C811" s="59"/>
      <c r="G811" s="6"/>
    </row>
    <row r="812" spans="1:7" x14ac:dyDescent="0.3">
      <c r="A812" s="36"/>
      <c r="B812" s="46"/>
      <c r="C812" s="59"/>
      <c r="G812" s="6"/>
    </row>
    <row r="813" spans="1:7" x14ac:dyDescent="0.3">
      <c r="A813" s="36"/>
      <c r="B813" s="46"/>
      <c r="C813" s="59"/>
      <c r="G813" s="6"/>
    </row>
    <row r="814" spans="1:7" x14ac:dyDescent="0.3">
      <c r="A814" s="36"/>
      <c r="B814" s="46"/>
      <c r="C814" s="59"/>
      <c r="G814" s="6"/>
    </row>
    <row r="815" spans="1:7" x14ac:dyDescent="0.3">
      <c r="A815" s="36"/>
      <c r="B815" s="46"/>
      <c r="C815" s="59"/>
      <c r="G815" s="6"/>
    </row>
    <row r="816" spans="1:7" x14ac:dyDescent="0.3">
      <c r="A816" s="36"/>
      <c r="B816" s="46"/>
      <c r="C816" s="59"/>
      <c r="G816" s="6"/>
    </row>
    <row r="817" spans="1:7" x14ac:dyDescent="0.3">
      <c r="A817" s="36"/>
      <c r="B817" s="46"/>
      <c r="C817" s="59"/>
      <c r="G817" s="6"/>
    </row>
    <row r="818" spans="1:7" x14ac:dyDescent="0.3">
      <c r="A818" s="36"/>
      <c r="B818" s="46"/>
      <c r="C818" s="59"/>
      <c r="G818" s="6"/>
    </row>
    <row r="819" spans="1:7" x14ac:dyDescent="0.3">
      <c r="A819" s="36"/>
      <c r="B819" s="46"/>
      <c r="C819" s="59"/>
      <c r="G819" s="6"/>
    </row>
    <row r="820" spans="1:7" x14ac:dyDescent="0.3">
      <c r="A820" s="36"/>
      <c r="B820" s="46"/>
      <c r="C820" s="59"/>
      <c r="G820" s="6"/>
    </row>
    <row r="821" spans="1:7" x14ac:dyDescent="0.3">
      <c r="A821" s="36"/>
      <c r="B821" s="46"/>
      <c r="C821" s="59"/>
      <c r="G821" s="6"/>
    </row>
    <row r="822" spans="1:7" x14ac:dyDescent="0.3">
      <c r="A822" s="36"/>
      <c r="B822" s="46"/>
      <c r="C822" s="59"/>
      <c r="G822" s="6"/>
    </row>
    <row r="823" spans="1:7" x14ac:dyDescent="0.3">
      <c r="A823" s="36"/>
      <c r="B823" s="46"/>
      <c r="C823" s="59"/>
      <c r="G823" s="6"/>
    </row>
    <row r="824" spans="1:7" x14ac:dyDescent="0.3">
      <c r="A824" s="36"/>
      <c r="B824" s="46"/>
      <c r="C824" s="59"/>
      <c r="G824" s="6"/>
    </row>
    <row r="825" spans="1:7" x14ac:dyDescent="0.3">
      <c r="A825" s="36"/>
      <c r="B825" s="46"/>
      <c r="C825" s="59"/>
      <c r="G825" s="6"/>
    </row>
    <row r="826" spans="1:7" x14ac:dyDescent="0.3">
      <c r="A826" s="36"/>
      <c r="B826" s="46"/>
      <c r="C826" s="59"/>
      <c r="G826" s="6"/>
    </row>
    <row r="827" spans="1:7" x14ac:dyDescent="0.3">
      <c r="A827" s="36"/>
      <c r="B827" s="46"/>
      <c r="C827" s="59"/>
      <c r="G827" s="6"/>
    </row>
    <row r="828" spans="1:7" x14ac:dyDescent="0.3">
      <c r="A828" s="36"/>
      <c r="B828" s="46"/>
      <c r="C828" s="59"/>
      <c r="G828" s="6"/>
    </row>
    <row r="829" spans="1:7" x14ac:dyDescent="0.3">
      <c r="A829" s="36"/>
      <c r="B829" s="46"/>
      <c r="C829" s="59"/>
      <c r="G829" s="6"/>
    </row>
    <row r="830" spans="1:7" x14ac:dyDescent="0.3">
      <c r="A830" s="36"/>
      <c r="B830" s="46"/>
      <c r="C830" s="59"/>
      <c r="G830" s="6"/>
    </row>
    <row r="831" spans="1:7" x14ac:dyDescent="0.3">
      <c r="A831" s="36"/>
      <c r="B831" s="46"/>
      <c r="C831" s="59"/>
      <c r="G831" s="6"/>
    </row>
    <row r="832" spans="1:7" x14ac:dyDescent="0.3">
      <c r="A832" s="36"/>
      <c r="B832" s="46"/>
      <c r="C832" s="59"/>
      <c r="G832" s="6"/>
    </row>
    <row r="833" spans="1:7" x14ac:dyDescent="0.3">
      <c r="A833" s="36"/>
      <c r="B833" s="46"/>
      <c r="C833" s="59"/>
      <c r="G833" s="6"/>
    </row>
    <row r="834" spans="1:7" x14ac:dyDescent="0.3">
      <c r="A834" s="36"/>
      <c r="B834" s="46"/>
      <c r="C834" s="59"/>
      <c r="G834" s="6"/>
    </row>
    <row r="835" spans="1:7" x14ac:dyDescent="0.3">
      <c r="A835" s="36"/>
      <c r="B835" s="46"/>
      <c r="C835" s="59"/>
      <c r="G835" s="6"/>
    </row>
    <row r="836" spans="1:7" x14ac:dyDescent="0.3">
      <c r="A836" s="36"/>
      <c r="B836" s="46"/>
      <c r="C836" s="59"/>
      <c r="G836" s="6"/>
    </row>
    <row r="837" spans="1:7" x14ac:dyDescent="0.3">
      <c r="A837" s="36"/>
      <c r="B837" s="46"/>
      <c r="C837" s="59"/>
      <c r="G837" s="6"/>
    </row>
    <row r="838" spans="1:7" x14ac:dyDescent="0.3">
      <c r="A838" s="36"/>
      <c r="B838" s="46"/>
      <c r="C838" s="59"/>
      <c r="G838" s="6"/>
    </row>
    <row r="839" spans="1:7" x14ac:dyDescent="0.3">
      <c r="A839" s="36"/>
      <c r="B839" s="46"/>
      <c r="C839" s="59"/>
      <c r="G839" s="6"/>
    </row>
    <row r="840" spans="1:7" x14ac:dyDescent="0.3">
      <c r="A840" s="36"/>
      <c r="B840" s="46"/>
      <c r="C840" s="59"/>
      <c r="G840" s="6"/>
    </row>
    <row r="841" spans="1:7" x14ac:dyDescent="0.3">
      <c r="A841" s="36"/>
      <c r="B841" s="46"/>
      <c r="C841" s="59"/>
      <c r="G841" s="6"/>
    </row>
    <row r="842" spans="1:7" x14ac:dyDescent="0.3">
      <c r="A842" s="36"/>
      <c r="B842" s="46"/>
      <c r="C842" s="59"/>
      <c r="G842" s="6"/>
    </row>
    <row r="843" spans="1:7" x14ac:dyDescent="0.3">
      <c r="A843" s="36"/>
      <c r="B843" s="46"/>
      <c r="C843" s="59"/>
      <c r="G843" s="6"/>
    </row>
    <row r="844" spans="1:7" x14ac:dyDescent="0.3">
      <c r="A844" s="36"/>
      <c r="B844" s="46"/>
      <c r="C844" s="59"/>
      <c r="G844" s="6"/>
    </row>
    <row r="845" spans="1:7" x14ac:dyDescent="0.3">
      <c r="A845" s="36"/>
      <c r="B845" s="46"/>
      <c r="C845" s="59"/>
      <c r="G845" s="6"/>
    </row>
    <row r="846" spans="1:7" x14ac:dyDescent="0.3">
      <c r="A846" s="36"/>
      <c r="B846" s="46"/>
      <c r="C846" s="59"/>
      <c r="G846" s="6"/>
    </row>
    <row r="847" spans="1:7" x14ac:dyDescent="0.3">
      <c r="A847" s="36"/>
      <c r="B847" s="46"/>
      <c r="C847" s="59"/>
      <c r="G847" s="6"/>
    </row>
    <row r="848" spans="1:7" x14ac:dyDescent="0.3">
      <c r="A848" s="36"/>
      <c r="B848" s="46"/>
      <c r="C848" s="59"/>
      <c r="G848" s="6"/>
    </row>
    <row r="849" spans="1:7" x14ac:dyDescent="0.3">
      <c r="A849" s="36"/>
      <c r="B849" s="46"/>
      <c r="C849" s="59"/>
      <c r="G849" s="6"/>
    </row>
    <row r="850" spans="1:7" x14ac:dyDescent="0.3">
      <c r="A850" s="36"/>
      <c r="B850" s="46"/>
      <c r="C850" s="59"/>
      <c r="G850" s="6"/>
    </row>
    <row r="851" spans="1:7" x14ac:dyDescent="0.3">
      <c r="A851" s="36"/>
      <c r="B851" s="46"/>
      <c r="C851" s="59"/>
      <c r="G851" s="6"/>
    </row>
    <row r="852" spans="1:7" x14ac:dyDescent="0.3">
      <c r="A852" s="36"/>
      <c r="B852" s="46"/>
      <c r="C852" s="59"/>
      <c r="G852" s="6"/>
    </row>
    <row r="853" spans="1:7" x14ac:dyDescent="0.3">
      <c r="A853" s="36"/>
      <c r="B853" s="46"/>
      <c r="C853" s="59"/>
      <c r="G853" s="6"/>
    </row>
    <row r="854" spans="1:7" x14ac:dyDescent="0.3">
      <c r="A854" s="36"/>
      <c r="B854" s="46"/>
      <c r="C854" s="59"/>
      <c r="G854" s="6"/>
    </row>
    <row r="855" spans="1:7" x14ac:dyDescent="0.3">
      <c r="A855" s="36"/>
      <c r="B855" s="46"/>
      <c r="C855" s="59"/>
      <c r="G855" s="6"/>
    </row>
    <row r="856" spans="1:7" x14ac:dyDescent="0.3">
      <c r="A856" s="36"/>
      <c r="B856" s="46"/>
      <c r="C856" s="59"/>
      <c r="G856" s="6"/>
    </row>
    <row r="857" spans="1:7" x14ac:dyDescent="0.3">
      <c r="A857" s="36"/>
      <c r="B857" s="46"/>
      <c r="C857" s="59"/>
      <c r="G857" s="6"/>
    </row>
    <row r="858" spans="1:7" x14ac:dyDescent="0.3">
      <c r="A858" s="36"/>
      <c r="B858" s="46"/>
      <c r="C858" s="59"/>
      <c r="G858" s="6"/>
    </row>
    <row r="859" spans="1:7" x14ac:dyDescent="0.3">
      <c r="A859" s="36"/>
      <c r="B859" s="46"/>
      <c r="C859" s="59"/>
      <c r="G859" s="6"/>
    </row>
    <row r="860" spans="1:7" x14ac:dyDescent="0.3">
      <c r="A860" s="36"/>
      <c r="B860" s="46"/>
      <c r="C860" s="59"/>
      <c r="G860" s="6"/>
    </row>
    <row r="861" spans="1:7" x14ac:dyDescent="0.3">
      <c r="A861" s="36"/>
      <c r="B861" s="46"/>
      <c r="C861" s="59"/>
      <c r="G861" s="6"/>
    </row>
    <row r="862" spans="1:7" x14ac:dyDescent="0.3">
      <c r="A862" s="36"/>
      <c r="B862" s="46"/>
      <c r="C862" s="59"/>
      <c r="G862" s="6"/>
    </row>
    <row r="863" spans="1:7" x14ac:dyDescent="0.3">
      <c r="A863" s="36"/>
      <c r="B863" s="46"/>
      <c r="C863" s="59"/>
      <c r="G863" s="6"/>
    </row>
    <row r="864" spans="1:7" x14ac:dyDescent="0.3">
      <c r="A864" s="36"/>
      <c r="B864" s="46"/>
      <c r="C864" s="59"/>
      <c r="G864" s="6"/>
    </row>
    <row r="865" spans="1:7" x14ac:dyDescent="0.3">
      <c r="A865" s="36"/>
      <c r="B865" s="46"/>
      <c r="C865" s="59"/>
      <c r="G865" s="6"/>
    </row>
    <row r="866" spans="1:7" x14ac:dyDescent="0.3">
      <c r="A866" s="36"/>
      <c r="B866" s="46"/>
      <c r="C866" s="59"/>
      <c r="G866" s="6"/>
    </row>
    <row r="867" spans="1:7" x14ac:dyDescent="0.3">
      <c r="A867" s="36"/>
      <c r="B867" s="46"/>
      <c r="C867" s="59"/>
      <c r="G867" s="6"/>
    </row>
    <row r="868" spans="1:7" x14ac:dyDescent="0.3">
      <c r="A868" s="36"/>
      <c r="B868" s="46"/>
      <c r="C868" s="59"/>
      <c r="G868" s="6"/>
    </row>
    <row r="869" spans="1:7" x14ac:dyDescent="0.3">
      <c r="A869" s="36"/>
      <c r="B869" s="46"/>
      <c r="C869" s="59"/>
      <c r="G869" s="6"/>
    </row>
    <row r="870" spans="1:7" x14ac:dyDescent="0.3">
      <c r="A870" s="36"/>
      <c r="B870" s="46"/>
      <c r="C870" s="59"/>
      <c r="G870" s="6"/>
    </row>
    <row r="871" spans="1:7" x14ac:dyDescent="0.3">
      <c r="A871" s="36"/>
      <c r="B871" s="46"/>
      <c r="C871" s="59"/>
      <c r="G871" s="6"/>
    </row>
    <row r="872" spans="1:7" x14ac:dyDescent="0.3">
      <c r="A872" s="36"/>
      <c r="B872" s="46"/>
      <c r="C872" s="59"/>
      <c r="G872" s="6"/>
    </row>
    <row r="873" spans="1:7" x14ac:dyDescent="0.3">
      <c r="A873" s="36"/>
      <c r="B873" s="46"/>
      <c r="C873" s="59"/>
      <c r="G873" s="6"/>
    </row>
    <row r="874" spans="1:7" x14ac:dyDescent="0.3">
      <c r="A874" s="36"/>
      <c r="B874" s="46"/>
      <c r="C874" s="59"/>
      <c r="G874" s="6"/>
    </row>
    <row r="875" spans="1:7" x14ac:dyDescent="0.3">
      <c r="A875" s="36"/>
      <c r="B875" s="46"/>
      <c r="C875" s="59"/>
      <c r="G875" s="6"/>
    </row>
    <row r="876" spans="1:7" x14ac:dyDescent="0.3">
      <c r="A876" s="36"/>
      <c r="B876" s="46"/>
      <c r="C876" s="59"/>
      <c r="G876" s="6"/>
    </row>
    <row r="877" spans="1:7" x14ac:dyDescent="0.3">
      <c r="A877" s="36"/>
      <c r="B877" s="46"/>
      <c r="C877" s="59"/>
      <c r="G877" s="6"/>
    </row>
    <row r="878" spans="1:7" x14ac:dyDescent="0.3">
      <c r="A878" s="36"/>
      <c r="B878" s="46"/>
      <c r="C878" s="59"/>
      <c r="G878" s="6"/>
    </row>
    <row r="879" spans="1:7" x14ac:dyDescent="0.3">
      <c r="A879" s="36"/>
      <c r="B879" s="46"/>
      <c r="C879" s="59"/>
      <c r="G879" s="6"/>
    </row>
    <row r="880" spans="1:7" x14ac:dyDescent="0.3">
      <c r="A880" s="36"/>
      <c r="B880" s="46"/>
      <c r="C880" s="59"/>
      <c r="G880" s="6"/>
    </row>
    <row r="881" spans="1:7" x14ac:dyDescent="0.3">
      <c r="A881" s="36"/>
      <c r="B881" s="46"/>
      <c r="C881" s="59"/>
      <c r="G881" s="6"/>
    </row>
    <row r="882" spans="1:7" x14ac:dyDescent="0.3">
      <c r="A882" s="36"/>
      <c r="B882" s="46"/>
      <c r="C882" s="59"/>
      <c r="G882" s="6"/>
    </row>
    <row r="883" spans="1:7" x14ac:dyDescent="0.3">
      <c r="A883" s="36"/>
      <c r="B883" s="46"/>
      <c r="C883" s="59"/>
      <c r="G883" s="6"/>
    </row>
    <row r="884" spans="1:7" x14ac:dyDescent="0.3">
      <c r="A884" s="36"/>
      <c r="B884" s="46"/>
      <c r="C884" s="59"/>
      <c r="G884" s="6"/>
    </row>
    <row r="885" spans="1:7" x14ac:dyDescent="0.3">
      <c r="A885" s="36"/>
      <c r="B885" s="46"/>
      <c r="C885" s="59"/>
      <c r="G885" s="6"/>
    </row>
    <row r="886" spans="1:7" x14ac:dyDescent="0.3">
      <c r="A886" s="36"/>
      <c r="B886" s="46"/>
      <c r="C886" s="59"/>
      <c r="G886" s="6"/>
    </row>
    <row r="887" spans="1:7" x14ac:dyDescent="0.3">
      <c r="A887" s="36"/>
      <c r="B887" s="46"/>
      <c r="C887" s="59"/>
      <c r="G887" s="6"/>
    </row>
    <row r="888" spans="1:7" x14ac:dyDescent="0.3">
      <c r="A888" s="36"/>
      <c r="B888" s="46"/>
      <c r="C888" s="59"/>
      <c r="G888" s="6"/>
    </row>
    <row r="889" spans="1:7" x14ac:dyDescent="0.3">
      <c r="A889" s="36"/>
      <c r="B889" s="46"/>
      <c r="C889" s="59"/>
      <c r="G889" s="6"/>
    </row>
    <row r="890" spans="1:7" x14ac:dyDescent="0.3">
      <c r="A890" s="36"/>
      <c r="B890" s="46"/>
      <c r="C890" s="59"/>
      <c r="G890" s="6"/>
    </row>
    <row r="891" spans="1:7" x14ac:dyDescent="0.3">
      <c r="A891" s="36"/>
      <c r="B891" s="46"/>
      <c r="C891" s="59"/>
      <c r="G891" s="6"/>
    </row>
    <row r="892" spans="1:7" x14ac:dyDescent="0.3">
      <c r="A892" s="36"/>
      <c r="B892" s="46"/>
      <c r="C892" s="59"/>
      <c r="G892" s="6"/>
    </row>
    <row r="893" spans="1:7" x14ac:dyDescent="0.3">
      <c r="A893" s="36"/>
      <c r="B893" s="46"/>
      <c r="C893" s="59"/>
      <c r="G893" s="6"/>
    </row>
    <row r="894" spans="1:7" x14ac:dyDescent="0.3">
      <c r="A894" s="36"/>
      <c r="B894" s="46"/>
      <c r="C894" s="59"/>
      <c r="G894" s="6"/>
    </row>
    <row r="895" spans="1:7" x14ac:dyDescent="0.3">
      <c r="A895" s="36"/>
      <c r="B895" s="46"/>
      <c r="C895" s="59"/>
      <c r="G895" s="6"/>
    </row>
    <row r="896" spans="1:7" x14ac:dyDescent="0.3">
      <c r="A896" s="36"/>
      <c r="B896" s="46"/>
      <c r="C896" s="59"/>
      <c r="G896" s="6"/>
    </row>
    <row r="897" spans="1:7" x14ac:dyDescent="0.3">
      <c r="A897" s="36"/>
      <c r="B897" s="46"/>
      <c r="C897" s="59"/>
      <c r="G897" s="6"/>
    </row>
    <row r="898" spans="1:7" x14ac:dyDescent="0.3">
      <c r="A898" s="36"/>
      <c r="B898" s="46"/>
      <c r="C898" s="59"/>
      <c r="G898" s="6"/>
    </row>
    <row r="899" spans="1:7" x14ac:dyDescent="0.3">
      <c r="A899" s="36"/>
      <c r="B899" s="46"/>
      <c r="C899" s="59"/>
      <c r="G899" s="6"/>
    </row>
    <row r="900" spans="1:7" x14ac:dyDescent="0.3">
      <c r="A900" s="36"/>
      <c r="B900" s="46"/>
      <c r="C900" s="59"/>
      <c r="G900" s="6"/>
    </row>
    <row r="901" spans="1:7" x14ac:dyDescent="0.3">
      <c r="A901" s="36"/>
      <c r="B901" s="46"/>
      <c r="C901" s="59"/>
      <c r="G901" s="6"/>
    </row>
    <row r="902" spans="1:7" x14ac:dyDescent="0.3">
      <c r="A902" s="36"/>
      <c r="B902" s="46"/>
      <c r="C902" s="59"/>
      <c r="G902" s="6"/>
    </row>
    <row r="903" spans="1:7" x14ac:dyDescent="0.3">
      <c r="A903" s="36"/>
      <c r="B903" s="46"/>
      <c r="C903" s="59"/>
      <c r="G903" s="6"/>
    </row>
    <row r="904" spans="1:7" x14ac:dyDescent="0.3">
      <c r="A904" s="36"/>
      <c r="B904" s="46"/>
      <c r="C904" s="59"/>
      <c r="G904" s="6"/>
    </row>
    <row r="905" spans="1:7" x14ac:dyDescent="0.3">
      <c r="A905" s="36"/>
      <c r="B905" s="46"/>
      <c r="C905" s="59"/>
      <c r="G905" s="6"/>
    </row>
    <row r="906" spans="1:7" x14ac:dyDescent="0.3">
      <c r="A906" s="36"/>
      <c r="B906" s="46"/>
      <c r="C906" s="59"/>
      <c r="G906" s="6"/>
    </row>
    <row r="907" spans="1:7" x14ac:dyDescent="0.3">
      <c r="A907" s="36"/>
      <c r="B907" s="46"/>
      <c r="C907" s="59"/>
      <c r="G907" s="6"/>
    </row>
    <row r="908" spans="1:7" x14ac:dyDescent="0.3">
      <c r="A908" s="36"/>
      <c r="B908" s="46"/>
      <c r="C908" s="59"/>
      <c r="G908" s="6"/>
    </row>
    <row r="909" spans="1:7" x14ac:dyDescent="0.3">
      <c r="A909" s="36"/>
      <c r="B909" s="46"/>
      <c r="C909" s="59"/>
      <c r="G909" s="6"/>
    </row>
    <row r="910" spans="1:7" x14ac:dyDescent="0.3">
      <c r="A910" s="36"/>
      <c r="B910" s="46"/>
      <c r="C910" s="59"/>
      <c r="G910" s="6"/>
    </row>
    <row r="911" spans="1:7" x14ac:dyDescent="0.3">
      <c r="A911" s="36"/>
      <c r="B911" s="46"/>
      <c r="C911" s="59"/>
      <c r="G911" s="6"/>
    </row>
    <row r="912" spans="1:7" x14ac:dyDescent="0.3">
      <c r="A912" s="36"/>
      <c r="B912" s="46"/>
      <c r="C912" s="59"/>
      <c r="G912" s="6"/>
    </row>
    <row r="913" spans="1:7" x14ac:dyDescent="0.3">
      <c r="A913" s="36"/>
      <c r="B913" s="46"/>
      <c r="C913" s="59"/>
      <c r="G913" s="6"/>
    </row>
    <row r="914" spans="1:7" x14ac:dyDescent="0.3">
      <c r="A914" s="36"/>
      <c r="B914" s="46"/>
      <c r="C914" s="59"/>
      <c r="G914" s="6"/>
    </row>
    <row r="915" spans="1:7" x14ac:dyDescent="0.3">
      <c r="A915" s="36"/>
      <c r="B915" s="46"/>
      <c r="C915" s="59"/>
      <c r="G915" s="6"/>
    </row>
    <row r="916" spans="1:7" x14ac:dyDescent="0.3">
      <c r="A916" s="36"/>
      <c r="B916" s="46"/>
      <c r="C916" s="59"/>
      <c r="G916" s="6"/>
    </row>
    <row r="917" spans="1:7" x14ac:dyDescent="0.3">
      <c r="A917" s="36"/>
      <c r="B917" s="46"/>
      <c r="C917" s="59"/>
      <c r="G917" s="6"/>
    </row>
    <row r="918" spans="1:7" x14ac:dyDescent="0.3">
      <c r="A918" s="36"/>
      <c r="B918" s="46"/>
      <c r="C918" s="59"/>
      <c r="G918" s="6"/>
    </row>
    <row r="919" spans="1:7" x14ac:dyDescent="0.3">
      <c r="A919" s="36"/>
      <c r="B919" s="46"/>
      <c r="C919" s="59"/>
      <c r="G919" s="6"/>
    </row>
    <row r="920" spans="1:7" x14ac:dyDescent="0.3">
      <c r="A920" s="36"/>
      <c r="B920" s="46"/>
      <c r="C920" s="59"/>
      <c r="G920" s="6"/>
    </row>
    <row r="921" spans="1:7" x14ac:dyDescent="0.3">
      <c r="A921" s="36"/>
      <c r="B921" s="46"/>
      <c r="C921" s="59"/>
      <c r="G921" s="6"/>
    </row>
    <row r="922" spans="1:7" x14ac:dyDescent="0.3">
      <c r="A922" s="36"/>
      <c r="B922" s="46"/>
      <c r="C922" s="59"/>
      <c r="G922" s="6"/>
    </row>
    <row r="923" spans="1:7" x14ac:dyDescent="0.3">
      <c r="A923" s="36"/>
      <c r="B923" s="46"/>
      <c r="C923" s="59"/>
      <c r="G923" s="6"/>
    </row>
    <row r="924" spans="1:7" x14ac:dyDescent="0.3">
      <c r="A924" s="36"/>
      <c r="B924" s="46"/>
      <c r="C924" s="59"/>
      <c r="G924" s="6"/>
    </row>
    <row r="925" spans="1:7" x14ac:dyDescent="0.3">
      <c r="A925" s="36"/>
      <c r="B925" s="46"/>
      <c r="C925" s="59"/>
      <c r="G925" s="6"/>
    </row>
    <row r="926" spans="1:7" x14ac:dyDescent="0.3">
      <c r="A926" s="36"/>
      <c r="B926" s="46"/>
      <c r="C926" s="59"/>
      <c r="G926" s="6"/>
    </row>
    <row r="927" spans="1:7" x14ac:dyDescent="0.3">
      <c r="A927" s="36"/>
      <c r="B927" s="46"/>
      <c r="C927" s="59"/>
      <c r="G927" s="6"/>
    </row>
    <row r="928" spans="1:7" x14ac:dyDescent="0.3">
      <c r="A928" s="36"/>
      <c r="B928" s="46"/>
      <c r="C928" s="59"/>
      <c r="G928" s="6"/>
    </row>
    <row r="929" spans="1:7" x14ac:dyDescent="0.3">
      <c r="A929" s="36"/>
      <c r="B929" s="46"/>
      <c r="C929" s="59"/>
      <c r="G929" s="6"/>
    </row>
    <row r="930" spans="1:7" x14ac:dyDescent="0.3">
      <c r="A930" s="36"/>
      <c r="B930" s="46"/>
      <c r="C930" s="59"/>
      <c r="G930" s="6"/>
    </row>
    <row r="931" spans="1:7" x14ac:dyDescent="0.3">
      <c r="A931" s="36"/>
      <c r="B931" s="46"/>
      <c r="C931" s="59"/>
      <c r="G931" s="6"/>
    </row>
    <row r="932" spans="1:7" x14ac:dyDescent="0.3">
      <c r="A932" s="36"/>
      <c r="B932" s="46"/>
      <c r="C932" s="59"/>
      <c r="G932" s="6"/>
    </row>
    <row r="933" spans="1:7" x14ac:dyDescent="0.3">
      <c r="A933" s="36"/>
      <c r="B933" s="46"/>
      <c r="C933" s="59"/>
      <c r="G933" s="6"/>
    </row>
    <row r="934" spans="1:7" x14ac:dyDescent="0.3">
      <c r="A934" s="36"/>
      <c r="B934" s="46"/>
      <c r="C934" s="59"/>
      <c r="G934" s="6"/>
    </row>
    <row r="935" spans="1:7" x14ac:dyDescent="0.3">
      <c r="A935" s="36"/>
      <c r="B935" s="46"/>
      <c r="C935" s="59"/>
      <c r="G935" s="6"/>
    </row>
    <row r="936" spans="1:7" x14ac:dyDescent="0.3">
      <c r="A936" s="36"/>
      <c r="B936" s="46"/>
      <c r="C936" s="59"/>
      <c r="G936" s="6"/>
    </row>
    <row r="937" spans="1:7" x14ac:dyDescent="0.3">
      <c r="A937" s="36"/>
      <c r="B937" s="46"/>
      <c r="C937" s="59"/>
      <c r="G937" s="6"/>
    </row>
    <row r="938" spans="1:7" x14ac:dyDescent="0.3">
      <c r="A938" s="36"/>
      <c r="B938" s="46"/>
      <c r="C938" s="59"/>
      <c r="G938" s="6"/>
    </row>
    <row r="939" spans="1:7" x14ac:dyDescent="0.3">
      <c r="A939" s="36"/>
      <c r="B939" s="46"/>
      <c r="C939" s="59"/>
      <c r="G939" s="6"/>
    </row>
    <row r="940" spans="1:7" x14ac:dyDescent="0.3">
      <c r="A940" s="36"/>
      <c r="B940" s="46"/>
      <c r="C940" s="59"/>
      <c r="G940" s="6"/>
    </row>
    <row r="941" spans="1:7" x14ac:dyDescent="0.3">
      <c r="A941" s="36"/>
      <c r="B941" s="46"/>
      <c r="C941" s="59"/>
      <c r="G941" s="6"/>
    </row>
    <row r="942" spans="1:7" x14ac:dyDescent="0.3">
      <c r="A942" s="36"/>
      <c r="B942" s="46"/>
      <c r="C942" s="59"/>
      <c r="G942" s="6"/>
    </row>
    <row r="943" spans="1:7" x14ac:dyDescent="0.3">
      <c r="A943" s="36"/>
      <c r="B943" s="46"/>
      <c r="C943" s="59"/>
      <c r="G943" s="6"/>
    </row>
    <row r="944" spans="1:7" x14ac:dyDescent="0.3">
      <c r="A944" s="36"/>
      <c r="B944" s="46"/>
      <c r="C944" s="59"/>
      <c r="G944" s="6"/>
    </row>
    <row r="945" spans="1:7" x14ac:dyDescent="0.3">
      <c r="A945" s="36"/>
      <c r="B945" s="46"/>
      <c r="C945" s="59"/>
      <c r="G945" s="6"/>
    </row>
    <row r="946" spans="1:7" x14ac:dyDescent="0.3">
      <c r="A946" s="36"/>
      <c r="B946" s="46"/>
      <c r="C946" s="59"/>
      <c r="G946" s="6"/>
    </row>
    <row r="947" spans="1:7" x14ac:dyDescent="0.3">
      <c r="A947" s="36"/>
      <c r="B947" s="46"/>
      <c r="C947" s="59"/>
      <c r="G947" s="6"/>
    </row>
    <row r="948" spans="1:7" x14ac:dyDescent="0.3">
      <c r="A948" s="36"/>
      <c r="B948" s="46"/>
      <c r="C948" s="59"/>
      <c r="G948" s="6"/>
    </row>
    <row r="949" spans="1:7" x14ac:dyDescent="0.3">
      <c r="A949" s="36"/>
      <c r="B949" s="46"/>
      <c r="C949" s="59"/>
      <c r="G949" s="6"/>
    </row>
    <row r="950" spans="1:7" x14ac:dyDescent="0.3">
      <c r="A950" s="36"/>
      <c r="B950" s="46"/>
      <c r="C950" s="59"/>
      <c r="G950" s="6"/>
    </row>
    <row r="951" spans="1:7" x14ac:dyDescent="0.3">
      <c r="A951" s="36"/>
      <c r="B951" s="46"/>
      <c r="C951" s="59"/>
      <c r="G951" s="6"/>
    </row>
    <row r="952" spans="1:7" x14ac:dyDescent="0.3">
      <c r="A952" s="36"/>
      <c r="B952" s="46"/>
      <c r="C952" s="59"/>
      <c r="G952" s="6"/>
    </row>
    <row r="953" spans="1:7" x14ac:dyDescent="0.3">
      <c r="A953" s="36"/>
      <c r="B953" s="46"/>
      <c r="C953" s="59"/>
      <c r="G953" s="6"/>
    </row>
    <row r="954" spans="1:7" x14ac:dyDescent="0.3">
      <c r="A954" s="36"/>
      <c r="B954" s="46"/>
      <c r="C954" s="59"/>
      <c r="G954" s="6"/>
    </row>
    <row r="955" spans="1:7" x14ac:dyDescent="0.3">
      <c r="A955" s="36"/>
      <c r="B955" s="46"/>
      <c r="C955" s="59"/>
      <c r="G955" s="6"/>
    </row>
    <row r="956" spans="1:7" x14ac:dyDescent="0.3">
      <c r="A956" s="36"/>
      <c r="B956" s="46"/>
      <c r="C956" s="59"/>
      <c r="G956" s="6"/>
    </row>
    <row r="957" spans="1:7" x14ac:dyDescent="0.3">
      <c r="A957" s="36"/>
      <c r="B957" s="46"/>
      <c r="C957" s="59"/>
      <c r="G957" s="6"/>
    </row>
    <row r="958" spans="1:7" x14ac:dyDescent="0.3">
      <c r="A958" s="36"/>
      <c r="B958" s="46"/>
      <c r="C958" s="59"/>
      <c r="G958" s="6"/>
    </row>
    <row r="959" spans="1:7" x14ac:dyDescent="0.3">
      <c r="A959" s="36"/>
      <c r="B959" s="46"/>
      <c r="C959" s="59"/>
      <c r="G959" s="6"/>
    </row>
    <row r="960" spans="1:7" x14ac:dyDescent="0.3">
      <c r="A960" s="36"/>
      <c r="B960" s="46"/>
      <c r="C960" s="59"/>
      <c r="G960" s="6"/>
    </row>
    <row r="961" spans="1:7" x14ac:dyDescent="0.3">
      <c r="A961" s="36"/>
      <c r="B961" s="46"/>
      <c r="C961" s="59"/>
      <c r="G961" s="6"/>
    </row>
    <row r="962" spans="1:7" x14ac:dyDescent="0.3">
      <c r="A962" s="36"/>
      <c r="B962" s="46"/>
      <c r="C962" s="59"/>
      <c r="G962" s="6"/>
    </row>
    <row r="963" spans="1:7" x14ac:dyDescent="0.3">
      <c r="A963" s="36"/>
      <c r="B963" s="46"/>
      <c r="C963" s="59"/>
      <c r="G963" s="6"/>
    </row>
    <row r="964" spans="1:7" x14ac:dyDescent="0.3">
      <c r="A964" s="36"/>
      <c r="B964" s="46"/>
      <c r="C964" s="59"/>
      <c r="G964" s="6"/>
    </row>
    <row r="965" spans="1:7" x14ac:dyDescent="0.3">
      <c r="A965" s="36"/>
      <c r="B965" s="46"/>
      <c r="C965" s="59"/>
      <c r="G965" s="6"/>
    </row>
    <row r="966" spans="1:7" x14ac:dyDescent="0.3">
      <c r="A966" s="36"/>
      <c r="B966" s="46"/>
      <c r="C966" s="59"/>
      <c r="G966" s="6"/>
    </row>
    <row r="967" spans="1:7" x14ac:dyDescent="0.3">
      <c r="A967" s="36"/>
      <c r="B967" s="46"/>
      <c r="C967" s="59"/>
      <c r="G967" s="6"/>
    </row>
    <row r="968" spans="1:7" x14ac:dyDescent="0.3">
      <c r="A968" s="36"/>
      <c r="B968" s="46"/>
      <c r="C968" s="59"/>
      <c r="G968" s="6"/>
    </row>
    <row r="969" spans="1:7" x14ac:dyDescent="0.3">
      <c r="A969" s="36"/>
      <c r="B969" s="46"/>
      <c r="C969" s="59"/>
      <c r="G969" s="6"/>
    </row>
    <row r="970" spans="1:7" x14ac:dyDescent="0.3">
      <c r="A970" s="36"/>
      <c r="B970" s="46"/>
      <c r="C970" s="59"/>
      <c r="G970" s="6"/>
    </row>
    <row r="971" spans="1:7" x14ac:dyDescent="0.3">
      <c r="A971" s="36"/>
      <c r="B971" s="46"/>
      <c r="C971" s="59"/>
      <c r="G971" s="6"/>
    </row>
    <row r="972" spans="1:7" x14ac:dyDescent="0.3">
      <c r="A972" s="36"/>
      <c r="B972" s="46"/>
      <c r="C972" s="59"/>
      <c r="G972" s="6"/>
    </row>
    <row r="973" spans="1:7" x14ac:dyDescent="0.3">
      <c r="A973" s="36"/>
      <c r="B973" s="46"/>
      <c r="C973" s="59"/>
      <c r="G973" s="6"/>
    </row>
    <row r="974" spans="1:7" x14ac:dyDescent="0.3">
      <c r="A974" s="36"/>
      <c r="B974" s="46"/>
      <c r="C974" s="59"/>
      <c r="G974" s="6"/>
    </row>
    <row r="975" spans="1:7" x14ac:dyDescent="0.3">
      <c r="A975" s="36"/>
      <c r="B975" s="46"/>
      <c r="C975" s="59"/>
      <c r="G975" s="6"/>
    </row>
    <row r="976" spans="1:7" x14ac:dyDescent="0.3">
      <c r="A976" s="36"/>
      <c r="B976" s="46"/>
      <c r="C976" s="59"/>
      <c r="G976" s="6"/>
    </row>
    <row r="977" spans="1:7" x14ac:dyDescent="0.3">
      <c r="A977" s="36"/>
      <c r="B977" s="46"/>
      <c r="C977" s="59"/>
      <c r="G977" s="6"/>
    </row>
    <row r="978" spans="1:7" x14ac:dyDescent="0.3">
      <c r="A978" s="36"/>
      <c r="B978" s="46"/>
      <c r="C978" s="59"/>
      <c r="G978" s="6"/>
    </row>
    <row r="979" spans="1:7" x14ac:dyDescent="0.3">
      <c r="A979" s="36"/>
      <c r="B979" s="46"/>
      <c r="C979" s="59"/>
      <c r="G979" s="6"/>
    </row>
    <row r="980" spans="1:7" x14ac:dyDescent="0.3">
      <c r="A980" s="36"/>
      <c r="B980" s="46"/>
      <c r="C980" s="59"/>
      <c r="G980" s="6"/>
    </row>
    <row r="981" spans="1:7" x14ac:dyDescent="0.3">
      <c r="A981" s="36"/>
      <c r="B981" s="46"/>
      <c r="C981" s="59"/>
      <c r="G981" s="6"/>
    </row>
    <row r="982" spans="1:7" x14ac:dyDescent="0.3">
      <c r="A982" s="36"/>
      <c r="B982" s="46"/>
      <c r="C982" s="59"/>
      <c r="G982" s="6"/>
    </row>
    <row r="983" spans="1:7" x14ac:dyDescent="0.3">
      <c r="A983" s="36"/>
      <c r="B983" s="46"/>
      <c r="C983" s="59"/>
      <c r="G983" s="6"/>
    </row>
    <row r="984" spans="1:7" x14ac:dyDescent="0.3">
      <c r="A984" s="36"/>
      <c r="B984" s="46"/>
      <c r="C984" s="59"/>
      <c r="G984" s="6"/>
    </row>
    <row r="985" spans="1:7" x14ac:dyDescent="0.3">
      <c r="A985" s="36"/>
      <c r="B985" s="46"/>
      <c r="C985" s="59"/>
      <c r="G985" s="6"/>
    </row>
    <row r="986" spans="1:7" x14ac:dyDescent="0.3">
      <c r="A986" s="36"/>
      <c r="B986" s="46"/>
      <c r="C986" s="59"/>
      <c r="G986" s="6"/>
    </row>
    <row r="987" spans="1:7" x14ac:dyDescent="0.3">
      <c r="A987" s="36"/>
      <c r="B987" s="46"/>
      <c r="C987" s="59"/>
      <c r="G987" s="6"/>
    </row>
    <row r="988" spans="1:7" x14ac:dyDescent="0.3">
      <c r="A988" s="36"/>
      <c r="B988" s="46"/>
      <c r="C988" s="59"/>
      <c r="G988" s="6"/>
    </row>
    <row r="989" spans="1:7" x14ac:dyDescent="0.3">
      <c r="A989" s="36"/>
      <c r="B989" s="46"/>
      <c r="C989" s="59"/>
      <c r="G989" s="6"/>
    </row>
    <row r="990" spans="1:7" x14ac:dyDescent="0.3">
      <c r="A990" s="36"/>
      <c r="B990" s="46"/>
      <c r="C990" s="59"/>
      <c r="G990" s="6"/>
    </row>
    <row r="991" spans="1:7" x14ac:dyDescent="0.3">
      <c r="A991" s="36"/>
      <c r="B991" s="46"/>
      <c r="C991" s="59"/>
      <c r="G991" s="6"/>
    </row>
    <row r="992" spans="1:7" x14ac:dyDescent="0.3">
      <c r="A992" s="36"/>
      <c r="B992" s="46"/>
      <c r="C992" s="59"/>
      <c r="G992" s="6"/>
    </row>
    <row r="993" spans="1:7" x14ac:dyDescent="0.3">
      <c r="A993" s="36"/>
      <c r="B993" s="46"/>
      <c r="C993" s="59"/>
      <c r="G993" s="6"/>
    </row>
    <row r="994" spans="1:7" x14ac:dyDescent="0.3">
      <c r="A994" s="36"/>
      <c r="B994" s="46"/>
      <c r="C994" s="59"/>
      <c r="G994" s="6"/>
    </row>
    <row r="995" spans="1:7" x14ac:dyDescent="0.3">
      <c r="A995" s="36"/>
      <c r="B995" s="46"/>
      <c r="C995" s="59"/>
      <c r="G995" s="6"/>
    </row>
    <row r="996" spans="1:7" x14ac:dyDescent="0.3">
      <c r="A996" s="36"/>
      <c r="B996" s="46"/>
      <c r="C996" s="59"/>
      <c r="G996" s="6"/>
    </row>
    <row r="997" spans="1:7" x14ac:dyDescent="0.3">
      <c r="A997" s="36"/>
      <c r="B997" s="46"/>
      <c r="C997" s="59"/>
      <c r="G997" s="6"/>
    </row>
    <row r="998" spans="1:7" x14ac:dyDescent="0.3">
      <c r="A998" s="36"/>
      <c r="B998" s="46"/>
      <c r="C998" s="59"/>
      <c r="G998" s="6"/>
    </row>
    <row r="999" spans="1:7" x14ac:dyDescent="0.3">
      <c r="A999" s="36"/>
      <c r="B999" s="46"/>
      <c r="C999" s="59"/>
      <c r="G999" s="6"/>
    </row>
  </sheetData>
  <autoFilter ref="A1:A114" xr:uid="{00000000-0009-0000-0000-000003000000}"/>
  <pageMargins left="0.7" right="0.7" top="0.75" bottom="0.75" header="0" footer="0"/>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A8D08D"/>
    <pageSetUpPr fitToPage="1"/>
  </sheetPr>
  <dimension ref="A1:Z995"/>
  <sheetViews>
    <sheetView showGridLines="0" topLeftCell="A13" zoomScale="80" zoomScaleNormal="80" workbookViewId="0">
      <selection activeCell="J3915" sqref="J3915"/>
    </sheetView>
  </sheetViews>
  <sheetFormatPr baseColWidth="10" defaultColWidth="14.44140625" defaultRowHeight="15" customHeight="1" x14ac:dyDescent="0.3"/>
  <cols>
    <col min="1" max="1" width="1" customWidth="1"/>
    <col min="2" max="2" width="11.44140625" customWidth="1"/>
    <col min="3" max="3" width="31.109375" customWidth="1"/>
    <col min="4" max="4" width="55.33203125" customWidth="1"/>
    <col min="5" max="6" width="5.6640625" customWidth="1"/>
    <col min="7" max="7" width="13" customWidth="1"/>
    <col min="8" max="8" width="12" customWidth="1"/>
    <col min="9" max="9" width="24" customWidth="1"/>
    <col min="10" max="10" width="20.88671875" customWidth="1"/>
    <col min="11" max="11" width="18.44140625" customWidth="1"/>
    <col min="12" max="12" width="9.6640625" customWidth="1"/>
    <col min="13" max="13" width="17.33203125" customWidth="1"/>
    <col min="14" max="14" width="16" customWidth="1"/>
    <col min="15" max="15" width="18.44140625" customWidth="1"/>
    <col min="16" max="16" width="17.88671875" customWidth="1"/>
    <col min="17" max="17" width="16.5546875" customWidth="1"/>
    <col min="18" max="18" width="17.109375" customWidth="1"/>
    <col min="19" max="19" width="16.5546875" customWidth="1"/>
    <col min="20" max="21" width="11.44140625" customWidth="1"/>
    <col min="22" max="26" width="10.6640625" customWidth="1"/>
  </cols>
  <sheetData>
    <row r="1" spans="1:26" ht="10.5" customHeight="1" x14ac:dyDescent="0.3">
      <c r="B1" s="36"/>
      <c r="C1" s="36"/>
      <c r="D1" s="6"/>
      <c r="E1" s="36"/>
      <c r="F1" s="36"/>
      <c r="G1" s="6"/>
      <c r="H1" s="37"/>
      <c r="I1" s="36"/>
      <c r="J1" s="36"/>
      <c r="K1" s="60"/>
      <c r="M1" s="61"/>
      <c r="N1" s="61"/>
      <c r="O1" s="61"/>
      <c r="P1" s="61"/>
      <c r="Q1" s="61"/>
      <c r="R1" s="61"/>
      <c r="S1" s="62"/>
      <c r="T1" s="62"/>
      <c r="U1" s="62"/>
    </row>
    <row r="2" spans="1:26" ht="24.75" customHeight="1" x14ac:dyDescent="0.3">
      <c r="B2" s="433" t="s">
        <v>267</v>
      </c>
      <c r="C2" s="420"/>
      <c r="D2" s="420"/>
      <c r="E2" s="420"/>
      <c r="F2" s="420"/>
      <c r="G2" s="420"/>
      <c r="H2" s="420"/>
      <c r="I2" s="434"/>
      <c r="J2" s="420"/>
      <c r="K2" s="420"/>
      <c r="M2" s="61"/>
      <c r="N2" s="61"/>
      <c r="O2" s="61"/>
      <c r="P2" s="61"/>
      <c r="Q2" s="61"/>
      <c r="R2" s="61"/>
      <c r="S2" s="62"/>
      <c r="T2" s="62"/>
      <c r="U2" s="62"/>
    </row>
    <row r="3" spans="1:26" ht="24.75" customHeight="1" x14ac:dyDescent="0.3">
      <c r="B3" s="433" t="s">
        <v>612</v>
      </c>
      <c r="C3" s="420"/>
      <c r="D3" s="420"/>
      <c r="E3" s="420"/>
      <c r="F3" s="420"/>
      <c r="G3" s="420"/>
      <c r="H3" s="420"/>
      <c r="I3" s="420"/>
      <c r="J3" s="420"/>
      <c r="K3" s="420"/>
      <c r="M3" s="61"/>
      <c r="N3" s="61"/>
      <c r="O3" s="8"/>
      <c r="P3" s="61"/>
      <c r="Q3" s="61"/>
      <c r="R3" s="61"/>
      <c r="S3" s="62"/>
      <c r="T3" s="62"/>
      <c r="U3" s="62"/>
    </row>
    <row r="4" spans="1:26" ht="24.75" customHeight="1" x14ac:dyDescent="0.3">
      <c r="B4" s="433" t="s">
        <v>268</v>
      </c>
      <c r="C4" s="420"/>
      <c r="D4" s="420"/>
      <c r="E4" s="420"/>
      <c r="F4" s="420"/>
      <c r="G4" s="420"/>
      <c r="H4" s="420"/>
      <c r="I4" s="420"/>
      <c r="J4" s="420"/>
      <c r="K4" s="420"/>
      <c r="M4" s="61"/>
      <c r="N4" s="61"/>
      <c r="O4" s="61"/>
      <c r="P4" s="61"/>
      <c r="Q4" s="61"/>
      <c r="R4" s="61"/>
      <c r="S4" s="62"/>
      <c r="T4" s="62"/>
      <c r="U4" s="62"/>
    </row>
    <row r="5" spans="1:26" ht="14.4" x14ac:dyDescent="0.3">
      <c r="D5" s="48"/>
      <c r="G5" s="63"/>
      <c r="H5" s="64"/>
      <c r="I5" s="420"/>
      <c r="J5" s="420"/>
      <c r="K5" s="420"/>
      <c r="M5" s="61"/>
      <c r="N5" s="61"/>
      <c r="O5" s="61"/>
      <c r="P5" s="61"/>
      <c r="Q5" s="61"/>
      <c r="R5" s="61"/>
      <c r="S5" s="62"/>
      <c r="T5" s="62"/>
      <c r="U5" s="62"/>
    </row>
    <row r="6" spans="1:26" ht="18.75" customHeight="1" x14ac:dyDescent="0.35">
      <c r="A6" s="65"/>
      <c r="B6" s="435" t="s">
        <v>269</v>
      </c>
      <c r="C6" s="373"/>
      <c r="D6" s="436" t="str">
        <f>+B3</f>
        <v>MEJORAMIENTO DE LA INFRAESTRUCTURA DEL PARQUE NACIONAL NATURAL EL TUPARRO</v>
      </c>
      <c r="E6" s="372"/>
      <c r="F6" s="372"/>
      <c r="G6" s="372"/>
      <c r="H6" s="372"/>
      <c r="I6" s="373"/>
      <c r="J6" s="66" t="s">
        <v>270</v>
      </c>
      <c r="K6" s="67">
        <v>3</v>
      </c>
      <c r="L6" s="65"/>
      <c r="M6" s="68"/>
      <c r="N6" s="68"/>
      <c r="O6" s="68"/>
      <c r="P6" s="68"/>
      <c r="Q6" s="68"/>
      <c r="R6" s="68"/>
      <c r="S6" s="69"/>
      <c r="T6" s="69"/>
      <c r="U6" s="69"/>
      <c r="V6" s="65"/>
      <c r="W6" s="65"/>
      <c r="X6" s="65"/>
      <c r="Y6" s="65"/>
      <c r="Z6" s="65"/>
    </row>
    <row r="7" spans="1:26" ht="28.5" customHeight="1" x14ac:dyDescent="0.3">
      <c r="B7" s="437" t="s">
        <v>43</v>
      </c>
      <c r="C7" s="439" t="s">
        <v>271</v>
      </c>
      <c r="D7" s="418"/>
      <c r="E7" s="440" t="s">
        <v>272</v>
      </c>
      <c r="F7" s="373"/>
      <c r="G7" s="437" t="s">
        <v>273</v>
      </c>
      <c r="H7" s="441" t="s">
        <v>274</v>
      </c>
      <c r="I7" s="437" t="s">
        <v>275</v>
      </c>
      <c r="J7" s="442" t="s">
        <v>276</v>
      </c>
      <c r="K7" s="443" t="s">
        <v>277</v>
      </c>
      <c r="M7" s="61"/>
      <c r="N7" s="61"/>
      <c r="O7" s="61"/>
      <c r="P7" s="61"/>
      <c r="Q7" s="61"/>
      <c r="R7" s="61"/>
      <c r="S7" s="62"/>
      <c r="T7" s="62"/>
      <c r="U7" s="62"/>
    </row>
    <row r="8" spans="1:26" ht="14.4" x14ac:dyDescent="0.3">
      <c r="B8" s="438"/>
      <c r="C8" s="422"/>
      <c r="D8" s="424"/>
      <c r="E8" s="70" t="s">
        <v>278</v>
      </c>
      <c r="F8" s="70" t="s">
        <v>279</v>
      </c>
      <c r="G8" s="438"/>
      <c r="H8" s="438"/>
      <c r="I8" s="438"/>
      <c r="J8" s="438"/>
      <c r="K8" s="438"/>
      <c r="M8" s="61"/>
      <c r="N8" s="61"/>
      <c r="O8" s="61"/>
      <c r="P8" s="61"/>
      <c r="Q8" s="61"/>
      <c r="R8" s="61"/>
      <c r="S8" s="62"/>
      <c r="T8" s="62"/>
      <c r="U8" s="62"/>
    </row>
    <row r="9" spans="1:26" ht="8.25" customHeight="1" x14ac:dyDescent="0.3">
      <c r="B9" s="36"/>
      <c r="C9" s="36"/>
      <c r="D9" s="6"/>
      <c r="E9" s="36"/>
      <c r="F9" s="36"/>
      <c r="G9" s="6"/>
      <c r="H9" s="37"/>
      <c r="I9" s="36"/>
      <c r="J9" s="36"/>
      <c r="K9" s="60"/>
      <c r="M9" s="61"/>
      <c r="N9" s="61"/>
      <c r="O9" s="61"/>
      <c r="P9" s="61"/>
      <c r="Q9" s="61"/>
      <c r="R9" s="61"/>
      <c r="S9" s="62"/>
      <c r="T9" s="62"/>
      <c r="U9" s="62"/>
    </row>
    <row r="10" spans="1:26" ht="14.4" x14ac:dyDescent="0.3">
      <c r="B10" s="71">
        <v>1</v>
      </c>
      <c r="C10" s="432" t="s">
        <v>280</v>
      </c>
      <c r="D10" s="372"/>
      <c r="E10" s="372"/>
      <c r="F10" s="372"/>
      <c r="G10" s="372"/>
      <c r="H10" s="372"/>
      <c r="I10" s="372"/>
      <c r="J10" s="373"/>
      <c r="K10" s="72">
        <f>ROUND(SUBTOTAL(9,K11:K16),0)</f>
        <v>33743605</v>
      </c>
      <c r="L10" s="73" t="e">
        <f>K10/$K$40</f>
        <v>#DIV/0!</v>
      </c>
      <c r="M10" s="61"/>
      <c r="N10" s="61"/>
      <c r="O10" s="61"/>
      <c r="P10" s="61"/>
      <c r="Q10" s="61"/>
      <c r="R10" s="61"/>
      <c r="S10" s="62"/>
      <c r="T10" s="62"/>
      <c r="U10" s="62"/>
    </row>
    <row r="11" spans="1:26" ht="108" customHeight="1" x14ac:dyDescent="0.3">
      <c r="B11" s="74">
        <f t="shared" ref="B11:B15" si="0">B10+0.01</f>
        <v>1.01</v>
      </c>
      <c r="C11" s="297" t="s">
        <v>281</v>
      </c>
      <c r="D11" s="75" t="s">
        <v>282</v>
      </c>
      <c r="E11" s="76">
        <v>1</v>
      </c>
      <c r="F11" s="76">
        <v>0</v>
      </c>
      <c r="G11" s="77">
        <v>0.5</v>
      </c>
      <c r="H11" s="78">
        <v>3</v>
      </c>
      <c r="I11" s="79">
        <f>+ROUND('MER PERS DIS'!A3,0)</f>
        <v>5180712</v>
      </c>
      <c r="J11" s="80">
        <f>+ROUND(IF(I11&gt;$O$3,'FACTOR PRESTACIONAL'!$C$19,'FACTOR PRESTACIONAL'!#REF!),4)</f>
        <v>1.623</v>
      </c>
      <c r="K11" s="81">
        <f>ROUND(E11*I11*G11*J11*H11,0)</f>
        <v>12612443</v>
      </c>
      <c r="L11" s="73"/>
      <c r="M11" s="61"/>
      <c r="N11" s="61"/>
      <c r="O11" s="61"/>
      <c r="P11" s="61"/>
      <c r="Q11" s="61"/>
      <c r="R11" s="61"/>
      <c r="S11" s="62"/>
      <c r="T11" s="62"/>
      <c r="U11" s="62"/>
    </row>
    <row r="12" spans="1:26" ht="99" customHeight="1" x14ac:dyDescent="0.3">
      <c r="B12" s="74">
        <f>B11+0.01</f>
        <v>1.02</v>
      </c>
      <c r="C12" s="75" t="s">
        <v>599</v>
      </c>
      <c r="D12" s="75" t="s">
        <v>600</v>
      </c>
      <c r="E12" s="76">
        <v>1</v>
      </c>
      <c r="F12" s="76">
        <v>0</v>
      </c>
      <c r="G12" s="77">
        <v>0.5</v>
      </c>
      <c r="H12" s="78">
        <v>2</v>
      </c>
      <c r="I12" s="79">
        <f>+ROUND('MER PERS DIS'!A10,0)</f>
        <v>1776946</v>
      </c>
      <c r="J12" s="80">
        <f>+ROUND(IF(I12&gt;$O$3,'FACTOR PRESTACIONAL'!$C$19,'FACTOR PRESTACIONAL'!#REF!),4)</f>
        <v>1.623</v>
      </c>
      <c r="K12" s="81">
        <f>ROUND(E12*I12*G12*J12*H12,0)</f>
        <v>2883983</v>
      </c>
      <c r="L12" s="73"/>
      <c r="M12" s="61"/>
      <c r="N12" s="61"/>
      <c r="O12" s="61"/>
      <c r="P12" s="61"/>
      <c r="Q12" s="61"/>
      <c r="R12" s="61"/>
      <c r="S12" s="62"/>
      <c r="T12" s="62"/>
      <c r="U12" s="62"/>
    </row>
    <row r="13" spans="1:26" ht="111" customHeight="1" x14ac:dyDescent="0.3">
      <c r="B13" s="74">
        <f t="shared" si="0"/>
        <v>1.03</v>
      </c>
      <c r="C13" s="75" t="s">
        <v>283</v>
      </c>
      <c r="D13" s="75" t="s">
        <v>805</v>
      </c>
      <c r="E13" s="76">
        <v>1</v>
      </c>
      <c r="F13" s="76">
        <v>0</v>
      </c>
      <c r="G13" s="77">
        <v>0.2</v>
      </c>
      <c r="H13" s="78">
        <v>2</v>
      </c>
      <c r="I13" s="79">
        <f>+ROUND('MER PERS DIS'!A7,0)</f>
        <v>2915615</v>
      </c>
      <c r="J13" s="80">
        <f>+ROUND(IF(I13&gt;$O$3,'FACTOR PRESTACIONAL'!$C$19,'FACTOR PRESTACIONAL'!#REF!),4)</f>
        <v>1.623</v>
      </c>
      <c r="K13" s="81">
        <f t="shared" ref="K13" si="1">ROUND(E13*I13*G13*J13*H13,0)</f>
        <v>1892817</v>
      </c>
      <c r="L13" s="73"/>
      <c r="M13" s="83"/>
      <c r="N13" s="61"/>
      <c r="O13" s="61"/>
      <c r="P13" s="61"/>
      <c r="Q13" s="61"/>
      <c r="R13" s="61"/>
      <c r="S13" s="62"/>
      <c r="T13" s="62"/>
      <c r="U13" s="62"/>
    </row>
    <row r="14" spans="1:26" ht="122.25" customHeight="1" x14ac:dyDescent="0.3">
      <c r="B14" s="74">
        <f t="shared" si="0"/>
        <v>1.04</v>
      </c>
      <c r="C14" s="75" t="s">
        <v>284</v>
      </c>
      <c r="D14" s="75" t="s">
        <v>804</v>
      </c>
      <c r="E14" s="76">
        <v>1</v>
      </c>
      <c r="F14" s="76">
        <v>0</v>
      </c>
      <c r="G14" s="77">
        <v>0.5</v>
      </c>
      <c r="H14" s="78">
        <v>3</v>
      </c>
      <c r="I14" s="79">
        <f>+ROUND('MER PERS DIS'!A6,0)</f>
        <v>3163858</v>
      </c>
      <c r="J14" s="80">
        <f>+ROUND(IF(I14&gt;$O$3,'FACTOR PRESTACIONAL'!$C$19,'FACTOR PRESTACIONAL'!#REF!),4)</f>
        <v>1.623</v>
      </c>
      <c r="K14" s="81">
        <f>ROUND(E14*I14*G14*J14*H14,0)</f>
        <v>7702412</v>
      </c>
      <c r="L14" s="73"/>
      <c r="M14" s="61"/>
      <c r="N14" s="61"/>
      <c r="O14" s="61"/>
      <c r="P14" s="61"/>
      <c r="Q14" s="61"/>
      <c r="R14" s="61"/>
      <c r="S14" s="62"/>
      <c r="T14" s="62"/>
      <c r="U14" s="62"/>
    </row>
    <row r="15" spans="1:26" ht="122.25" customHeight="1" x14ac:dyDescent="0.3">
      <c r="B15" s="74">
        <f t="shared" si="0"/>
        <v>1.05</v>
      </c>
      <c r="C15" s="75" t="s">
        <v>803</v>
      </c>
      <c r="D15" s="75"/>
      <c r="E15" s="76">
        <v>1</v>
      </c>
      <c r="F15" s="76">
        <v>0</v>
      </c>
      <c r="G15" s="77">
        <v>1</v>
      </c>
      <c r="H15" s="78">
        <v>3</v>
      </c>
      <c r="I15" s="79">
        <v>1776946</v>
      </c>
      <c r="J15" s="80">
        <f>+ROUND(IF(I15&gt;$O$3,'FACTOR PRESTACIONAL'!$C$19,'FACTOR PRESTACIONAL'!#REF!),4)</f>
        <v>1.623</v>
      </c>
      <c r="K15" s="81">
        <f>ROUND(E15*I15*G15*J15*H15,0)</f>
        <v>8651950</v>
      </c>
      <c r="L15" s="73"/>
      <c r="M15" s="61"/>
      <c r="N15" s="61"/>
      <c r="O15" s="61"/>
      <c r="P15" s="61"/>
      <c r="Q15" s="61"/>
      <c r="R15" s="61"/>
      <c r="S15" s="62"/>
      <c r="T15" s="62"/>
      <c r="U15" s="62"/>
    </row>
    <row r="16" spans="1:26" ht="15.75" customHeight="1" x14ac:dyDescent="0.3">
      <c r="B16" s="84"/>
      <c r="C16" s="444"/>
      <c r="D16" s="445"/>
      <c r="E16" s="85"/>
      <c r="F16" s="85"/>
      <c r="G16" s="86"/>
      <c r="H16" s="84"/>
      <c r="I16" s="87"/>
      <c r="J16" s="84"/>
      <c r="K16" s="88"/>
      <c r="L16" s="73"/>
      <c r="M16" s="61"/>
      <c r="N16" s="61"/>
      <c r="O16" s="61"/>
      <c r="P16" s="61"/>
      <c r="Q16" s="61"/>
      <c r="R16" s="61"/>
      <c r="S16" s="62"/>
      <c r="T16" s="62"/>
      <c r="U16" s="62"/>
    </row>
    <row r="17" spans="1:26" ht="15.75" customHeight="1" x14ac:dyDescent="0.3">
      <c r="B17" s="89"/>
      <c r="C17" s="90"/>
      <c r="D17" s="91"/>
      <c r="E17" s="92"/>
      <c r="F17" s="92"/>
      <c r="G17" s="93"/>
      <c r="H17" s="94"/>
      <c r="I17" s="95"/>
      <c r="J17" s="96"/>
      <c r="K17" s="97"/>
      <c r="L17" s="73"/>
      <c r="M17" s="61"/>
      <c r="N17" s="61"/>
      <c r="O17" s="61"/>
      <c r="P17" s="61"/>
      <c r="Q17" s="61"/>
      <c r="R17" s="61"/>
      <c r="S17" s="62"/>
      <c r="T17" s="62"/>
      <c r="U17" s="62"/>
    </row>
    <row r="18" spans="1:26" ht="15.75" customHeight="1" x14ac:dyDescent="0.3">
      <c r="A18" s="62"/>
      <c r="B18" s="71">
        <v>2</v>
      </c>
      <c r="C18" s="446" t="s">
        <v>285</v>
      </c>
      <c r="D18" s="372"/>
      <c r="E18" s="372"/>
      <c r="F18" s="372"/>
      <c r="G18" s="372"/>
      <c r="H18" s="372"/>
      <c r="I18" s="372"/>
      <c r="J18" s="373"/>
      <c r="K18" s="72">
        <f>SUM(K20:K31)</f>
        <v>11685000</v>
      </c>
      <c r="L18" s="73" t="e">
        <f>K18/$K$40</f>
        <v>#DIV/0!</v>
      </c>
      <c r="M18" s="61"/>
      <c r="N18" s="61"/>
      <c r="O18" s="61"/>
      <c r="P18" s="61"/>
      <c r="Q18" s="61"/>
      <c r="R18" s="61"/>
      <c r="S18" s="62"/>
      <c r="T18" s="62"/>
      <c r="U18" s="62"/>
      <c r="V18" s="62"/>
      <c r="W18" s="62"/>
      <c r="X18" s="62"/>
      <c r="Y18" s="62"/>
      <c r="Z18" s="62"/>
    </row>
    <row r="19" spans="1:26" ht="15.75" customHeight="1" x14ac:dyDescent="0.3">
      <c r="A19" s="62"/>
      <c r="B19" s="447" t="s">
        <v>286</v>
      </c>
      <c r="C19" s="420"/>
      <c r="D19" s="420"/>
      <c r="E19" s="420"/>
      <c r="F19" s="420"/>
      <c r="G19" s="420"/>
      <c r="H19" s="98" t="s">
        <v>287</v>
      </c>
      <c r="I19" s="98" t="s">
        <v>46</v>
      </c>
      <c r="J19" s="99" t="s">
        <v>288</v>
      </c>
      <c r="K19" s="100" t="s">
        <v>289</v>
      </c>
      <c r="M19" s="61"/>
      <c r="N19" s="61"/>
      <c r="O19" s="61"/>
      <c r="P19" s="61"/>
      <c r="Q19" s="61"/>
      <c r="R19" s="61"/>
      <c r="S19" s="62"/>
      <c r="T19" s="62"/>
      <c r="U19" s="62"/>
      <c r="V19" s="62"/>
      <c r="W19" s="62"/>
      <c r="X19" s="62"/>
      <c r="Y19" s="62"/>
      <c r="Z19" s="62"/>
    </row>
    <row r="20" spans="1:26" ht="15.75" customHeight="1" x14ac:dyDescent="0.3">
      <c r="B20" s="74">
        <f>B18+0.01</f>
        <v>2.0099999999999998</v>
      </c>
      <c r="C20" s="448" t="s">
        <v>290</v>
      </c>
      <c r="D20" s="372"/>
      <c r="E20" s="372"/>
      <c r="F20" s="372"/>
      <c r="G20" s="373"/>
      <c r="H20" s="78" t="s">
        <v>291</v>
      </c>
      <c r="I20" s="78">
        <v>0</v>
      </c>
      <c r="J20" s="101">
        <v>2344980</v>
      </c>
      <c r="K20" s="102">
        <f t="shared" ref="K20:K29" si="2">+ROUND(I20*J20,0)</f>
        <v>0</v>
      </c>
      <c r="M20" s="61"/>
      <c r="N20" s="61"/>
      <c r="O20" s="61"/>
      <c r="P20" s="61"/>
      <c r="Q20" s="61"/>
      <c r="R20" s="61"/>
      <c r="S20" s="62"/>
      <c r="T20" s="62"/>
      <c r="U20" s="62"/>
    </row>
    <row r="21" spans="1:26" ht="15.75" customHeight="1" x14ac:dyDescent="0.3">
      <c r="B21" s="74">
        <f t="shared" ref="B21:B23" si="3">B20+0.01</f>
        <v>2.0199999999999996</v>
      </c>
      <c r="C21" s="448" t="s">
        <v>292</v>
      </c>
      <c r="D21" s="372"/>
      <c r="E21" s="372"/>
      <c r="F21" s="372"/>
      <c r="G21" s="373"/>
      <c r="H21" s="78" t="s">
        <v>102</v>
      </c>
      <c r="I21" s="78">
        <v>1</v>
      </c>
      <c r="J21" s="101">
        <f>+ROUND(K40*0.4%/K6,0)*0+1185000</f>
        <v>1185000</v>
      </c>
      <c r="K21" s="102">
        <f t="shared" si="2"/>
        <v>1185000</v>
      </c>
      <c r="M21" s="61"/>
      <c r="N21" s="61"/>
      <c r="O21" s="61"/>
      <c r="P21" s="61"/>
      <c r="Q21" s="61"/>
      <c r="R21" s="61"/>
      <c r="S21" s="62"/>
      <c r="T21" s="62"/>
      <c r="U21" s="62"/>
    </row>
    <row r="22" spans="1:26" ht="33" customHeight="1" x14ac:dyDescent="0.3">
      <c r="B22" s="74">
        <f t="shared" si="3"/>
        <v>2.0299999999999994</v>
      </c>
      <c r="C22" s="449" t="s">
        <v>293</v>
      </c>
      <c r="D22" s="372"/>
      <c r="E22" s="372"/>
      <c r="F22" s="372"/>
      <c r="G22" s="373"/>
      <c r="H22" s="78" t="s">
        <v>291</v>
      </c>
      <c r="I22" s="78">
        <v>1</v>
      </c>
      <c r="J22" s="101">
        <f>+ROUND(K40*0.6%/K6,0)*0+3000000</f>
        <v>3000000</v>
      </c>
      <c r="K22" s="102">
        <f t="shared" si="2"/>
        <v>3000000</v>
      </c>
      <c r="M22" s="61"/>
      <c r="N22" s="61"/>
      <c r="O22" s="61"/>
      <c r="P22" s="61"/>
      <c r="Q22" s="61"/>
      <c r="R22" s="61"/>
      <c r="S22" s="62"/>
      <c r="T22" s="62"/>
      <c r="U22" s="62"/>
    </row>
    <row r="23" spans="1:26" ht="15.75" customHeight="1" x14ac:dyDescent="0.3">
      <c r="B23" s="74">
        <f t="shared" si="3"/>
        <v>2.0399999999999991</v>
      </c>
      <c r="C23" s="448" t="s">
        <v>294</v>
      </c>
      <c r="D23" s="372"/>
      <c r="E23" s="372"/>
      <c r="F23" s="372"/>
      <c r="G23" s="373"/>
      <c r="H23" s="78" t="s">
        <v>295</v>
      </c>
      <c r="I23" s="78">
        <f>+K6</f>
        <v>3</v>
      </c>
      <c r="J23" s="101">
        <v>0</v>
      </c>
      <c r="K23" s="102">
        <f t="shared" si="2"/>
        <v>0</v>
      </c>
      <c r="M23" s="61"/>
      <c r="N23" s="61"/>
      <c r="O23" s="61"/>
      <c r="P23" s="61"/>
      <c r="Q23" s="61"/>
      <c r="R23" s="61"/>
      <c r="S23" s="62"/>
      <c r="T23" s="62"/>
      <c r="U23" s="62"/>
    </row>
    <row r="24" spans="1:26" ht="15.75" hidden="1" customHeight="1" x14ac:dyDescent="0.3">
      <c r="B24" s="74"/>
      <c r="C24" s="448"/>
      <c r="D24" s="372"/>
      <c r="E24" s="372"/>
      <c r="F24" s="372"/>
      <c r="G24" s="373"/>
      <c r="H24" s="78" t="s">
        <v>102</v>
      </c>
      <c r="I24" s="78"/>
      <c r="J24" s="101">
        <f>+ROUND(K40*0.3%,0)*0+1500000</f>
        <v>1500000</v>
      </c>
      <c r="K24" s="102">
        <f t="shared" si="2"/>
        <v>0</v>
      </c>
      <c r="M24" s="61"/>
      <c r="N24" s="61"/>
      <c r="O24" s="61"/>
      <c r="P24" s="61"/>
      <c r="Q24" s="61"/>
      <c r="R24" s="61"/>
      <c r="S24" s="62"/>
      <c r="T24" s="62"/>
      <c r="U24" s="62"/>
    </row>
    <row r="25" spans="1:26" ht="15.75" customHeight="1" x14ac:dyDescent="0.3">
      <c r="B25" s="74">
        <f>B23+0.01</f>
        <v>2.0499999999999989</v>
      </c>
      <c r="C25" s="448" t="s">
        <v>296</v>
      </c>
      <c r="D25" s="372"/>
      <c r="E25" s="372"/>
      <c r="F25" s="372"/>
      <c r="G25" s="373"/>
      <c r="H25" s="78" t="s">
        <v>295</v>
      </c>
      <c r="I25" s="78">
        <f>+K6</f>
        <v>3</v>
      </c>
      <c r="J25" s="101">
        <v>0</v>
      </c>
      <c r="K25" s="102">
        <f t="shared" si="2"/>
        <v>0</v>
      </c>
      <c r="M25" s="61"/>
      <c r="N25" s="61"/>
      <c r="O25" s="61"/>
      <c r="P25" s="61"/>
      <c r="Q25" s="61"/>
      <c r="R25" s="61"/>
      <c r="S25" s="62"/>
      <c r="T25" s="62"/>
      <c r="U25" s="62"/>
    </row>
    <row r="26" spans="1:26" ht="15.75" hidden="1" customHeight="1" x14ac:dyDescent="0.3">
      <c r="B26" s="74"/>
      <c r="C26" s="448"/>
      <c r="D26" s="372"/>
      <c r="E26" s="372"/>
      <c r="F26" s="372"/>
      <c r="G26" s="373"/>
      <c r="H26" s="78"/>
      <c r="I26" s="78"/>
      <c r="J26" s="101">
        <v>86000</v>
      </c>
      <c r="K26" s="102">
        <f t="shared" si="2"/>
        <v>0</v>
      </c>
      <c r="M26" s="61"/>
      <c r="N26" s="61"/>
      <c r="O26" s="61"/>
      <c r="P26" s="61"/>
      <c r="Q26" s="61"/>
      <c r="R26" s="61"/>
      <c r="S26" s="62"/>
      <c r="T26" s="62"/>
      <c r="U26" s="62"/>
    </row>
    <row r="27" spans="1:26" ht="15.75" hidden="1" customHeight="1" x14ac:dyDescent="0.3">
      <c r="B27" s="74">
        <f t="shared" ref="B27:B31" si="4">B26+0.01</f>
        <v>0.01</v>
      </c>
      <c r="C27" s="448" t="s">
        <v>297</v>
      </c>
      <c r="D27" s="372"/>
      <c r="E27" s="372"/>
      <c r="F27" s="372"/>
      <c r="G27" s="373"/>
      <c r="H27" s="78" t="s">
        <v>295</v>
      </c>
      <c r="I27" s="78"/>
      <c r="J27" s="101">
        <f>+ROUND(K40*0.2%/K6,0)*0+1200000</f>
        <v>1200000</v>
      </c>
      <c r="K27" s="102">
        <f t="shared" si="2"/>
        <v>0</v>
      </c>
      <c r="M27" s="61"/>
      <c r="N27" s="61"/>
      <c r="O27" s="61"/>
      <c r="P27" s="61"/>
      <c r="Q27" s="61"/>
      <c r="R27" s="61"/>
      <c r="S27" s="62"/>
      <c r="T27" s="62"/>
      <c r="U27" s="62"/>
    </row>
    <row r="28" spans="1:26" ht="15.75" hidden="1" customHeight="1" x14ac:dyDescent="0.3">
      <c r="B28" s="74">
        <f t="shared" si="4"/>
        <v>0.02</v>
      </c>
      <c r="C28" s="448" t="s">
        <v>298</v>
      </c>
      <c r="D28" s="372"/>
      <c r="E28" s="372"/>
      <c r="F28" s="372"/>
      <c r="G28" s="373"/>
      <c r="H28" s="78" t="s">
        <v>295</v>
      </c>
      <c r="I28" s="78"/>
      <c r="J28" s="101">
        <v>900000</v>
      </c>
      <c r="K28" s="102">
        <f t="shared" si="2"/>
        <v>0</v>
      </c>
      <c r="M28" s="61"/>
      <c r="N28" s="61"/>
      <c r="O28" s="61"/>
      <c r="P28" s="61"/>
      <c r="Q28" s="61"/>
      <c r="R28" s="61"/>
      <c r="S28" s="62"/>
      <c r="T28" s="62"/>
      <c r="U28" s="62"/>
    </row>
    <row r="29" spans="1:26" ht="15.75" customHeight="1" x14ac:dyDescent="0.3">
      <c r="B29" s="78">
        <f>B25+0.01</f>
        <v>2.0599999999999987</v>
      </c>
      <c r="C29" s="450" t="s">
        <v>488</v>
      </c>
      <c r="D29" s="372"/>
      <c r="E29" s="372"/>
      <c r="F29" s="372"/>
      <c r="G29" s="373"/>
      <c r="H29" s="78" t="s">
        <v>295</v>
      </c>
      <c r="I29" s="78">
        <f>+I25</f>
        <v>3</v>
      </c>
      <c r="J29" s="101">
        <v>2500000</v>
      </c>
      <c r="K29" s="102">
        <f t="shared" si="2"/>
        <v>7500000</v>
      </c>
      <c r="M29" s="61"/>
      <c r="N29" s="61"/>
      <c r="O29" s="61"/>
      <c r="P29" s="61"/>
      <c r="Q29" s="61"/>
      <c r="R29" s="61"/>
      <c r="S29" s="62"/>
      <c r="T29" s="62"/>
      <c r="U29" s="62"/>
    </row>
    <row r="30" spans="1:26" ht="15.75" hidden="1" customHeight="1" x14ac:dyDescent="0.3">
      <c r="B30" s="78">
        <f t="shared" si="4"/>
        <v>2.0699999999999985</v>
      </c>
      <c r="C30" s="448"/>
      <c r="D30" s="372"/>
      <c r="E30" s="372"/>
      <c r="F30" s="372"/>
      <c r="G30" s="373"/>
      <c r="H30" s="78"/>
      <c r="I30" s="78"/>
      <c r="J30" s="101"/>
      <c r="K30" s="102"/>
      <c r="M30" s="61"/>
      <c r="N30" s="61"/>
      <c r="O30" s="61"/>
      <c r="P30" s="61"/>
      <c r="Q30" s="61"/>
      <c r="R30" s="61"/>
      <c r="S30" s="62"/>
      <c r="T30" s="62"/>
      <c r="U30" s="62"/>
    </row>
    <row r="31" spans="1:26" ht="15.75" hidden="1" customHeight="1" x14ac:dyDescent="0.3">
      <c r="B31" s="78">
        <f t="shared" si="4"/>
        <v>2.0799999999999983</v>
      </c>
      <c r="C31" s="448"/>
      <c r="D31" s="372"/>
      <c r="E31" s="372"/>
      <c r="F31" s="372"/>
      <c r="G31" s="373"/>
      <c r="H31" s="78"/>
      <c r="I31" s="78"/>
      <c r="J31" s="101"/>
      <c r="K31" s="102">
        <f>+ROUND(I31*J31,0)</f>
        <v>0</v>
      </c>
      <c r="M31" s="61"/>
      <c r="N31" s="61"/>
      <c r="O31" s="61"/>
      <c r="P31" s="61"/>
      <c r="Q31" s="61"/>
      <c r="R31" s="61"/>
      <c r="S31" s="62"/>
      <c r="T31" s="62"/>
      <c r="U31" s="62"/>
    </row>
    <row r="32" spans="1:26" ht="15.75" customHeight="1" x14ac:dyDescent="0.3">
      <c r="B32" s="71">
        <v>3</v>
      </c>
      <c r="C32" s="432" t="s">
        <v>299</v>
      </c>
      <c r="D32" s="372"/>
      <c r="E32" s="372"/>
      <c r="F32" s="372"/>
      <c r="G32" s="372"/>
      <c r="H32" s="372"/>
      <c r="I32" s="372"/>
      <c r="J32" s="373"/>
      <c r="K32" s="72">
        <f>SUBTOTAL(9,K33)</f>
        <v>1205357</v>
      </c>
      <c r="L32" s="73" t="e">
        <f>K32/$K$40</f>
        <v>#DIV/0!</v>
      </c>
      <c r="M32" s="61"/>
      <c r="N32" s="61"/>
      <c r="O32" s="61"/>
      <c r="P32" s="61"/>
      <c r="Q32" s="61"/>
      <c r="R32" s="61"/>
      <c r="S32" s="62"/>
      <c r="T32" s="62"/>
      <c r="U32" s="62"/>
    </row>
    <row r="33" spans="1:26" ht="15.75" customHeight="1" x14ac:dyDescent="0.3">
      <c r="B33" s="74" t="s">
        <v>300</v>
      </c>
      <c r="C33" s="448" t="s">
        <v>301</v>
      </c>
      <c r="D33" s="372"/>
      <c r="E33" s="372"/>
      <c r="F33" s="372"/>
      <c r="G33" s="372"/>
      <c r="H33" s="372"/>
      <c r="I33" s="372"/>
      <c r="J33" s="373"/>
      <c r="K33" s="102">
        <f>'CÁLCULO POLIZAS'!H24</f>
        <v>1205357</v>
      </c>
      <c r="L33" s="73"/>
      <c r="M33" s="61"/>
      <c r="N33" s="61"/>
      <c r="O33" s="61"/>
      <c r="P33" s="61"/>
      <c r="Q33" s="61"/>
      <c r="R33" s="61"/>
      <c r="S33" s="62"/>
      <c r="T33" s="62"/>
      <c r="U33" s="62"/>
    </row>
    <row r="34" spans="1:26" ht="15.75" customHeight="1" x14ac:dyDescent="0.3">
      <c r="B34" s="71">
        <v>4</v>
      </c>
      <c r="C34" s="432" t="s">
        <v>302</v>
      </c>
      <c r="D34" s="372"/>
      <c r="E34" s="372"/>
      <c r="F34" s="372"/>
      <c r="G34" s="372"/>
      <c r="H34" s="372"/>
      <c r="I34" s="372"/>
      <c r="J34" s="373"/>
      <c r="K34" s="72">
        <f>SUBTOTAL(9,K35:K39)</f>
        <v>3684084</v>
      </c>
      <c r="L34" s="73" t="e">
        <f>K34/$K$40</f>
        <v>#DIV/0!</v>
      </c>
      <c r="M34" s="61"/>
      <c r="N34" s="61"/>
      <c r="O34" s="61"/>
      <c r="P34" s="61"/>
      <c r="Q34" s="61"/>
      <c r="R34" s="61"/>
      <c r="S34" s="62"/>
      <c r="T34" s="62"/>
      <c r="U34" s="62"/>
    </row>
    <row r="35" spans="1:26" ht="30" customHeight="1" x14ac:dyDescent="0.3">
      <c r="A35" s="62"/>
      <c r="B35" s="74">
        <f t="shared" ref="B35:B39" si="5">B34+0.1</f>
        <v>4.0999999999999996</v>
      </c>
      <c r="C35" s="426" t="s">
        <v>303</v>
      </c>
      <c r="D35" s="373"/>
      <c r="E35" s="416" t="s">
        <v>304</v>
      </c>
      <c r="F35" s="417"/>
      <c r="G35" s="418"/>
      <c r="H35" s="425">
        <f>+K10+K18+K32+K40+K42+K43</f>
        <v>46633962</v>
      </c>
      <c r="I35" s="418"/>
      <c r="J35" s="77">
        <v>0.01</v>
      </c>
      <c r="K35" s="102">
        <f>ROUND(+$H$35*J35,0)</f>
        <v>466340</v>
      </c>
      <c r="M35" s="103"/>
      <c r="N35" s="61"/>
      <c r="O35" s="61"/>
      <c r="P35" s="61"/>
      <c r="Q35" s="61"/>
      <c r="R35" s="61"/>
      <c r="S35" s="62"/>
      <c r="T35" s="62"/>
      <c r="U35" s="62"/>
      <c r="V35" s="62"/>
      <c r="W35" s="62"/>
      <c r="X35" s="62"/>
      <c r="Y35" s="62"/>
      <c r="Z35" s="62"/>
    </row>
    <row r="36" spans="1:26" ht="30" customHeight="1" x14ac:dyDescent="0.3">
      <c r="A36" s="62"/>
      <c r="B36" s="74">
        <f t="shared" si="5"/>
        <v>4.1999999999999993</v>
      </c>
      <c r="C36" s="426" t="s">
        <v>305</v>
      </c>
      <c r="D36" s="373"/>
      <c r="E36" s="419"/>
      <c r="F36" s="420"/>
      <c r="G36" s="421"/>
      <c r="H36" s="419"/>
      <c r="I36" s="421"/>
      <c r="J36" s="77">
        <v>0.05</v>
      </c>
      <c r="K36" s="102">
        <f>ROUND(+$H$35*J36,0)</f>
        <v>2331698</v>
      </c>
      <c r="M36" s="61"/>
      <c r="N36" s="61"/>
      <c r="O36" s="61"/>
      <c r="P36" s="61"/>
      <c r="Q36" s="61"/>
      <c r="R36" s="61"/>
      <c r="S36" s="62"/>
      <c r="T36" s="62"/>
      <c r="U36" s="62"/>
      <c r="V36" s="62"/>
      <c r="W36" s="62"/>
      <c r="X36" s="62"/>
      <c r="Y36" s="62"/>
      <c r="Z36" s="62"/>
    </row>
    <row r="37" spans="1:26" ht="30" customHeight="1" x14ac:dyDescent="0.3">
      <c r="A37" s="62"/>
      <c r="B37" s="74">
        <f t="shared" si="5"/>
        <v>4.2999999999999989</v>
      </c>
      <c r="C37" s="426" t="s">
        <v>306</v>
      </c>
      <c r="D37" s="373"/>
      <c r="E37" s="419"/>
      <c r="F37" s="420"/>
      <c r="G37" s="421"/>
      <c r="H37" s="419"/>
      <c r="I37" s="421"/>
      <c r="J37" s="77">
        <v>0.01</v>
      </c>
      <c r="K37" s="102">
        <f t="shared" ref="K37:K39" si="6">ROUND(+$H$35*J37,0)</f>
        <v>466340</v>
      </c>
      <c r="M37" s="61"/>
      <c r="N37" s="61" t="s">
        <v>307</v>
      </c>
      <c r="O37" s="104">
        <f>+K40</f>
        <v>0</v>
      </c>
      <c r="P37" s="83" t="e">
        <f>+O37*J41</f>
        <v>#DIV/0!</v>
      </c>
      <c r="Q37" s="83">
        <f>+O37*J42</f>
        <v>0</v>
      </c>
      <c r="R37" s="83">
        <f>+O37*J43</f>
        <v>0</v>
      </c>
      <c r="S37" s="105">
        <f>+R37*J45</f>
        <v>0</v>
      </c>
      <c r="T37" s="62"/>
      <c r="U37" s="62"/>
      <c r="V37" s="62"/>
      <c r="W37" s="62"/>
      <c r="X37" s="62"/>
      <c r="Y37" s="62"/>
      <c r="Z37" s="62"/>
    </row>
    <row r="38" spans="1:26" ht="30" customHeight="1" x14ac:dyDescent="0.3">
      <c r="A38" s="62"/>
      <c r="B38" s="74">
        <f t="shared" si="5"/>
        <v>4.3999999999999986</v>
      </c>
      <c r="C38" s="426" t="s">
        <v>308</v>
      </c>
      <c r="D38" s="373"/>
      <c r="E38" s="419"/>
      <c r="F38" s="420"/>
      <c r="G38" s="421"/>
      <c r="H38" s="419"/>
      <c r="I38" s="421"/>
      <c r="J38" s="106">
        <f>4/1000</f>
        <v>4.0000000000000001E-3</v>
      </c>
      <c r="K38" s="102">
        <f t="shared" si="6"/>
        <v>186536</v>
      </c>
      <c r="M38" s="61"/>
      <c r="N38" s="61"/>
      <c r="O38" s="61"/>
      <c r="P38" s="61"/>
      <c r="Q38" s="61"/>
      <c r="R38" s="61"/>
      <c r="S38" s="62"/>
      <c r="T38" s="62"/>
      <c r="U38" s="62"/>
      <c r="V38" s="62"/>
      <c r="W38" s="62"/>
      <c r="X38" s="62"/>
      <c r="Y38" s="62"/>
      <c r="Z38" s="62"/>
    </row>
    <row r="39" spans="1:26" ht="30" customHeight="1" x14ac:dyDescent="0.3">
      <c r="A39" s="62"/>
      <c r="B39" s="74">
        <f t="shared" si="5"/>
        <v>4.4999999999999982</v>
      </c>
      <c r="C39" s="426" t="s">
        <v>309</v>
      </c>
      <c r="D39" s="373"/>
      <c r="E39" s="422"/>
      <c r="F39" s="423"/>
      <c r="G39" s="424"/>
      <c r="H39" s="422"/>
      <c r="I39" s="424"/>
      <c r="J39" s="106">
        <f>+IF(H35&lt;D57,0.5%,IF(AND(H35&gt;D57,H35&lt;D58),1%,2%))</f>
        <v>5.0000000000000001E-3</v>
      </c>
      <c r="K39" s="102">
        <f t="shared" si="6"/>
        <v>233170</v>
      </c>
      <c r="M39" s="61"/>
      <c r="N39" s="62"/>
      <c r="O39" s="61"/>
      <c r="P39" s="61"/>
      <c r="Q39" s="61"/>
      <c r="R39" s="61"/>
      <c r="S39" s="62"/>
      <c r="T39" s="62"/>
      <c r="U39" s="62"/>
      <c r="V39" s="62"/>
      <c r="W39" s="62"/>
      <c r="X39" s="62"/>
      <c r="Y39" s="62"/>
      <c r="Z39" s="62"/>
    </row>
    <row r="40" spans="1:26" ht="15.75" customHeight="1" x14ac:dyDescent="0.3">
      <c r="B40" s="427" t="s">
        <v>310</v>
      </c>
      <c r="C40" s="372"/>
      <c r="D40" s="372"/>
      <c r="E40" s="372"/>
      <c r="F40" s="372"/>
      <c r="G40" s="372"/>
      <c r="H40" s="417"/>
      <c r="I40" s="417"/>
      <c r="J40" s="418"/>
      <c r="K40" s="310">
        <f>PPTO!F226</f>
        <v>0</v>
      </c>
      <c r="M40" s="107">
        <v>234404171.49000001</v>
      </c>
      <c r="N40" s="107">
        <v>15730053.58</v>
      </c>
      <c r="O40" s="107">
        <v>131621454.98466</v>
      </c>
      <c r="P40" s="107">
        <v>50325396.269999996</v>
      </c>
      <c r="Q40" s="107">
        <v>2014320.38</v>
      </c>
      <c r="R40" s="107">
        <v>111857122</v>
      </c>
      <c r="S40" s="62"/>
      <c r="T40" s="62"/>
      <c r="U40" s="62"/>
    </row>
    <row r="41" spans="1:26" s="301" customFormat="1" ht="15.75" customHeight="1" x14ac:dyDescent="0.3">
      <c r="B41" s="302"/>
      <c r="C41" s="302"/>
      <c r="D41" s="303"/>
      <c r="E41" s="302"/>
      <c r="F41" s="302"/>
      <c r="G41" s="303"/>
      <c r="H41" s="428" t="s">
        <v>311</v>
      </c>
      <c r="I41" s="429"/>
      <c r="J41" s="311" t="e">
        <f>ROUND((K10+K18+K32+K34)/K40,4)</f>
        <v>#DIV/0!</v>
      </c>
      <c r="K41" s="312" t="e">
        <f>ROUND($K$40*J41,0)</f>
        <v>#DIV/0!</v>
      </c>
      <c r="M41" s="304"/>
      <c r="N41" s="304"/>
      <c r="O41" s="304"/>
      <c r="P41" s="304"/>
      <c r="Q41" s="304"/>
      <c r="R41" s="304"/>
      <c r="S41" s="305"/>
      <c r="T41" s="305"/>
      <c r="U41" s="305"/>
    </row>
    <row r="42" spans="1:26" s="306" customFormat="1" ht="15.75" customHeight="1" x14ac:dyDescent="0.3">
      <c r="B42" s="307"/>
      <c r="C42" s="307"/>
      <c r="D42" s="304"/>
      <c r="E42" s="307"/>
      <c r="F42" s="307"/>
      <c r="G42" s="304"/>
      <c r="H42" s="430" t="s">
        <v>312</v>
      </c>
      <c r="I42" s="415"/>
      <c r="J42" s="308">
        <v>0.03</v>
      </c>
      <c r="K42" s="309">
        <f t="shared" ref="K42:K43" si="7">ROUND($K$40*J42,0)</f>
        <v>0</v>
      </c>
      <c r="M42" s="304"/>
      <c r="N42" s="304"/>
      <c r="O42" s="304"/>
      <c r="P42" s="304"/>
      <c r="Q42" s="304"/>
      <c r="R42" s="304"/>
      <c r="S42" s="305"/>
      <c r="T42" s="305"/>
      <c r="U42" s="305"/>
    </row>
    <row r="43" spans="1:26" s="306" customFormat="1" ht="15.75" customHeight="1" x14ac:dyDescent="0.3">
      <c r="B43" s="307"/>
      <c r="C43" s="307"/>
      <c r="D43" s="304"/>
      <c r="E43" s="307"/>
      <c r="F43" s="307"/>
      <c r="G43" s="304"/>
      <c r="H43" s="430" t="s">
        <v>313</v>
      </c>
      <c r="I43" s="415"/>
      <c r="J43" s="308">
        <v>0.05</v>
      </c>
      <c r="K43" s="309">
        <f t="shared" si="7"/>
        <v>0</v>
      </c>
      <c r="M43" s="304"/>
      <c r="N43" s="304"/>
      <c r="O43" s="304"/>
      <c r="P43" s="304"/>
      <c r="Q43" s="304"/>
      <c r="R43" s="304"/>
      <c r="S43" s="305"/>
      <c r="T43" s="305"/>
      <c r="U43" s="305"/>
    </row>
    <row r="44" spans="1:26" s="306" customFormat="1" ht="15.75" customHeight="1" x14ac:dyDescent="0.3">
      <c r="B44" s="307"/>
      <c r="C44" s="307"/>
      <c r="D44" s="304"/>
      <c r="E44" s="307"/>
      <c r="F44" s="307"/>
      <c r="G44" s="304"/>
      <c r="H44" s="431" t="s">
        <v>314</v>
      </c>
      <c r="I44" s="415"/>
      <c r="J44" s="308" t="e">
        <f>J41+J42+J43</f>
        <v>#DIV/0!</v>
      </c>
      <c r="K44" s="309" t="e">
        <f>SUM(K41:K43)</f>
        <v>#DIV/0!</v>
      </c>
      <c r="M44" s="304"/>
      <c r="N44" s="304"/>
      <c r="O44" s="304"/>
      <c r="P44" s="304"/>
      <c r="Q44" s="304"/>
      <c r="R44" s="304"/>
      <c r="S44" s="305"/>
      <c r="T44" s="305"/>
      <c r="U44" s="305"/>
    </row>
    <row r="45" spans="1:26" s="306" customFormat="1" ht="15.75" customHeight="1" x14ac:dyDescent="0.3">
      <c r="B45" s="307"/>
      <c r="C45" s="307"/>
      <c r="D45" s="304"/>
      <c r="E45" s="307"/>
      <c r="F45" s="307"/>
      <c r="G45" s="304"/>
      <c r="H45" s="431" t="s">
        <v>315</v>
      </c>
      <c r="I45" s="415"/>
      <c r="J45" s="308">
        <v>0.19</v>
      </c>
      <c r="K45" s="309">
        <f>ROUND(K43*J45,0)</f>
        <v>0</v>
      </c>
      <c r="M45" s="304"/>
      <c r="N45" s="304"/>
      <c r="O45" s="304"/>
      <c r="P45" s="304"/>
      <c r="Q45" s="304"/>
      <c r="R45" s="304"/>
      <c r="S45" s="305"/>
      <c r="T45" s="305"/>
      <c r="U45" s="305"/>
    </row>
    <row r="46" spans="1:26" s="306" customFormat="1" ht="15" customHeight="1" x14ac:dyDescent="0.3">
      <c r="B46" s="307"/>
      <c r="C46" s="307"/>
      <c r="D46" s="304"/>
      <c r="E46" s="307"/>
      <c r="F46" s="307"/>
      <c r="G46" s="304"/>
      <c r="H46" s="414" t="s">
        <v>316</v>
      </c>
      <c r="I46" s="415"/>
      <c r="J46" s="415"/>
      <c r="K46" s="309" t="e">
        <f>SUM(K44:K45)</f>
        <v>#DIV/0!</v>
      </c>
      <c r="M46" s="304"/>
      <c r="N46" s="304"/>
      <c r="O46" s="304"/>
      <c r="P46" s="304"/>
      <c r="Q46" s="304"/>
      <c r="R46" s="304"/>
      <c r="S46" s="305"/>
      <c r="T46" s="305"/>
      <c r="U46" s="305"/>
    </row>
    <row r="47" spans="1:26" s="306" customFormat="1" ht="15.75" customHeight="1" x14ac:dyDescent="0.3">
      <c r="B47" s="307"/>
      <c r="C47" s="307"/>
      <c r="D47" s="304"/>
      <c r="E47" s="307"/>
      <c r="F47" s="307"/>
      <c r="G47" s="304"/>
      <c r="H47" s="414" t="s">
        <v>317</v>
      </c>
      <c r="I47" s="415"/>
      <c r="J47" s="415"/>
      <c r="K47" s="309" t="e">
        <f>+K46+K40</f>
        <v>#DIV/0!</v>
      </c>
      <c r="M47" s="304"/>
      <c r="N47" s="304"/>
      <c r="O47" s="304"/>
      <c r="P47" s="304"/>
      <c r="Q47" s="304"/>
      <c r="R47" s="304"/>
      <c r="S47" s="305"/>
      <c r="T47" s="305"/>
      <c r="U47" s="305"/>
    </row>
    <row r="48" spans="1:26" ht="15.75" customHeight="1" x14ac:dyDescent="0.3">
      <c r="B48" s="36"/>
      <c r="C48" s="36"/>
      <c r="D48" s="6"/>
      <c r="E48" s="36"/>
      <c r="F48" s="36"/>
      <c r="G48" s="6"/>
      <c r="H48" s="37"/>
      <c r="I48" s="6"/>
      <c r="J48" s="6"/>
      <c r="K48" s="60"/>
      <c r="M48" s="61"/>
      <c r="N48" s="61"/>
      <c r="O48" s="61"/>
      <c r="P48" s="61"/>
      <c r="Q48" s="61"/>
      <c r="R48" s="61"/>
      <c r="S48" s="62"/>
      <c r="T48" s="62"/>
      <c r="U48" s="62"/>
    </row>
    <row r="49" spans="2:21" ht="15.75" customHeight="1" x14ac:dyDescent="0.3">
      <c r="B49" s="36"/>
      <c r="C49" s="36"/>
      <c r="D49" s="6"/>
      <c r="E49" s="36"/>
      <c r="F49" s="36"/>
      <c r="G49" s="6"/>
      <c r="H49" s="37"/>
      <c r="I49" s="6"/>
      <c r="J49" s="6"/>
      <c r="K49" s="60"/>
      <c r="M49" s="61"/>
      <c r="N49" s="61"/>
      <c r="O49" s="61"/>
      <c r="P49" s="61"/>
      <c r="Q49" s="61"/>
      <c r="R49" s="61"/>
      <c r="S49" s="62"/>
      <c r="T49" s="62"/>
      <c r="U49" s="62"/>
    </row>
    <row r="50" spans="2:21" ht="15.75" customHeight="1" x14ac:dyDescent="0.3">
      <c r="B50" s="36"/>
      <c r="C50" s="36"/>
      <c r="D50" s="6"/>
      <c r="E50" s="36"/>
      <c r="F50" s="36"/>
      <c r="G50" s="6"/>
      <c r="H50" s="37"/>
      <c r="I50" s="36"/>
      <c r="J50" s="36"/>
      <c r="K50" s="60"/>
      <c r="M50" s="61"/>
      <c r="N50" s="61"/>
      <c r="O50" s="61"/>
      <c r="P50" s="61"/>
      <c r="Q50" s="61"/>
      <c r="R50" s="61"/>
      <c r="S50" s="62"/>
      <c r="T50" s="62"/>
      <c r="U50" s="62"/>
    </row>
    <row r="51" spans="2:21" ht="15.75" customHeight="1" x14ac:dyDescent="0.3">
      <c r="B51" s="36"/>
      <c r="C51" s="36"/>
      <c r="D51" s="6"/>
      <c r="E51" s="36"/>
      <c r="F51" s="36"/>
      <c r="G51" s="6"/>
      <c r="H51" s="37"/>
      <c r="I51" s="36"/>
      <c r="J51" s="36"/>
      <c r="K51" s="60"/>
      <c r="M51" s="61"/>
      <c r="N51" s="61"/>
      <c r="O51" s="61"/>
      <c r="P51" s="61"/>
      <c r="Q51" s="61"/>
      <c r="R51" s="61"/>
      <c r="S51" s="62"/>
      <c r="T51" s="62"/>
      <c r="U51" s="62"/>
    </row>
    <row r="52" spans="2:21" ht="15.75" customHeight="1" x14ac:dyDescent="0.3">
      <c r="B52" s="36"/>
      <c r="C52" s="36"/>
      <c r="D52" s="6"/>
      <c r="E52" s="36"/>
      <c r="F52" s="36"/>
      <c r="G52" s="6"/>
      <c r="H52" s="37"/>
      <c r="I52" s="36"/>
      <c r="J52" s="36"/>
      <c r="K52" s="60"/>
      <c r="M52" s="61"/>
      <c r="N52" s="61"/>
      <c r="O52" s="61"/>
      <c r="P52" s="61"/>
      <c r="Q52" s="61"/>
      <c r="R52" s="61"/>
      <c r="S52" s="62"/>
      <c r="T52" s="62"/>
      <c r="U52" s="62"/>
    </row>
    <row r="53" spans="2:21" ht="15.75" customHeight="1" x14ac:dyDescent="0.3">
      <c r="B53" s="36"/>
      <c r="C53" s="36"/>
      <c r="D53" s="6"/>
      <c r="E53" s="36"/>
      <c r="F53" s="36"/>
      <c r="G53" s="6"/>
      <c r="H53" s="37"/>
      <c r="I53" s="36"/>
      <c r="J53" s="36"/>
      <c r="K53" s="60"/>
      <c r="M53" s="61"/>
      <c r="N53" s="61"/>
      <c r="O53" s="61"/>
      <c r="P53" s="61"/>
      <c r="Q53" s="61"/>
      <c r="R53" s="61"/>
      <c r="S53" s="62"/>
      <c r="T53" s="62"/>
      <c r="U53" s="62"/>
    </row>
    <row r="54" spans="2:21" ht="15.75" customHeight="1" x14ac:dyDescent="0.3">
      <c r="B54" s="36"/>
      <c r="C54" s="36"/>
      <c r="D54" s="6"/>
      <c r="E54" s="36"/>
      <c r="F54" s="36"/>
      <c r="G54" s="6"/>
      <c r="H54" s="37"/>
      <c r="I54" s="36"/>
      <c r="J54" s="36"/>
      <c r="K54" s="60"/>
      <c r="M54" s="61"/>
      <c r="N54" s="61"/>
      <c r="O54" s="61"/>
      <c r="P54" s="61"/>
      <c r="Q54" s="61"/>
      <c r="R54" s="61"/>
      <c r="S54" s="62"/>
      <c r="T54" s="62"/>
      <c r="U54" s="62"/>
    </row>
    <row r="55" spans="2:21" ht="15.75" customHeight="1" x14ac:dyDescent="0.3">
      <c r="B55" s="36"/>
      <c r="C55" s="36" t="s">
        <v>318</v>
      </c>
      <c r="D55" s="108">
        <v>38004</v>
      </c>
      <c r="E55" s="36"/>
      <c r="F55" s="36"/>
      <c r="G55" s="6"/>
      <c r="H55" s="37"/>
      <c r="I55" s="36"/>
      <c r="J55" s="36"/>
      <c r="K55" s="60"/>
      <c r="M55" s="61"/>
      <c r="N55" s="61"/>
      <c r="O55" s="61"/>
      <c r="P55" s="61"/>
      <c r="Q55" s="61"/>
      <c r="R55" s="61"/>
      <c r="S55" s="62"/>
      <c r="T55" s="62"/>
      <c r="U55" s="62"/>
    </row>
    <row r="56" spans="2:21" ht="100.8" x14ac:dyDescent="0.3">
      <c r="B56" s="36"/>
      <c r="C56" s="109" t="s">
        <v>319</v>
      </c>
      <c r="D56" s="6"/>
      <c r="E56" s="36"/>
      <c r="F56" s="36"/>
      <c r="G56" s="6"/>
      <c r="H56" s="37"/>
      <c r="I56" s="41"/>
      <c r="J56" s="36"/>
      <c r="K56" s="60"/>
      <c r="M56" s="61"/>
      <c r="N56" s="61"/>
      <c r="O56" s="61"/>
      <c r="P56" s="61"/>
      <c r="Q56" s="61"/>
      <c r="R56" s="61"/>
      <c r="S56" s="62"/>
      <c r="T56" s="62"/>
      <c r="U56" s="62"/>
    </row>
    <row r="57" spans="2:21" ht="28.8" x14ac:dyDescent="0.3">
      <c r="B57" s="36"/>
      <c r="C57" s="109" t="s">
        <v>320</v>
      </c>
      <c r="D57" s="110">
        <f>1262.52*D55</f>
        <v>47980810.079999998</v>
      </c>
      <c r="E57" s="36"/>
      <c r="F57" s="36"/>
      <c r="H57" s="37"/>
      <c r="I57" s="41"/>
      <c r="J57" s="36"/>
      <c r="K57" s="60"/>
      <c r="M57" s="61"/>
      <c r="N57" s="61"/>
      <c r="O57" s="61"/>
      <c r="P57" s="61"/>
      <c r="Q57" s="61"/>
      <c r="R57" s="61"/>
      <c r="S57" s="62"/>
      <c r="T57" s="62"/>
      <c r="U57" s="62"/>
    </row>
    <row r="58" spans="2:21" ht="28.8" x14ac:dyDescent="0.3">
      <c r="B58" s="36"/>
      <c r="C58" s="109" t="s">
        <v>321</v>
      </c>
      <c r="D58" s="110">
        <f>150120*D55</f>
        <v>5705160480</v>
      </c>
      <c r="E58" s="36"/>
      <c r="F58" s="36"/>
      <c r="G58" s="6"/>
      <c r="H58" s="37"/>
      <c r="I58" s="36"/>
      <c r="J58" s="36"/>
      <c r="K58" s="60"/>
      <c r="M58" s="61"/>
      <c r="N58" s="61"/>
      <c r="O58" s="61"/>
      <c r="P58" s="61"/>
      <c r="Q58" s="61"/>
      <c r="R58" s="61"/>
      <c r="S58" s="62"/>
      <c r="T58" s="62"/>
      <c r="U58" s="62"/>
    </row>
    <row r="59" spans="2:21" ht="28.8" x14ac:dyDescent="0.3">
      <c r="B59" s="36"/>
      <c r="C59" s="109" t="s">
        <v>322</v>
      </c>
      <c r="D59" s="110">
        <f>150120*D55</f>
        <v>5705160480</v>
      </c>
      <c r="E59" s="36"/>
      <c r="F59" s="36"/>
      <c r="G59" s="6"/>
      <c r="H59" s="37"/>
      <c r="I59" s="36"/>
      <c r="J59" s="36"/>
      <c r="K59" s="60"/>
      <c r="M59" s="61"/>
      <c r="N59" s="61"/>
      <c r="O59" s="61"/>
      <c r="P59" s="61"/>
      <c r="Q59" s="61"/>
      <c r="R59" s="61"/>
      <c r="S59" s="62"/>
      <c r="T59" s="62"/>
      <c r="U59" s="62"/>
    </row>
    <row r="60" spans="2:21" ht="15.75" customHeight="1" x14ac:dyDescent="0.3">
      <c r="B60" s="36"/>
      <c r="C60" s="36"/>
      <c r="D60" s="6"/>
      <c r="E60" s="36"/>
      <c r="F60" s="36"/>
      <c r="G60" s="6"/>
      <c r="H60" s="37"/>
      <c r="I60" s="36"/>
      <c r="J60" s="36"/>
      <c r="K60" s="60"/>
      <c r="M60" s="61"/>
      <c r="N60" s="61"/>
      <c r="O60" s="61"/>
      <c r="P60" s="61"/>
      <c r="Q60" s="61"/>
      <c r="R60" s="61"/>
      <c r="S60" s="62"/>
      <c r="T60" s="62"/>
      <c r="U60" s="62"/>
    </row>
    <row r="61" spans="2:21" ht="15.75" customHeight="1" x14ac:dyDescent="0.3">
      <c r="B61" s="36"/>
      <c r="C61" s="36"/>
      <c r="D61" s="6"/>
      <c r="E61" s="36"/>
      <c r="F61" s="36"/>
      <c r="G61" s="6"/>
      <c r="H61" s="37"/>
      <c r="I61" s="36"/>
      <c r="J61" s="36"/>
      <c r="K61" s="60"/>
      <c r="M61" s="61"/>
      <c r="N61" s="61"/>
      <c r="O61" s="61"/>
      <c r="P61" s="61"/>
      <c r="Q61" s="61"/>
      <c r="R61" s="61"/>
      <c r="S61" s="62"/>
      <c r="T61" s="62"/>
      <c r="U61" s="62"/>
    </row>
    <row r="62" spans="2:21" ht="15.75" customHeight="1" x14ac:dyDescent="0.3">
      <c r="B62" s="36"/>
      <c r="C62" s="36"/>
      <c r="D62" s="6"/>
      <c r="E62" s="36"/>
      <c r="F62" s="36"/>
      <c r="G62" s="6"/>
      <c r="H62" s="37"/>
      <c r="I62" s="36"/>
      <c r="J62" s="36"/>
      <c r="K62" s="60"/>
      <c r="M62" s="61"/>
      <c r="N62" s="61"/>
      <c r="O62" s="61"/>
      <c r="P62" s="61"/>
      <c r="Q62" s="61"/>
      <c r="R62" s="61"/>
      <c r="S62" s="62"/>
      <c r="T62" s="62"/>
      <c r="U62" s="62"/>
    </row>
    <row r="63" spans="2:21" ht="15.75" customHeight="1" x14ac:dyDescent="0.3">
      <c r="B63" s="36"/>
      <c r="C63" s="36"/>
      <c r="D63" s="6"/>
      <c r="E63" s="36"/>
      <c r="F63" s="36"/>
      <c r="G63" s="6"/>
      <c r="H63" s="37"/>
      <c r="I63" s="36"/>
      <c r="J63" s="36"/>
      <c r="K63" s="60"/>
      <c r="M63" s="61"/>
      <c r="N63" s="61"/>
      <c r="O63" s="61"/>
      <c r="P63" s="61"/>
      <c r="Q63" s="61"/>
      <c r="R63" s="61"/>
      <c r="S63" s="62"/>
      <c r="T63" s="62"/>
      <c r="U63" s="62"/>
    </row>
    <row r="64" spans="2:21" ht="15.75" customHeight="1" x14ac:dyDescent="0.3">
      <c r="B64" s="36"/>
      <c r="C64" s="36"/>
      <c r="D64" s="6"/>
      <c r="E64" s="36"/>
      <c r="F64" s="36"/>
      <c r="G64" s="6"/>
      <c r="H64" s="37"/>
      <c r="I64" s="36"/>
      <c r="J64" s="36"/>
      <c r="K64" s="60"/>
      <c r="M64" s="61"/>
      <c r="N64" s="61"/>
      <c r="O64" s="61"/>
      <c r="P64" s="61"/>
      <c r="Q64" s="61"/>
      <c r="R64" s="61"/>
      <c r="S64" s="62"/>
      <c r="T64" s="62"/>
      <c r="U64" s="62"/>
    </row>
    <row r="65" spans="2:21" ht="15.75" customHeight="1" x14ac:dyDescent="0.3">
      <c r="B65" s="36"/>
      <c r="C65" s="111" t="s">
        <v>323</v>
      </c>
      <c r="D65" s="6"/>
      <c r="E65" s="36"/>
      <c r="F65" s="36"/>
      <c r="G65" s="6"/>
      <c r="H65" s="37"/>
      <c r="I65" s="36"/>
      <c r="J65" s="36"/>
      <c r="K65" s="60"/>
      <c r="M65" s="61"/>
      <c r="N65" s="61"/>
      <c r="O65" s="61"/>
      <c r="P65" s="61"/>
      <c r="Q65" s="61"/>
      <c r="R65" s="61"/>
      <c r="S65" s="62"/>
      <c r="T65" s="62"/>
      <c r="U65" s="62"/>
    </row>
    <row r="66" spans="2:21" ht="15.75" customHeight="1" x14ac:dyDescent="0.3">
      <c r="B66" s="36"/>
      <c r="C66" s="111" t="s">
        <v>324</v>
      </c>
      <c r="D66" s="6"/>
      <c r="E66" s="36"/>
      <c r="F66" s="36"/>
      <c r="G66" s="6"/>
      <c r="H66" s="37"/>
      <c r="I66" s="36"/>
      <c r="J66" s="36"/>
      <c r="K66" s="60"/>
      <c r="M66" s="61"/>
      <c r="N66" s="61"/>
      <c r="O66" s="61"/>
      <c r="P66" s="61"/>
      <c r="Q66" s="61"/>
      <c r="R66" s="61"/>
      <c r="S66" s="62"/>
      <c r="T66" s="62"/>
      <c r="U66" s="62"/>
    </row>
    <row r="67" spans="2:21" ht="15.75" customHeight="1" x14ac:dyDescent="0.3">
      <c r="B67" s="36"/>
      <c r="C67" s="36"/>
      <c r="D67" s="6"/>
      <c r="E67" s="36"/>
      <c r="F67" s="36"/>
      <c r="G67" s="6"/>
      <c r="H67" s="37"/>
      <c r="I67" s="36"/>
      <c r="J67" s="36"/>
      <c r="K67" s="60"/>
      <c r="M67" s="61"/>
      <c r="N67" s="61"/>
      <c r="O67" s="61"/>
      <c r="P67" s="61"/>
      <c r="Q67" s="61"/>
      <c r="R67" s="61"/>
      <c r="S67" s="62"/>
      <c r="T67" s="62"/>
      <c r="U67" s="62"/>
    </row>
    <row r="68" spans="2:21" ht="15.75" customHeight="1" x14ac:dyDescent="0.3">
      <c r="B68" s="36"/>
      <c r="C68" s="36"/>
      <c r="D68" s="6"/>
      <c r="E68" s="36"/>
      <c r="F68" s="36"/>
      <c r="G68" s="6"/>
      <c r="H68" s="37"/>
      <c r="I68" s="36"/>
      <c r="J68" s="36"/>
      <c r="K68" s="60"/>
      <c r="M68" s="61"/>
      <c r="N68" s="61"/>
      <c r="O68" s="61"/>
      <c r="P68" s="61"/>
      <c r="Q68" s="61"/>
      <c r="R68" s="61"/>
      <c r="S68" s="62"/>
      <c r="T68" s="62"/>
      <c r="U68" s="62"/>
    </row>
    <row r="69" spans="2:21" ht="15.75" customHeight="1" x14ac:dyDescent="0.3">
      <c r="B69" s="36"/>
      <c r="C69" s="36"/>
      <c r="D69" s="6"/>
      <c r="E69" s="36"/>
      <c r="F69" s="36"/>
      <c r="G69" s="6"/>
      <c r="H69" s="37"/>
      <c r="I69" s="36"/>
      <c r="J69" s="36"/>
      <c r="K69" s="60"/>
      <c r="M69" s="61"/>
      <c r="N69" s="61"/>
      <c r="O69" s="61"/>
      <c r="P69" s="61"/>
      <c r="Q69" s="61"/>
      <c r="R69" s="61"/>
      <c r="S69" s="62"/>
      <c r="T69" s="62"/>
      <c r="U69" s="62"/>
    </row>
    <row r="70" spans="2:21" ht="15.75" customHeight="1" x14ac:dyDescent="0.3">
      <c r="B70" s="36"/>
      <c r="C70" s="36"/>
      <c r="D70" s="6"/>
      <c r="E70" s="36"/>
      <c r="F70" s="36"/>
      <c r="G70" s="6"/>
      <c r="H70" s="37"/>
      <c r="I70" s="36"/>
      <c r="J70" s="36"/>
      <c r="K70" s="60"/>
      <c r="M70" s="61"/>
      <c r="N70" s="61"/>
      <c r="O70" s="61"/>
      <c r="P70" s="61"/>
      <c r="Q70" s="61"/>
      <c r="R70" s="61"/>
      <c r="S70" s="62"/>
      <c r="T70" s="62"/>
      <c r="U70" s="62"/>
    </row>
    <row r="71" spans="2:21" ht="15.75" customHeight="1" x14ac:dyDescent="0.3">
      <c r="B71" s="36"/>
      <c r="C71" s="36"/>
      <c r="D71" s="6"/>
      <c r="E71" s="36"/>
      <c r="F71" s="36"/>
      <c r="G71" s="6"/>
      <c r="H71" s="37"/>
      <c r="I71" s="36"/>
      <c r="J71" s="36"/>
      <c r="K71" s="60"/>
      <c r="M71" s="61"/>
      <c r="N71" s="61"/>
      <c r="O71" s="61"/>
      <c r="P71" s="61"/>
      <c r="Q71" s="61"/>
      <c r="R71" s="61"/>
      <c r="S71" s="62"/>
      <c r="T71" s="62"/>
      <c r="U71" s="62"/>
    </row>
    <row r="72" spans="2:21" ht="15.75" customHeight="1" x14ac:dyDescent="0.3">
      <c r="B72" s="36"/>
      <c r="C72" s="36"/>
      <c r="D72" s="6"/>
      <c r="E72" s="36"/>
      <c r="F72" s="36"/>
      <c r="G72" s="6"/>
      <c r="H72" s="37"/>
      <c r="I72" s="36"/>
      <c r="J72" s="36"/>
      <c r="K72" s="60"/>
      <c r="M72" s="61"/>
      <c r="N72" s="61"/>
      <c r="O72" s="61"/>
      <c r="P72" s="61"/>
      <c r="Q72" s="61"/>
      <c r="R72" s="61"/>
      <c r="S72" s="62"/>
      <c r="T72" s="62"/>
      <c r="U72" s="62"/>
    </row>
    <row r="73" spans="2:21" ht="15.75" customHeight="1" x14ac:dyDescent="0.3">
      <c r="B73" s="36"/>
      <c r="C73" s="36"/>
      <c r="D73" s="6"/>
      <c r="E73" s="36"/>
      <c r="F73" s="36"/>
      <c r="G73" s="6"/>
      <c r="H73" s="37"/>
      <c r="I73" s="36"/>
      <c r="J73" s="36"/>
      <c r="K73" s="60"/>
      <c r="M73" s="61"/>
      <c r="N73" s="61"/>
      <c r="O73" s="61"/>
      <c r="P73" s="61"/>
      <c r="Q73" s="61"/>
      <c r="R73" s="61"/>
      <c r="S73" s="62"/>
      <c r="T73" s="62"/>
      <c r="U73" s="62"/>
    </row>
    <row r="74" spans="2:21" ht="15.75" customHeight="1" x14ac:dyDescent="0.3">
      <c r="B74" s="36"/>
      <c r="C74" s="36"/>
      <c r="D74" s="6"/>
      <c r="E74" s="36"/>
      <c r="F74" s="36"/>
      <c r="G74" s="6"/>
      <c r="H74" s="37"/>
      <c r="I74" s="36"/>
      <c r="J74" s="36"/>
      <c r="K74" s="60"/>
      <c r="M74" s="61"/>
      <c r="N74" s="61"/>
      <c r="O74" s="61"/>
      <c r="P74" s="61"/>
      <c r="Q74" s="61"/>
      <c r="R74" s="61"/>
      <c r="S74" s="62"/>
      <c r="T74" s="62"/>
      <c r="U74" s="62"/>
    </row>
    <row r="75" spans="2:21" ht="15.75" customHeight="1" x14ac:dyDescent="0.3">
      <c r="B75" s="36"/>
      <c r="C75" s="36"/>
      <c r="D75" s="6"/>
      <c r="E75" s="36"/>
      <c r="F75" s="36"/>
      <c r="G75" s="6"/>
      <c r="H75" s="37"/>
      <c r="I75" s="36"/>
      <c r="J75" s="36"/>
      <c r="K75" s="60"/>
      <c r="M75" s="61"/>
      <c r="N75" s="61"/>
      <c r="O75" s="61"/>
      <c r="P75" s="61"/>
      <c r="Q75" s="61"/>
      <c r="R75" s="61"/>
      <c r="S75" s="62"/>
      <c r="T75" s="62"/>
      <c r="U75" s="62"/>
    </row>
    <row r="76" spans="2:21" ht="15.75" customHeight="1" x14ac:dyDescent="0.3">
      <c r="B76" s="36"/>
      <c r="C76" s="36"/>
      <c r="D76" s="6"/>
      <c r="E76" s="36"/>
      <c r="F76" s="36"/>
      <c r="G76" s="6"/>
      <c r="H76" s="37"/>
      <c r="I76" s="36"/>
      <c r="J76" s="36"/>
      <c r="K76" s="60"/>
      <c r="M76" s="61"/>
      <c r="N76" s="61"/>
      <c r="O76" s="61"/>
      <c r="P76" s="61"/>
      <c r="Q76" s="61"/>
      <c r="R76" s="61"/>
      <c r="S76" s="62"/>
      <c r="T76" s="62"/>
      <c r="U76" s="62"/>
    </row>
    <row r="77" spans="2:21" ht="15.75" customHeight="1" x14ac:dyDescent="0.3">
      <c r="B77" s="36"/>
      <c r="C77" s="36"/>
      <c r="D77" s="6"/>
      <c r="E77" s="36"/>
      <c r="F77" s="36"/>
      <c r="G77" s="6"/>
      <c r="H77" s="37"/>
      <c r="I77" s="36"/>
      <c r="J77" s="36"/>
      <c r="K77" s="60"/>
      <c r="M77" s="61"/>
      <c r="N77" s="61"/>
      <c r="O77" s="61"/>
      <c r="P77" s="61"/>
      <c r="Q77" s="61"/>
      <c r="R77" s="61"/>
      <c r="S77" s="62"/>
      <c r="T77" s="62"/>
      <c r="U77" s="62"/>
    </row>
    <row r="78" spans="2:21" ht="15.75" customHeight="1" x14ac:dyDescent="0.3">
      <c r="B78" s="36"/>
      <c r="C78" s="36"/>
      <c r="D78" s="6"/>
      <c r="E78" s="36"/>
      <c r="F78" s="36"/>
      <c r="G78" s="6"/>
      <c r="H78" s="37"/>
      <c r="I78" s="36"/>
      <c r="J78" s="36"/>
      <c r="K78" s="60"/>
      <c r="M78" s="61"/>
      <c r="N78" s="61"/>
      <c r="O78" s="61"/>
      <c r="P78" s="61"/>
      <c r="Q78" s="61"/>
      <c r="R78" s="61"/>
      <c r="S78" s="62"/>
      <c r="T78" s="62"/>
      <c r="U78" s="62"/>
    </row>
    <row r="79" spans="2:21" ht="15.75" customHeight="1" x14ac:dyDescent="0.3">
      <c r="B79" s="36"/>
      <c r="C79" s="36"/>
      <c r="D79" s="6"/>
      <c r="E79" s="36"/>
      <c r="F79" s="36"/>
      <c r="G79" s="6"/>
      <c r="H79" s="37"/>
      <c r="I79" s="36"/>
      <c r="J79" s="36"/>
      <c r="K79" s="60"/>
      <c r="M79" s="61"/>
      <c r="N79" s="61"/>
      <c r="O79" s="61"/>
      <c r="P79" s="61"/>
      <c r="Q79" s="61"/>
      <c r="R79" s="61"/>
      <c r="S79" s="62"/>
      <c r="T79" s="62"/>
      <c r="U79" s="62"/>
    </row>
    <row r="80" spans="2:21" ht="15.75" customHeight="1" x14ac:dyDescent="0.3">
      <c r="B80" s="36"/>
      <c r="C80" s="36"/>
      <c r="D80" s="6"/>
      <c r="E80" s="36"/>
      <c r="F80" s="36"/>
      <c r="G80" s="6"/>
      <c r="H80" s="37"/>
      <c r="I80" s="36"/>
      <c r="J80" s="36"/>
      <c r="K80" s="60"/>
      <c r="M80" s="61"/>
      <c r="N80" s="61"/>
      <c r="O80" s="61"/>
      <c r="P80" s="61"/>
      <c r="Q80" s="61"/>
      <c r="R80" s="61"/>
      <c r="S80" s="62"/>
      <c r="T80" s="62"/>
      <c r="U80" s="62"/>
    </row>
    <row r="81" spans="2:21" ht="15.75" customHeight="1" x14ac:dyDescent="0.3">
      <c r="B81" s="36"/>
      <c r="C81" s="36"/>
      <c r="D81" s="6"/>
      <c r="E81" s="36"/>
      <c r="F81" s="36"/>
      <c r="G81" s="6"/>
      <c r="H81" s="37"/>
      <c r="I81" s="36"/>
      <c r="J81" s="36"/>
      <c r="K81" s="60"/>
      <c r="M81" s="61"/>
      <c r="N81" s="61"/>
      <c r="O81" s="61"/>
      <c r="P81" s="61"/>
      <c r="Q81" s="61"/>
      <c r="R81" s="61"/>
      <c r="S81" s="62"/>
      <c r="T81" s="62"/>
      <c r="U81" s="62"/>
    </row>
    <row r="82" spans="2:21" ht="15.75" customHeight="1" x14ac:dyDescent="0.3">
      <c r="B82" s="36"/>
      <c r="C82" s="36"/>
      <c r="D82" s="6"/>
      <c r="E82" s="36"/>
      <c r="F82" s="36"/>
      <c r="G82" s="6"/>
      <c r="H82" s="37"/>
      <c r="I82" s="36"/>
      <c r="J82" s="36"/>
      <c r="K82" s="60"/>
      <c r="M82" s="61"/>
      <c r="N82" s="61"/>
      <c r="O82" s="61"/>
      <c r="P82" s="61"/>
      <c r="Q82" s="61"/>
      <c r="R82" s="61"/>
      <c r="S82" s="62"/>
      <c r="T82" s="62"/>
      <c r="U82" s="62"/>
    </row>
    <row r="83" spans="2:21" ht="15.75" customHeight="1" x14ac:dyDescent="0.3">
      <c r="B83" s="36"/>
      <c r="C83" s="36"/>
      <c r="D83" s="6"/>
      <c r="E83" s="36"/>
      <c r="F83" s="36"/>
      <c r="G83" s="6"/>
      <c r="H83" s="37"/>
      <c r="I83" s="36"/>
      <c r="J83" s="36"/>
      <c r="K83" s="60"/>
      <c r="M83" s="61"/>
      <c r="N83" s="61"/>
      <c r="O83" s="61"/>
      <c r="P83" s="61"/>
      <c r="Q83" s="61"/>
      <c r="R83" s="61"/>
      <c r="S83" s="62"/>
      <c r="T83" s="62"/>
      <c r="U83" s="62"/>
    </row>
    <row r="84" spans="2:21" ht="15.75" customHeight="1" x14ac:dyDescent="0.3">
      <c r="B84" s="36"/>
      <c r="C84" s="36"/>
      <c r="D84" s="6"/>
      <c r="E84" s="36"/>
      <c r="F84" s="36"/>
      <c r="G84" s="6"/>
      <c r="H84" s="37"/>
      <c r="I84" s="36"/>
      <c r="J84" s="36"/>
      <c r="K84" s="60"/>
      <c r="M84" s="61"/>
      <c r="N84" s="61"/>
      <c r="O84" s="61"/>
      <c r="P84" s="61"/>
      <c r="Q84" s="61"/>
      <c r="R84" s="61"/>
      <c r="S84" s="62"/>
      <c r="T84" s="62"/>
      <c r="U84" s="62"/>
    </row>
    <row r="85" spans="2:21" ht="15.75" customHeight="1" x14ac:dyDescent="0.3">
      <c r="B85" s="36"/>
      <c r="C85" s="36"/>
      <c r="D85" s="6"/>
      <c r="E85" s="36"/>
      <c r="F85" s="36"/>
      <c r="G85" s="6"/>
      <c r="H85" s="37"/>
      <c r="I85" s="36"/>
      <c r="J85" s="36"/>
      <c r="K85" s="60"/>
      <c r="M85" s="61"/>
      <c r="N85" s="61"/>
      <c r="O85" s="61"/>
      <c r="P85" s="61"/>
      <c r="Q85" s="61"/>
      <c r="R85" s="61"/>
      <c r="S85" s="62"/>
      <c r="T85" s="62"/>
      <c r="U85" s="62"/>
    </row>
    <row r="86" spans="2:21" ht="15.75" customHeight="1" x14ac:dyDescent="0.3">
      <c r="B86" s="36"/>
      <c r="C86" s="36"/>
      <c r="D86" s="6"/>
      <c r="E86" s="36"/>
      <c r="F86" s="36"/>
      <c r="G86" s="6"/>
      <c r="H86" s="37"/>
      <c r="I86" s="36"/>
      <c r="J86" s="36"/>
      <c r="K86" s="60"/>
      <c r="M86" s="61"/>
      <c r="N86" s="61"/>
      <c r="O86" s="61"/>
      <c r="P86" s="61"/>
      <c r="Q86" s="61"/>
      <c r="R86" s="61"/>
      <c r="S86" s="62"/>
      <c r="T86" s="62"/>
      <c r="U86" s="62"/>
    </row>
    <row r="87" spans="2:21" ht="15.75" customHeight="1" x14ac:dyDescent="0.3">
      <c r="B87" s="36"/>
      <c r="C87" s="36"/>
      <c r="D87" s="6"/>
      <c r="E87" s="36"/>
      <c r="F87" s="36"/>
      <c r="G87" s="6"/>
      <c r="H87" s="37"/>
      <c r="I87" s="36"/>
      <c r="J87" s="36"/>
      <c r="K87" s="60"/>
      <c r="M87" s="61"/>
      <c r="N87" s="61"/>
      <c r="O87" s="61"/>
      <c r="P87" s="61"/>
      <c r="Q87" s="61"/>
      <c r="R87" s="61"/>
      <c r="S87" s="62"/>
      <c r="T87" s="62"/>
      <c r="U87" s="62"/>
    </row>
    <row r="88" spans="2:21" ht="15.75" customHeight="1" x14ac:dyDescent="0.3">
      <c r="B88" s="36"/>
      <c r="C88" s="36"/>
      <c r="D88" s="6"/>
      <c r="E88" s="36"/>
      <c r="F88" s="36"/>
      <c r="G88" s="6"/>
      <c r="H88" s="37"/>
      <c r="I88" s="36"/>
      <c r="J88" s="36"/>
      <c r="K88" s="60"/>
      <c r="M88" s="61"/>
      <c r="N88" s="61"/>
      <c r="O88" s="61"/>
      <c r="P88" s="61"/>
      <c r="Q88" s="61"/>
      <c r="R88" s="61"/>
      <c r="S88" s="62"/>
      <c r="T88" s="62"/>
      <c r="U88" s="62"/>
    </row>
    <row r="89" spans="2:21" ht="15.75" customHeight="1" x14ac:dyDescent="0.3">
      <c r="B89" s="36"/>
      <c r="C89" s="36"/>
      <c r="D89" s="6"/>
      <c r="E89" s="36"/>
      <c r="F89" s="36"/>
      <c r="G89" s="6"/>
      <c r="H89" s="37"/>
      <c r="I89" s="36"/>
      <c r="J89" s="36"/>
      <c r="K89" s="60"/>
      <c r="M89" s="61"/>
      <c r="N89" s="61"/>
      <c r="O89" s="61"/>
      <c r="P89" s="61"/>
      <c r="Q89" s="61"/>
      <c r="R89" s="61"/>
      <c r="S89" s="62"/>
      <c r="T89" s="62"/>
      <c r="U89" s="62"/>
    </row>
    <row r="90" spans="2:21" ht="15.75" customHeight="1" x14ac:dyDescent="0.3">
      <c r="B90" s="36"/>
      <c r="C90" s="36"/>
      <c r="D90" s="6"/>
      <c r="E90" s="36"/>
      <c r="F90" s="36"/>
      <c r="G90" s="6"/>
      <c r="H90" s="37"/>
      <c r="I90" s="36"/>
      <c r="J90" s="36"/>
      <c r="K90" s="60"/>
      <c r="M90" s="61"/>
      <c r="N90" s="61"/>
      <c r="O90" s="61"/>
      <c r="P90" s="61"/>
      <c r="Q90" s="61"/>
      <c r="R90" s="61"/>
      <c r="S90" s="62"/>
      <c r="T90" s="62"/>
      <c r="U90" s="62"/>
    </row>
    <row r="91" spans="2:21" ht="15.75" customHeight="1" x14ac:dyDescent="0.3">
      <c r="B91" s="36"/>
      <c r="C91" s="36"/>
      <c r="D91" s="6"/>
      <c r="E91" s="36"/>
      <c r="F91" s="36"/>
      <c r="G91" s="6"/>
      <c r="H91" s="37"/>
      <c r="I91" s="36"/>
      <c r="J91" s="36"/>
      <c r="K91" s="60"/>
      <c r="M91" s="61"/>
      <c r="N91" s="61"/>
      <c r="O91" s="61"/>
      <c r="P91" s="61"/>
      <c r="Q91" s="61"/>
      <c r="R91" s="61"/>
      <c r="S91" s="62"/>
      <c r="T91" s="62"/>
      <c r="U91" s="62"/>
    </row>
    <row r="92" spans="2:21" ht="15.75" customHeight="1" x14ac:dyDescent="0.3">
      <c r="B92" s="36"/>
      <c r="C92" s="36"/>
      <c r="D92" s="6"/>
      <c r="E92" s="36"/>
      <c r="F92" s="36"/>
      <c r="G92" s="6"/>
      <c r="H92" s="37"/>
      <c r="I92" s="36"/>
      <c r="J92" s="36"/>
      <c r="K92" s="60"/>
      <c r="M92" s="61"/>
      <c r="N92" s="61"/>
      <c r="O92" s="61"/>
      <c r="P92" s="61"/>
      <c r="Q92" s="61"/>
      <c r="R92" s="61"/>
      <c r="S92" s="62"/>
      <c r="T92" s="62"/>
      <c r="U92" s="62"/>
    </row>
    <row r="93" spans="2:21" ht="15.75" customHeight="1" x14ac:dyDescent="0.3">
      <c r="B93" s="36"/>
      <c r="C93" s="36"/>
      <c r="D93" s="6"/>
      <c r="E93" s="36"/>
      <c r="F93" s="36"/>
      <c r="G93" s="6"/>
      <c r="H93" s="37"/>
      <c r="I93" s="36"/>
      <c r="J93" s="36"/>
      <c r="K93" s="60"/>
      <c r="M93" s="61"/>
      <c r="N93" s="61"/>
      <c r="O93" s="61"/>
      <c r="P93" s="61"/>
      <c r="Q93" s="61"/>
      <c r="R93" s="61"/>
      <c r="S93" s="62"/>
      <c r="T93" s="62"/>
      <c r="U93" s="62"/>
    </row>
    <row r="94" spans="2:21" ht="15.75" customHeight="1" x14ac:dyDescent="0.3">
      <c r="B94" s="36"/>
      <c r="C94" s="36"/>
      <c r="D94" s="6"/>
      <c r="E94" s="36"/>
      <c r="F94" s="36"/>
      <c r="G94" s="6"/>
      <c r="H94" s="37"/>
      <c r="I94" s="36"/>
      <c r="J94" s="36"/>
      <c r="K94" s="60"/>
      <c r="M94" s="61"/>
      <c r="N94" s="61"/>
      <c r="O94" s="61"/>
      <c r="P94" s="61"/>
      <c r="Q94" s="61"/>
      <c r="R94" s="61"/>
      <c r="S94" s="62"/>
      <c r="T94" s="62"/>
      <c r="U94" s="62"/>
    </row>
    <row r="95" spans="2:21" ht="15.75" customHeight="1" x14ac:dyDescent="0.3">
      <c r="B95" s="36"/>
      <c r="C95" s="111" t="s">
        <v>325</v>
      </c>
      <c r="D95" s="6"/>
      <c r="E95" s="36"/>
      <c r="F95" s="36"/>
      <c r="G95" s="6"/>
      <c r="H95" s="37"/>
      <c r="I95" s="36"/>
      <c r="J95" s="36"/>
      <c r="K95" s="60"/>
      <c r="M95" s="61"/>
      <c r="N95" s="61"/>
      <c r="O95" s="61"/>
      <c r="P95" s="61"/>
      <c r="Q95" s="61"/>
      <c r="R95" s="61"/>
      <c r="S95" s="62"/>
      <c r="T95" s="62"/>
      <c r="U95" s="62"/>
    </row>
    <row r="96" spans="2:21" ht="15.75" customHeight="1" x14ac:dyDescent="0.3">
      <c r="B96" s="36"/>
      <c r="C96" s="36"/>
      <c r="D96" s="6"/>
      <c r="E96" s="36"/>
      <c r="F96" s="36"/>
      <c r="G96" s="6"/>
      <c r="H96" s="37"/>
      <c r="I96" s="36"/>
      <c r="J96" s="36"/>
      <c r="K96" s="60"/>
      <c r="M96" s="61"/>
      <c r="N96" s="61"/>
      <c r="O96" s="61"/>
      <c r="P96" s="61"/>
      <c r="Q96" s="61"/>
      <c r="R96" s="61"/>
      <c r="S96" s="62"/>
      <c r="T96" s="62"/>
      <c r="U96" s="62"/>
    </row>
    <row r="97" spans="2:21" ht="15.75" customHeight="1" x14ac:dyDescent="0.3">
      <c r="B97" s="36"/>
      <c r="C97" s="36"/>
      <c r="D97" s="6"/>
      <c r="E97" s="36"/>
      <c r="F97" s="36"/>
      <c r="G97" s="6"/>
      <c r="H97" s="37"/>
      <c r="I97" s="36"/>
      <c r="J97" s="36"/>
      <c r="K97" s="60"/>
      <c r="M97" s="61"/>
      <c r="N97" s="61"/>
      <c r="O97" s="61"/>
      <c r="P97" s="61"/>
      <c r="Q97" s="61"/>
      <c r="R97" s="61"/>
      <c r="S97" s="62"/>
      <c r="T97" s="62"/>
      <c r="U97" s="62"/>
    </row>
    <row r="98" spans="2:21" ht="15.75" customHeight="1" x14ac:dyDescent="0.3">
      <c r="B98" s="36"/>
      <c r="C98" s="36"/>
      <c r="D98" s="6"/>
      <c r="E98" s="36"/>
      <c r="F98" s="36"/>
      <c r="G98" s="6"/>
      <c r="H98" s="37"/>
      <c r="I98" s="36"/>
      <c r="J98" s="36"/>
      <c r="K98" s="60"/>
      <c r="M98" s="61"/>
      <c r="N98" s="61"/>
      <c r="O98" s="61"/>
      <c r="P98" s="61"/>
      <c r="Q98" s="61"/>
      <c r="R98" s="61"/>
      <c r="S98" s="62"/>
      <c r="T98" s="62"/>
      <c r="U98" s="62"/>
    </row>
    <row r="99" spans="2:21" ht="15.75" customHeight="1" x14ac:dyDescent="0.3">
      <c r="B99" s="36"/>
      <c r="C99" s="36"/>
      <c r="D99" s="6"/>
      <c r="E99" s="36"/>
      <c r="F99" s="36"/>
      <c r="G99" s="6"/>
      <c r="H99" s="37"/>
      <c r="I99" s="36"/>
      <c r="J99" s="36"/>
      <c r="K99" s="60"/>
      <c r="M99" s="61"/>
      <c r="N99" s="61"/>
      <c r="O99" s="61"/>
      <c r="P99" s="61"/>
      <c r="Q99" s="61"/>
      <c r="R99" s="61"/>
      <c r="S99" s="62"/>
      <c r="T99" s="62"/>
      <c r="U99" s="62"/>
    </row>
    <row r="100" spans="2:21" ht="15.75" customHeight="1" x14ac:dyDescent="0.3">
      <c r="B100" s="36"/>
      <c r="C100" s="36"/>
      <c r="D100" s="6"/>
      <c r="E100" s="36"/>
      <c r="F100" s="36"/>
      <c r="G100" s="6"/>
      <c r="H100" s="37"/>
      <c r="I100" s="36"/>
      <c r="J100" s="36"/>
      <c r="K100" s="60"/>
      <c r="M100" s="61"/>
      <c r="N100" s="61"/>
      <c r="O100" s="61"/>
      <c r="P100" s="61"/>
      <c r="Q100" s="61"/>
      <c r="R100" s="61"/>
      <c r="S100" s="62"/>
      <c r="T100" s="62"/>
      <c r="U100" s="62"/>
    </row>
    <row r="101" spans="2:21" ht="15.75" customHeight="1" x14ac:dyDescent="0.3">
      <c r="B101" s="36"/>
      <c r="C101" s="36"/>
      <c r="D101" s="6"/>
      <c r="E101" s="36"/>
      <c r="F101" s="36"/>
      <c r="G101" s="6"/>
      <c r="H101" s="37"/>
      <c r="I101" s="36"/>
      <c r="J101" s="36"/>
      <c r="K101" s="60"/>
      <c r="M101" s="61"/>
      <c r="N101" s="61"/>
      <c r="O101" s="61"/>
      <c r="P101" s="61"/>
      <c r="Q101" s="61"/>
      <c r="R101" s="61"/>
      <c r="S101" s="62"/>
      <c r="T101" s="62"/>
      <c r="U101" s="62"/>
    </row>
    <row r="102" spans="2:21" ht="15.75" customHeight="1" x14ac:dyDescent="0.3">
      <c r="B102" s="36"/>
      <c r="C102" s="36"/>
      <c r="D102" s="6"/>
      <c r="E102" s="36"/>
      <c r="F102" s="36"/>
      <c r="G102" s="6"/>
      <c r="H102" s="37"/>
      <c r="I102" s="36"/>
      <c r="J102" s="36"/>
      <c r="K102" s="60"/>
      <c r="M102" s="61"/>
      <c r="N102" s="61"/>
      <c r="O102" s="61"/>
      <c r="P102" s="61"/>
      <c r="Q102" s="61"/>
      <c r="R102" s="61"/>
      <c r="S102" s="62"/>
      <c r="T102" s="62"/>
      <c r="U102" s="62"/>
    </row>
    <row r="103" spans="2:21" ht="15.75" customHeight="1" x14ac:dyDescent="0.3">
      <c r="B103" s="36"/>
      <c r="C103" s="36"/>
      <c r="D103" s="6"/>
      <c r="E103" s="36"/>
      <c r="F103" s="36"/>
      <c r="G103" s="6"/>
      <c r="H103" s="37"/>
      <c r="I103" s="36"/>
      <c r="J103" s="36"/>
      <c r="K103" s="60"/>
      <c r="M103" s="61"/>
      <c r="N103" s="61"/>
      <c r="O103" s="61"/>
      <c r="P103" s="61"/>
      <c r="Q103" s="61"/>
      <c r="R103" s="61"/>
      <c r="S103" s="62"/>
      <c r="T103" s="62"/>
      <c r="U103" s="62"/>
    </row>
    <row r="104" spans="2:21" ht="15.75" customHeight="1" x14ac:dyDescent="0.3">
      <c r="B104" s="36"/>
      <c r="C104" s="36"/>
      <c r="D104" s="6"/>
      <c r="E104" s="36"/>
      <c r="F104" s="36"/>
      <c r="G104" s="6"/>
      <c r="H104" s="37"/>
      <c r="I104" s="36"/>
      <c r="J104" s="36"/>
      <c r="K104" s="60"/>
      <c r="M104" s="61"/>
      <c r="N104" s="61"/>
      <c r="O104" s="61"/>
      <c r="P104" s="61"/>
      <c r="Q104" s="61"/>
      <c r="R104" s="61"/>
      <c r="S104" s="62"/>
      <c r="T104" s="62"/>
      <c r="U104" s="62"/>
    </row>
    <row r="105" spans="2:21" ht="15.75" customHeight="1" x14ac:dyDescent="0.3">
      <c r="B105" s="36"/>
      <c r="C105" s="36"/>
      <c r="D105" s="6"/>
      <c r="E105" s="36"/>
      <c r="F105" s="36"/>
      <c r="G105" s="6"/>
      <c r="H105" s="37"/>
      <c r="I105" s="36"/>
      <c r="J105" s="36"/>
      <c r="K105" s="60"/>
      <c r="M105" s="61"/>
      <c r="N105" s="61"/>
      <c r="O105" s="61"/>
      <c r="P105" s="61"/>
      <c r="Q105" s="61"/>
      <c r="R105" s="61"/>
      <c r="S105" s="62"/>
      <c r="T105" s="62"/>
      <c r="U105" s="62"/>
    </row>
    <row r="106" spans="2:21" ht="15.75" customHeight="1" x14ac:dyDescent="0.3">
      <c r="B106" s="36"/>
      <c r="C106" s="36"/>
      <c r="D106" s="6"/>
      <c r="E106" s="36"/>
      <c r="F106" s="36"/>
      <c r="G106" s="6"/>
      <c r="H106" s="37"/>
      <c r="I106" s="36"/>
      <c r="J106" s="36"/>
      <c r="K106" s="60"/>
      <c r="M106" s="61"/>
      <c r="N106" s="61"/>
      <c r="O106" s="61"/>
      <c r="P106" s="61"/>
      <c r="Q106" s="61"/>
      <c r="R106" s="61"/>
      <c r="S106" s="62"/>
      <c r="T106" s="62"/>
      <c r="U106" s="62"/>
    </row>
    <row r="107" spans="2:21" ht="15.75" customHeight="1" x14ac:dyDescent="0.3">
      <c r="B107" s="36"/>
      <c r="C107" s="36"/>
      <c r="D107" s="6"/>
      <c r="E107" s="36"/>
      <c r="F107" s="36"/>
      <c r="G107" s="6"/>
      <c r="H107" s="37"/>
      <c r="I107" s="36"/>
      <c r="J107" s="36"/>
      <c r="K107" s="60"/>
      <c r="M107" s="61"/>
      <c r="N107" s="61"/>
      <c r="O107" s="61"/>
      <c r="P107" s="61"/>
      <c r="Q107" s="61"/>
      <c r="R107" s="61"/>
      <c r="S107" s="62"/>
      <c r="T107" s="62"/>
      <c r="U107" s="62"/>
    </row>
    <row r="108" spans="2:21" ht="15.75" customHeight="1" x14ac:dyDescent="0.3">
      <c r="B108" s="36"/>
      <c r="C108" s="36"/>
      <c r="D108" s="6"/>
      <c r="E108" s="36"/>
      <c r="F108" s="36"/>
      <c r="G108" s="6"/>
      <c r="H108" s="37"/>
      <c r="I108" s="36"/>
      <c r="J108" s="36"/>
      <c r="K108" s="60"/>
      <c r="M108" s="61"/>
      <c r="N108" s="61"/>
      <c r="O108" s="61"/>
      <c r="P108" s="61"/>
      <c r="Q108" s="61"/>
      <c r="R108" s="61"/>
      <c r="S108" s="62"/>
      <c r="T108" s="62"/>
      <c r="U108" s="62"/>
    </row>
    <row r="109" spans="2:21" ht="15.75" customHeight="1" x14ac:dyDescent="0.3">
      <c r="B109" s="36"/>
      <c r="C109" s="36"/>
      <c r="D109" s="6"/>
      <c r="E109" s="36"/>
      <c r="F109" s="36"/>
      <c r="G109" s="6"/>
      <c r="H109" s="37"/>
      <c r="I109" s="36"/>
      <c r="J109" s="36"/>
      <c r="K109" s="60"/>
      <c r="M109" s="61"/>
      <c r="N109" s="61"/>
      <c r="O109" s="61"/>
      <c r="P109" s="61"/>
      <c r="Q109" s="61"/>
      <c r="R109" s="61"/>
      <c r="S109" s="62"/>
      <c r="T109" s="62"/>
      <c r="U109" s="62"/>
    </row>
    <row r="110" spans="2:21" ht="15.75" customHeight="1" x14ac:dyDescent="0.3">
      <c r="B110" s="36"/>
      <c r="C110" s="36"/>
      <c r="D110" s="6"/>
      <c r="E110" s="36"/>
      <c r="F110" s="36"/>
      <c r="G110" s="6"/>
      <c r="H110" s="37"/>
      <c r="I110" s="36"/>
      <c r="J110" s="36"/>
      <c r="K110" s="60"/>
      <c r="M110" s="61"/>
      <c r="N110" s="61"/>
      <c r="O110" s="61"/>
      <c r="P110" s="61"/>
      <c r="Q110" s="61"/>
      <c r="R110" s="61"/>
      <c r="S110" s="62"/>
      <c r="T110" s="62"/>
      <c r="U110" s="62"/>
    </row>
    <row r="111" spans="2:21" ht="15.75" customHeight="1" x14ac:dyDescent="0.3">
      <c r="B111" s="36"/>
      <c r="C111" s="36"/>
      <c r="D111" s="6"/>
      <c r="E111" s="36"/>
      <c r="F111" s="36"/>
      <c r="G111" s="6"/>
      <c r="H111" s="37"/>
      <c r="I111" s="36"/>
      <c r="J111" s="36"/>
      <c r="K111" s="60"/>
      <c r="M111" s="61"/>
      <c r="N111" s="61"/>
      <c r="O111" s="61"/>
      <c r="P111" s="61"/>
      <c r="Q111" s="61"/>
      <c r="R111" s="61"/>
      <c r="S111" s="62"/>
      <c r="T111" s="62"/>
      <c r="U111" s="62"/>
    </row>
    <row r="112" spans="2:21" ht="15.75" customHeight="1" x14ac:dyDescent="0.3">
      <c r="B112" s="36"/>
      <c r="C112" s="36"/>
      <c r="D112" s="6"/>
      <c r="E112" s="36"/>
      <c r="F112" s="36"/>
      <c r="G112" s="6"/>
      <c r="H112" s="37"/>
      <c r="I112" s="36"/>
      <c r="J112" s="36"/>
      <c r="K112" s="60"/>
      <c r="M112" s="61"/>
      <c r="N112" s="61"/>
      <c r="O112" s="61"/>
      <c r="P112" s="61"/>
      <c r="Q112" s="61"/>
      <c r="R112" s="61"/>
      <c r="S112" s="62"/>
      <c r="T112" s="62"/>
      <c r="U112" s="62"/>
    </row>
    <row r="113" spans="2:21" ht="15.75" customHeight="1" x14ac:dyDescent="0.3">
      <c r="B113" s="36"/>
      <c r="C113" s="36"/>
      <c r="D113" s="6"/>
      <c r="E113" s="36"/>
      <c r="F113" s="36"/>
      <c r="G113" s="6"/>
      <c r="H113" s="37"/>
      <c r="I113" s="36"/>
      <c r="J113" s="36"/>
      <c r="K113" s="60"/>
      <c r="M113" s="61"/>
      <c r="N113" s="61"/>
      <c r="O113" s="61"/>
      <c r="P113" s="61"/>
      <c r="Q113" s="61"/>
      <c r="R113" s="61"/>
      <c r="S113" s="62"/>
      <c r="T113" s="62"/>
      <c r="U113" s="62"/>
    </row>
    <row r="114" spans="2:21" ht="15.75" customHeight="1" x14ac:dyDescent="0.3">
      <c r="B114" s="36"/>
      <c r="C114" s="36"/>
      <c r="D114" s="6"/>
      <c r="E114" s="36"/>
      <c r="F114" s="36"/>
      <c r="G114" s="6"/>
      <c r="H114" s="37"/>
      <c r="I114" s="36"/>
      <c r="J114" s="36"/>
      <c r="K114" s="60"/>
      <c r="M114" s="61"/>
      <c r="N114" s="61"/>
      <c r="O114" s="61"/>
      <c r="P114" s="61"/>
      <c r="Q114" s="61"/>
      <c r="R114" s="61"/>
      <c r="S114" s="62"/>
      <c r="T114" s="62"/>
      <c r="U114" s="62"/>
    </row>
    <row r="115" spans="2:21" ht="15.75" customHeight="1" x14ac:dyDescent="0.3">
      <c r="B115" s="36"/>
      <c r="C115" s="36"/>
      <c r="D115" s="6"/>
      <c r="E115" s="36"/>
      <c r="F115" s="36"/>
      <c r="G115" s="6"/>
      <c r="H115" s="37"/>
      <c r="I115" s="36"/>
      <c r="J115" s="36"/>
      <c r="K115" s="60"/>
      <c r="M115" s="61"/>
      <c r="N115" s="61"/>
      <c r="O115" s="61"/>
      <c r="P115" s="61"/>
      <c r="Q115" s="61"/>
      <c r="R115" s="61"/>
      <c r="S115" s="62"/>
      <c r="T115" s="62"/>
      <c r="U115" s="62"/>
    </row>
    <row r="116" spans="2:21" ht="15.75" customHeight="1" x14ac:dyDescent="0.3">
      <c r="B116" s="36"/>
      <c r="C116" s="36"/>
      <c r="D116" s="6"/>
      <c r="E116" s="36"/>
      <c r="F116" s="36"/>
      <c r="G116" s="6"/>
      <c r="H116" s="37"/>
      <c r="I116" s="36"/>
      <c r="J116" s="36"/>
      <c r="K116" s="60"/>
      <c r="M116" s="61"/>
      <c r="N116" s="61"/>
      <c r="O116" s="61"/>
      <c r="P116" s="61"/>
      <c r="Q116" s="61"/>
      <c r="R116" s="61"/>
      <c r="S116" s="62"/>
      <c r="T116" s="62"/>
      <c r="U116" s="62"/>
    </row>
    <row r="117" spans="2:21" ht="15.75" customHeight="1" x14ac:dyDescent="0.3">
      <c r="B117" s="36"/>
      <c r="C117" s="36"/>
      <c r="D117" s="6"/>
      <c r="E117" s="36"/>
      <c r="F117" s="36"/>
      <c r="G117" s="6"/>
      <c r="H117" s="37"/>
      <c r="I117" s="36"/>
      <c r="J117" s="36"/>
      <c r="K117" s="60"/>
      <c r="M117" s="61"/>
      <c r="N117" s="61"/>
      <c r="O117" s="61"/>
      <c r="P117" s="61"/>
      <c r="Q117" s="61"/>
      <c r="R117" s="61"/>
      <c r="S117" s="62"/>
      <c r="T117" s="62"/>
      <c r="U117" s="62"/>
    </row>
    <row r="118" spans="2:21" ht="15.75" customHeight="1" x14ac:dyDescent="0.3">
      <c r="B118" s="36"/>
      <c r="C118" s="36"/>
      <c r="D118" s="6"/>
      <c r="E118" s="36"/>
      <c r="F118" s="36"/>
      <c r="G118" s="6"/>
      <c r="H118" s="37"/>
      <c r="I118" s="36"/>
      <c r="J118" s="36"/>
      <c r="K118" s="60"/>
      <c r="M118" s="61"/>
      <c r="N118" s="61"/>
      <c r="O118" s="61"/>
      <c r="P118" s="61"/>
      <c r="Q118" s="61"/>
      <c r="R118" s="61"/>
      <c r="S118" s="62"/>
      <c r="T118" s="62"/>
      <c r="U118" s="62"/>
    </row>
    <row r="119" spans="2:21" ht="15.75" customHeight="1" x14ac:dyDescent="0.3">
      <c r="B119" s="36"/>
      <c r="C119" s="36"/>
      <c r="D119" s="6"/>
      <c r="E119" s="36"/>
      <c r="F119" s="36"/>
      <c r="G119" s="6"/>
      <c r="H119" s="37"/>
      <c r="I119" s="36"/>
      <c r="J119" s="36"/>
      <c r="K119" s="60"/>
      <c r="M119" s="61"/>
      <c r="N119" s="61"/>
      <c r="O119" s="61"/>
      <c r="P119" s="61"/>
      <c r="Q119" s="61"/>
      <c r="R119" s="61"/>
      <c r="S119" s="62"/>
      <c r="T119" s="62"/>
      <c r="U119" s="62"/>
    </row>
    <row r="120" spans="2:21" ht="15.75" customHeight="1" x14ac:dyDescent="0.3">
      <c r="B120" s="36"/>
      <c r="C120" s="36"/>
      <c r="D120" s="6"/>
      <c r="E120" s="36"/>
      <c r="F120" s="36"/>
      <c r="G120" s="6"/>
      <c r="H120" s="37"/>
      <c r="I120" s="36"/>
      <c r="J120" s="36"/>
      <c r="K120" s="60"/>
      <c r="M120" s="61"/>
      <c r="N120" s="61"/>
      <c r="O120" s="61"/>
      <c r="P120" s="61"/>
      <c r="Q120" s="61"/>
      <c r="R120" s="61"/>
      <c r="S120" s="62"/>
      <c r="T120" s="62"/>
      <c r="U120" s="62"/>
    </row>
    <row r="121" spans="2:21" ht="15.75" customHeight="1" x14ac:dyDescent="0.3">
      <c r="B121" s="36"/>
      <c r="C121" s="36"/>
      <c r="D121" s="6"/>
      <c r="E121" s="36"/>
      <c r="F121" s="36"/>
      <c r="G121" s="6"/>
      <c r="H121" s="37"/>
      <c r="I121" s="36"/>
      <c r="J121" s="36"/>
      <c r="K121" s="60"/>
      <c r="M121" s="61"/>
      <c r="N121" s="61"/>
      <c r="O121" s="61"/>
      <c r="P121" s="61"/>
      <c r="Q121" s="61"/>
      <c r="R121" s="61"/>
      <c r="S121" s="62"/>
      <c r="T121" s="62"/>
      <c r="U121" s="62"/>
    </row>
    <row r="122" spans="2:21" ht="15.75" customHeight="1" x14ac:dyDescent="0.3">
      <c r="B122" s="36"/>
      <c r="C122" s="36"/>
      <c r="D122" s="6"/>
      <c r="E122" s="36"/>
      <c r="F122" s="36"/>
      <c r="G122" s="6"/>
      <c r="H122" s="37"/>
      <c r="I122" s="36"/>
      <c r="J122" s="36"/>
      <c r="K122" s="60"/>
      <c r="M122" s="61"/>
      <c r="N122" s="61"/>
      <c r="O122" s="61"/>
      <c r="P122" s="61"/>
      <c r="Q122" s="61"/>
      <c r="R122" s="61"/>
      <c r="S122" s="62"/>
      <c r="T122" s="62"/>
      <c r="U122" s="62"/>
    </row>
    <row r="123" spans="2:21" ht="15.75" customHeight="1" x14ac:dyDescent="0.3">
      <c r="B123" s="36"/>
      <c r="C123" s="36"/>
      <c r="D123" s="6"/>
      <c r="E123" s="36"/>
      <c r="F123" s="36"/>
      <c r="G123" s="6"/>
      <c r="H123" s="37"/>
      <c r="I123" s="36"/>
      <c r="J123" s="36"/>
      <c r="K123" s="60"/>
      <c r="M123" s="61"/>
      <c r="N123" s="61"/>
      <c r="O123" s="61"/>
      <c r="P123" s="61"/>
      <c r="Q123" s="61"/>
      <c r="R123" s="61"/>
      <c r="S123" s="62"/>
      <c r="T123" s="62"/>
      <c r="U123" s="62"/>
    </row>
    <row r="124" spans="2:21" ht="15.75" customHeight="1" x14ac:dyDescent="0.3">
      <c r="B124" s="36"/>
      <c r="C124" s="36"/>
      <c r="D124" s="6"/>
      <c r="E124" s="36"/>
      <c r="F124" s="36"/>
      <c r="G124" s="6"/>
      <c r="H124" s="37"/>
      <c r="I124" s="36"/>
      <c r="J124" s="36"/>
      <c r="K124" s="60"/>
      <c r="M124" s="61"/>
      <c r="N124" s="61"/>
      <c r="O124" s="61"/>
      <c r="P124" s="61"/>
      <c r="Q124" s="61"/>
      <c r="R124" s="61"/>
      <c r="S124" s="62"/>
      <c r="T124" s="62"/>
      <c r="U124" s="62"/>
    </row>
    <row r="125" spans="2:21" ht="15.75" customHeight="1" x14ac:dyDescent="0.3">
      <c r="B125" s="36"/>
      <c r="C125" s="36"/>
      <c r="D125" s="6"/>
      <c r="E125" s="36"/>
      <c r="F125" s="36"/>
      <c r="G125" s="6"/>
      <c r="H125" s="37"/>
      <c r="I125" s="36"/>
      <c r="J125" s="36"/>
      <c r="K125" s="60"/>
      <c r="M125" s="61"/>
      <c r="N125" s="61"/>
      <c r="O125" s="61"/>
      <c r="P125" s="61"/>
      <c r="Q125" s="61"/>
      <c r="R125" s="61"/>
      <c r="S125" s="62"/>
      <c r="T125" s="62"/>
      <c r="U125" s="62"/>
    </row>
    <row r="126" spans="2:21" ht="15.75" customHeight="1" x14ac:dyDescent="0.3">
      <c r="B126" s="36"/>
      <c r="C126" s="36"/>
      <c r="D126" s="6"/>
      <c r="E126" s="36"/>
      <c r="F126" s="36"/>
      <c r="G126" s="6"/>
      <c r="H126" s="37"/>
      <c r="I126" s="36"/>
      <c r="J126" s="36"/>
      <c r="K126" s="60"/>
      <c r="M126" s="61"/>
      <c r="N126" s="61"/>
      <c r="O126" s="61"/>
      <c r="P126" s="61"/>
      <c r="Q126" s="61"/>
      <c r="R126" s="61"/>
      <c r="S126" s="62"/>
      <c r="T126" s="62"/>
      <c r="U126" s="62"/>
    </row>
    <row r="127" spans="2:21" ht="15.75" customHeight="1" x14ac:dyDescent="0.3">
      <c r="B127" s="36"/>
      <c r="C127" s="36"/>
      <c r="D127" s="6"/>
      <c r="E127" s="36"/>
      <c r="F127" s="36"/>
      <c r="G127" s="6"/>
      <c r="H127" s="37"/>
      <c r="I127" s="36"/>
      <c r="J127" s="36"/>
      <c r="K127" s="60"/>
      <c r="M127" s="61"/>
      <c r="N127" s="61"/>
      <c r="O127" s="61"/>
      <c r="P127" s="61"/>
      <c r="Q127" s="61"/>
      <c r="R127" s="61"/>
      <c r="S127" s="62"/>
      <c r="T127" s="62"/>
      <c r="U127" s="62"/>
    </row>
    <row r="128" spans="2:21" ht="15.75" customHeight="1" x14ac:dyDescent="0.3">
      <c r="B128" s="36"/>
      <c r="C128" s="36"/>
      <c r="D128" s="6"/>
      <c r="E128" s="36"/>
      <c r="F128" s="36"/>
      <c r="G128" s="6"/>
      <c r="H128" s="37"/>
      <c r="I128" s="36"/>
      <c r="J128" s="36"/>
      <c r="K128" s="60"/>
      <c r="M128" s="61"/>
      <c r="N128" s="61"/>
      <c r="O128" s="61"/>
      <c r="P128" s="61"/>
      <c r="Q128" s="61"/>
      <c r="R128" s="61"/>
      <c r="S128" s="62"/>
      <c r="T128" s="62"/>
      <c r="U128" s="62"/>
    </row>
    <row r="129" spans="2:21" ht="15.75" customHeight="1" x14ac:dyDescent="0.3">
      <c r="B129" s="36"/>
      <c r="C129" s="36"/>
      <c r="D129" s="6"/>
      <c r="E129" s="36"/>
      <c r="F129" s="36"/>
      <c r="G129" s="6"/>
      <c r="H129" s="37"/>
      <c r="I129" s="36"/>
      <c r="J129" s="36"/>
      <c r="K129" s="60"/>
      <c r="M129" s="61"/>
      <c r="N129" s="61"/>
      <c r="O129" s="61"/>
      <c r="P129" s="61"/>
      <c r="Q129" s="61"/>
      <c r="R129" s="61"/>
      <c r="S129" s="62"/>
      <c r="T129" s="62"/>
      <c r="U129" s="62"/>
    </row>
    <row r="130" spans="2:21" ht="15.75" customHeight="1" x14ac:dyDescent="0.3">
      <c r="B130" s="36"/>
      <c r="C130" s="36"/>
      <c r="D130" s="6"/>
      <c r="E130" s="36"/>
      <c r="F130" s="36"/>
      <c r="G130" s="6"/>
      <c r="H130" s="37"/>
      <c r="I130" s="36"/>
      <c r="J130" s="36"/>
      <c r="K130" s="60"/>
      <c r="M130" s="61"/>
      <c r="N130" s="61"/>
      <c r="O130" s="61"/>
      <c r="P130" s="61"/>
      <c r="Q130" s="61"/>
      <c r="R130" s="61"/>
      <c r="S130" s="62"/>
      <c r="T130" s="62"/>
      <c r="U130" s="62"/>
    </row>
    <row r="131" spans="2:21" ht="15.75" customHeight="1" x14ac:dyDescent="0.3">
      <c r="B131" s="36"/>
      <c r="C131" s="36"/>
      <c r="D131" s="6"/>
      <c r="E131" s="36"/>
      <c r="F131" s="36"/>
      <c r="G131" s="6"/>
      <c r="H131" s="37"/>
      <c r="I131" s="36"/>
      <c r="J131" s="36"/>
      <c r="K131" s="60"/>
      <c r="M131" s="61"/>
      <c r="N131" s="61"/>
      <c r="O131" s="61"/>
      <c r="P131" s="61"/>
      <c r="Q131" s="61"/>
      <c r="R131" s="61"/>
      <c r="S131" s="62"/>
      <c r="T131" s="62"/>
      <c r="U131" s="62"/>
    </row>
    <row r="132" spans="2:21" ht="15.75" customHeight="1" x14ac:dyDescent="0.3">
      <c r="B132" s="36"/>
      <c r="C132" s="36"/>
      <c r="D132" s="6"/>
      <c r="E132" s="36"/>
      <c r="F132" s="36"/>
      <c r="G132" s="6"/>
      <c r="H132" s="37"/>
      <c r="I132" s="36"/>
      <c r="J132" s="36"/>
      <c r="K132" s="60"/>
      <c r="M132" s="61"/>
      <c r="N132" s="61"/>
      <c r="O132" s="61"/>
      <c r="P132" s="61"/>
      <c r="Q132" s="61"/>
      <c r="R132" s="61"/>
      <c r="S132" s="62"/>
      <c r="T132" s="62"/>
      <c r="U132" s="62"/>
    </row>
    <row r="133" spans="2:21" ht="15.75" customHeight="1" x14ac:dyDescent="0.3">
      <c r="B133" s="36"/>
      <c r="C133" s="36"/>
      <c r="D133" s="6"/>
      <c r="E133" s="36"/>
      <c r="F133" s="36"/>
      <c r="G133" s="6"/>
      <c r="H133" s="37"/>
      <c r="I133" s="36"/>
      <c r="J133" s="36"/>
      <c r="K133" s="60"/>
      <c r="M133" s="61"/>
      <c r="N133" s="61"/>
      <c r="O133" s="61"/>
      <c r="P133" s="61"/>
      <c r="Q133" s="61"/>
      <c r="R133" s="61"/>
      <c r="S133" s="62"/>
      <c r="T133" s="62"/>
      <c r="U133" s="62"/>
    </row>
    <row r="134" spans="2:21" ht="15.75" customHeight="1" x14ac:dyDescent="0.3">
      <c r="B134" s="36"/>
      <c r="C134" s="36"/>
      <c r="D134" s="6"/>
      <c r="E134" s="36"/>
      <c r="F134" s="36"/>
      <c r="G134" s="6"/>
      <c r="H134" s="37"/>
      <c r="I134" s="36"/>
      <c r="J134" s="36"/>
      <c r="K134" s="60"/>
      <c r="M134" s="61"/>
      <c r="N134" s="61"/>
      <c r="O134" s="61"/>
      <c r="P134" s="61"/>
      <c r="Q134" s="61"/>
      <c r="R134" s="61"/>
      <c r="S134" s="62"/>
      <c r="T134" s="62"/>
      <c r="U134" s="62"/>
    </row>
    <row r="135" spans="2:21" ht="15.75" customHeight="1" x14ac:dyDescent="0.3">
      <c r="B135" s="36"/>
      <c r="C135" s="36"/>
      <c r="D135" s="6"/>
      <c r="E135" s="36"/>
      <c r="F135" s="36"/>
      <c r="G135" s="6"/>
      <c r="H135" s="37"/>
      <c r="I135" s="36"/>
      <c r="J135" s="36"/>
      <c r="K135" s="60"/>
      <c r="M135" s="61"/>
      <c r="N135" s="61"/>
      <c r="O135" s="61"/>
      <c r="P135" s="61"/>
      <c r="Q135" s="61"/>
      <c r="R135" s="61"/>
      <c r="S135" s="62"/>
      <c r="T135" s="62"/>
      <c r="U135" s="62"/>
    </row>
    <row r="136" spans="2:21" ht="15.75" customHeight="1" x14ac:dyDescent="0.3">
      <c r="B136" s="36"/>
      <c r="C136" s="36"/>
      <c r="D136" s="6"/>
      <c r="E136" s="36"/>
      <c r="F136" s="36"/>
      <c r="G136" s="6"/>
      <c r="H136" s="37"/>
      <c r="I136" s="36"/>
      <c r="J136" s="36"/>
      <c r="K136" s="60"/>
      <c r="M136" s="61"/>
      <c r="N136" s="61"/>
      <c r="O136" s="61"/>
      <c r="P136" s="61"/>
      <c r="Q136" s="61"/>
      <c r="R136" s="61"/>
      <c r="S136" s="62"/>
      <c r="T136" s="62"/>
      <c r="U136" s="62"/>
    </row>
    <row r="137" spans="2:21" ht="15.75" customHeight="1" x14ac:dyDescent="0.3">
      <c r="B137" s="36"/>
      <c r="C137" s="36"/>
      <c r="D137" s="6"/>
      <c r="E137" s="36"/>
      <c r="F137" s="36"/>
      <c r="G137" s="6"/>
      <c r="H137" s="37"/>
      <c r="I137" s="36"/>
      <c r="J137" s="36"/>
      <c r="K137" s="60"/>
      <c r="M137" s="61"/>
      <c r="N137" s="61"/>
      <c r="O137" s="61"/>
      <c r="P137" s="61"/>
      <c r="Q137" s="61"/>
      <c r="R137" s="61"/>
      <c r="S137" s="62"/>
      <c r="T137" s="62"/>
      <c r="U137" s="62"/>
    </row>
    <row r="138" spans="2:21" ht="15.75" customHeight="1" x14ac:dyDescent="0.3">
      <c r="B138" s="36"/>
      <c r="C138" s="36"/>
      <c r="D138" s="6"/>
      <c r="E138" s="36"/>
      <c r="F138" s="36"/>
      <c r="G138" s="6"/>
      <c r="H138" s="37"/>
      <c r="I138" s="36"/>
      <c r="J138" s="36"/>
      <c r="K138" s="60"/>
      <c r="M138" s="61"/>
      <c r="N138" s="61"/>
      <c r="O138" s="61"/>
      <c r="P138" s="61"/>
      <c r="Q138" s="61"/>
      <c r="R138" s="61"/>
      <c r="S138" s="62"/>
      <c r="T138" s="62"/>
      <c r="U138" s="62"/>
    </row>
    <row r="139" spans="2:21" ht="15.75" customHeight="1" x14ac:dyDescent="0.3">
      <c r="B139" s="36"/>
      <c r="C139" s="36"/>
      <c r="D139" s="6"/>
      <c r="E139" s="36"/>
      <c r="F139" s="36"/>
      <c r="G139" s="6"/>
      <c r="H139" s="37"/>
      <c r="I139" s="36"/>
      <c r="J139" s="36"/>
      <c r="K139" s="60"/>
      <c r="M139" s="61"/>
      <c r="N139" s="61"/>
      <c r="O139" s="61"/>
      <c r="P139" s="61"/>
      <c r="Q139" s="61"/>
      <c r="R139" s="61"/>
      <c r="S139" s="62"/>
      <c r="T139" s="62"/>
      <c r="U139" s="62"/>
    </row>
    <row r="140" spans="2:21" ht="15.75" customHeight="1" x14ac:dyDescent="0.3">
      <c r="B140" s="36"/>
      <c r="C140" s="36"/>
      <c r="D140" s="6"/>
      <c r="E140" s="36"/>
      <c r="F140" s="36"/>
      <c r="G140" s="6"/>
      <c r="H140" s="37"/>
      <c r="I140" s="36"/>
      <c r="J140" s="36"/>
      <c r="K140" s="60"/>
      <c r="M140" s="61"/>
      <c r="N140" s="61"/>
      <c r="O140" s="61"/>
      <c r="P140" s="61"/>
      <c r="Q140" s="61"/>
      <c r="R140" s="61"/>
      <c r="S140" s="62"/>
      <c r="T140" s="62"/>
      <c r="U140" s="62"/>
    </row>
    <row r="141" spans="2:21" ht="15.75" customHeight="1" x14ac:dyDescent="0.3">
      <c r="B141" s="36"/>
      <c r="C141" s="36"/>
      <c r="D141" s="6"/>
      <c r="E141" s="36"/>
      <c r="F141" s="36"/>
      <c r="G141" s="6"/>
      <c r="H141" s="37"/>
      <c r="I141" s="36"/>
      <c r="J141" s="36"/>
      <c r="K141" s="60"/>
      <c r="M141" s="61"/>
      <c r="N141" s="61"/>
      <c r="O141" s="61"/>
      <c r="P141" s="61"/>
      <c r="Q141" s="61"/>
      <c r="R141" s="61"/>
      <c r="S141" s="62"/>
      <c r="T141" s="62"/>
      <c r="U141" s="62"/>
    </row>
    <row r="142" spans="2:21" ht="15.75" customHeight="1" x14ac:dyDescent="0.3">
      <c r="B142" s="36"/>
      <c r="C142" s="36"/>
      <c r="D142" s="6"/>
      <c r="E142" s="36"/>
      <c r="F142" s="36"/>
      <c r="G142" s="6"/>
      <c r="H142" s="37"/>
      <c r="I142" s="36"/>
      <c r="J142" s="36"/>
      <c r="K142" s="60"/>
      <c r="M142" s="61"/>
      <c r="N142" s="61"/>
      <c r="O142" s="61"/>
      <c r="P142" s="61"/>
      <c r="Q142" s="61"/>
      <c r="R142" s="61"/>
      <c r="S142" s="62"/>
      <c r="T142" s="62"/>
      <c r="U142" s="62"/>
    </row>
    <row r="143" spans="2:21" ht="15.75" customHeight="1" x14ac:dyDescent="0.3">
      <c r="B143" s="36"/>
      <c r="C143" s="36"/>
      <c r="D143" s="6"/>
      <c r="E143" s="36"/>
      <c r="F143" s="36"/>
      <c r="G143" s="6"/>
      <c r="H143" s="37"/>
      <c r="I143" s="36"/>
      <c r="J143" s="36"/>
      <c r="K143" s="60"/>
      <c r="M143" s="61"/>
      <c r="N143" s="61"/>
      <c r="O143" s="61"/>
      <c r="P143" s="61"/>
      <c r="Q143" s="61"/>
      <c r="R143" s="61"/>
      <c r="S143" s="62"/>
      <c r="T143" s="62"/>
      <c r="U143" s="62"/>
    </row>
    <row r="144" spans="2:21" ht="15.75" customHeight="1" x14ac:dyDescent="0.3">
      <c r="B144" s="36"/>
      <c r="C144" s="36"/>
      <c r="D144" s="6"/>
      <c r="E144" s="36"/>
      <c r="F144" s="36"/>
      <c r="G144" s="6"/>
      <c r="H144" s="37"/>
      <c r="I144" s="36"/>
      <c r="J144" s="36"/>
      <c r="K144" s="60"/>
      <c r="M144" s="61"/>
      <c r="N144" s="61"/>
      <c r="O144" s="61"/>
      <c r="P144" s="61"/>
      <c r="Q144" s="61"/>
      <c r="R144" s="61"/>
      <c r="S144" s="62"/>
      <c r="T144" s="62"/>
      <c r="U144" s="62"/>
    </row>
    <row r="145" spans="2:21" ht="15.75" customHeight="1" x14ac:dyDescent="0.3">
      <c r="B145" s="36"/>
      <c r="C145" s="36"/>
      <c r="D145" s="6"/>
      <c r="E145" s="36"/>
      <c r="F145" s="36"/>
      <c r="G145" s="6"/>
      <c r="H145" s="37"/>
      <c r="I145" s="36"/>
      <c r="J145" s="36"/>
      <c r="K145" s="60"/>
      <c r="M145" s="61"/>
      <c r="N145" s="61"/>
      <c r="O145" s="61"/>
      <c r="P145" s="61"/>
      <c r="Q145" s="61"/>
      <c r="R145" s="61"/>
      <c r="S145" s="62"/>
      <c r="T145" s="62"/>
      <c r="U145" s="62"/>
    </row>
    <row r="146" spans="2:21" ht="15.75" customHeight="1" x14ac:dyDescent="0.3">
      <c r="B146" s="36"/>
      <c r="C146" s="36"/>
      <c r="D146" s="6"/>
      <c r="E146" s="36"/>
      <c r="F146" s="36"/>
      <c r="G146" s="6"/>
      <c r="H146" s="37"/>
      <c r="I146" s="36"/>
      <c r="J146" s="36"/>
      <c r="K146" s="60"/>
      <c r="M146" s="61"/>
      <c r="N146" s="61"/>
      <c r="O146" s="61"/>
      <c r="P146" s="61"/>
      <c r="Q146" s="61"/>
      <c r="R146" s="61"/>
      <c r="S146" s="62"/>
      <c r="T146" s="62"/>
      <c r="U146" s="62"/>
    </row>
    <row r="147" spans="2:21" ht="15.75" customHeight="1" x14ac:dyDescent="0.3">
      <c r="B147" s="36"/>
      <c r="C147" s="36"/>
      <c r="D147" s="6"/>
      <c r="E147" s="36"/>
      <c r="F147" s="36"/>
      <c r="G147" s="6"/>
      <c r="H147" s="37"/>
      <c r="I147" s="36"/>
      <c r="J147" s="36"/>
      <c r="K147" s="60"/>
      <c r="M147" s="61"/>
      <c r="N147" s="61"/>
      <c r="O147" s="61"/>
      <c r="P147" s="61"/>
      <c r="Q147" s="61"/>
      <c r="R147" s="61"/>
      <c r="S147" s="62"/>
      <c r="T147" s="62"/>
      <c r="U147" s="62"/>
    </row>
    <row r="148" spans="2:21" ht="15.75" customHeight="1" x14ac:dyDescent="0.3">
      <c r="B148" s="36"/>
      <c r="C148" s="36"/>
      <c r="D148" s="6"/>
      <c r="E148" s="36"/>
      <c r="F148" s="36"/>
      <c r="G148" s="6"/>
      <c r="H148" s="37"/>
      <c r="I148" s="36"/>
      <c r="J148" s="36"/>
      <c r="K148" s="60"/>
      <c r="M148" s="61"/>
      <c r="N148" s="61"/>
      <c r="O148" s="61"/>
      <c r="P148" s="61"/>
      <c r="Q148" s="61"/>
      <c r="R148" s="61"/>
      <c r="S148" s="62"/>
      <c r="T148" s="62"/>
      <c r="U148" s="62"/>
    </row>
    <row r="149" spans="2:21" ht="15.75" customHeight="1" x14ac:dyDescent="0.3">
      <c r="B149" s="36"/>
      <c r="C149" s="36"/>
      <c r="D149" s="6"/>
      <c r="E149" s="36"/>
      <c r="F149" s="36"/>
      <c r="G149" s="6"/>
      <c r="H149" s="37"/>
      <c r="I149" s="36"/>
      <c r="J149" s="36"/>
      <c r="K149" s="60"/>
      <c r="M149" s="61"/>
      <c r="N149" s="61"/>
      <c r="O149" s="61"/>
      <c r="P149" s="61"/>
      <c r="Q149" s="61"/>
      <c r="R149" s="61"/>
      <c r="S149" s="62"/>
      <c r="T149" s="62"/>
      <c r="U149" s="62"/>
    </row>
    <row r="150" spans="2:21" ht="15.75" customHeight="1" x14ac:dyDescent="0.3">
      <c r="B150" s="36"/>
      <c r="C150" s="36"/>
      <c r="D150" s="6"/>
      <c r="E150" s="36"/>
      <c r="F150" s="36"/>
      <c r="G150" s="6"/>
      <c r="H150" s="37"/>
      <c r="I150" s="36"/>
      <c r="J150" s="36"/>
      <c r="K150" s="60"/>
      <c r="M150" s="61"/>
      <c r="N150" s="61"/>
      <c r="O150" s="61"/>
      <c r="P150" s="61"/>
      <c r="Q150" s="61"/>
      <c r="R150" s="61"/>
      <c r="S150" s="62"/>
      <c r="T150" s="62"/>
      <c r="U150" s="62"/>
    </row>
    <row r="151" spans="2:21" ht="15.75" customHeight="1" x14ac:dyDescent="0.3">
      <c r="B151" s="36"/>
      <c r="C151" s="36"/>
      <c r="D151" s="6"/>
      <c r="E151" s="36"/>
      <c r="F151" s="36"/>
      <c r="G151" s="6"/>
      <c r="H151" s="37"/>
      <c r="I151" s="36"/>
      <c r="J151" s="36"/>
      <c r="K151" s="60"/>
      <c r="M151" s="61"/>
      <c r="N151" s="61"/>
      <c r="O151" s="61"/>
      <c r="P151" s="61"/>
      <c r="Q151" s="61"/>
      <c r="R151" s="61"/>
      <c r="S151" s="62"/>
      <c r="T151" s="62"/>
      <c r="U151" s="62"/>
    </row>
    <row r="152" spans="2:21" ht="15.75" customHeight="1" x14ac:dyDescent="0.3">
      <c r="B152" s="36"/>
      <c r="C152" s="36"/>
      <c r="D152" s="6"/>
      <c r="E152" s="36"/>
      <c r="F152" s="36"/>
      <c r="G152" s="6"/>
      <c r="H152" s="37"/>
      <c r="I152" s="36"/>
      <c r="J152" s="36"/>
      <c r="K152" s="60"/>
      <c r="M152" s="61"/>
      <c r="N152" s="61"/>
      <c r="O152" s="61"/>
      <c r="P152" s="61"/>
      <c r="Q152" s="61"/>
      <c r="R152" s="61"/>
      <c r="S152" s="62"/>
      <c r="T152" s="62"/>
      <c r="U152" s="62"/>
    </row>
    <row r="153" spans="2:21" ht="15.75" customHeight="1" x14ac:dyDescent="0.3">
      <c r="B153" s="36"/>
      <c r="C153" s="36"/>
      <c r="D153" s="6"/>
      <c r="E153" s="36"/>
      <c r="F153" s="36"/>
      <c r="G153" s="6"/>
      <c r="H153" s="37"/>
      <c r="I153" s="36"/>
      <c r="J153" s="36"/>
      <c r="K153" s="60"/>
      <c r="M153" s="61"/>
      <c r="N153" s="61"/>
      <c r="O153" s="61"/>
      <c r="P153" s="61"/>
      <c r="Q153" s="61"/>
      <c r="R153" s="61"/>
      <c r="S153" s="62"/>
      <c r="T153" s="62"/>
      <c r="U153" s="62"/>
    </row>
    <row r="154" spans="2:21" ht="15.75" customHeight="1" x14ac:dyDescent="0.3">
      <c r="B154" s="36"/>
      <c r="C154" s="36"/>
      <c r="D154" s="6"/>
      <c r="E154" s="36"/>
      <c r="F154" s="36"/>
      <c r="G154" s="6"/>
      <c r="H154" s="37"/>
      <c r="I154" s="36"/>
      <c r="J154" s="36"/>
      <c r="K154" s="60"/>
      <c r="M154" s="61"/>
      <c r="N154" s="61"/>
      <c r="O154" s="61"/>
      <c r="P154" s="61"/>
      <c r="Q154" s="61"/>
      <c r="R154" s="61"/>
      <c r="S154" s="62"/>
      <c r="T154" s="62"/>
      <c r="U154" s="62"/>
    </row>
    <row r="155" spans="2:21" ht="15.75" customHeight="1" x14ac:dyDescent="0.3">
      <c r="B155" s="36"/>
      <c r="C155" s="36"/>
      <c r="D155" s="6"/>
      <c r="E155" s="36"/>
      <c r="F155" s="36"/>
      <c r="G155" s="6"/>
      <c r="H155" s="37"/>
      <c r="I155" s="36"/>
      <c r="J155" s="36"/>
      <c r="K155" s="60"/>
      <c r="M155" s="61"/>
      <c r="N155" s="61"/>
      <c r="O155" s="61"/>
      <c r="P155" s="61"/>
      <c r="Q155" s="61"/>
      <c r="R155" s="61"/>
      <c r="S155" s="62"/>
      <c r="T155" s="62"/>
      <c r="U155" s="62"/>
    </row>
    <row r="156" spans="2:21" ht="15.75" customHeight="1" x14ac:dyDescent="0.3">
      <c r="B156" s="36"/>
      <c r="C156" s="36"/>
      <c r="D156" s="6"/>
      <c r="E156" s="36"/>
      <c r="F156" s="36"/>
      <c r="G156" s="6"/>
      <c r="H156" s="37"/>
      <c r="I156" s="36"/>
      <c r="J156" s="36"/>
      <c r="K156" s="60"/>
      <c r="M156" s="61"/>
      <c r="N156" s="61"/>
      <c r="O156" s="61"/>
      <c r="P156" s="61"/>
      <c r="Q156" s="61"/>
      <c r="R156" s="61"/>
      <c r="S156" s="62"/>
      <c r="T156" s="62"/>
      <c r="U156" s="62"/>
    </row>
    <row r="157" spans="2:21" ht="15.75" customHeight="1" x14ac:dyDescent="0.3">
      <c r="B157" s="36"/>
      <c r="C157" s="36"/>
      <c r="D157" s="6"/>
      <c r="E157" s="36"/>
      <c r="F157" s="36"/>
      <c r="G157" s="6"/>
      <c r="H157" s="37"/>
      <c r="I157" s="36"/>
      <c r="J157" s="36"/>
      <c r="K157" s="60"/>
      <c r="M157" s="61"/>
      <c r="N157" s="61"/>
      <c r="O157" s="61"/>
      <c r="P157" s="61"/>
      <c r="Q157" s="61"/>
      <c r="R157" s="61"/>
      <c r="S157" s="62"/>
      <c r="T157" s="62"/>
      <c r="U157" s="62"/>
    </row>
    <row r="158" spans="2:21" ht="15.75" customHeight="1" x14ac:dyDescent="0.3">
      <c r="B158" s="36"/>
      <c r="C158" s="36"/>
      <c r="D158" s="6"/>
      <c r="E158" s="36"/>
      <c r="F158" s="36"/>
      <c r="G158" s="6"/>
      <c r="H158" s="37"/>
      <c r="I158" s="36"/>
      <c r="J158" s="36"/>
      <c r="K158" s="60"/>
      <c r="M158" s="61"/>
      <c r="N158" s="61"/>
      <c r="O158" s="61"/>
      <c r="P158" s="61"/>
      <c r="Q158" s="61"/>
      <c r="R158" s="61"/>
      <c r="S158" s="62"/>
      <c r="T158" s="62"/>
      <c r="U158" s="62"/>
    </row>
    <row r="159" spans="2:21" ht="15.75" customHeight="1" x14ac:dyDescent="0.3">
      <c r="B159" s="36"/>
      <c r="C159" s="36"/>
      <c r="D159" s="6"/>
      <c r="E159" s="36"/>
      <c r="F159" s="36"/>
      <c r="G159" s="6"/>
      <c r="H159" s="37"/>
      <c r="I159" s="36"/>
      <c r="J159" s="36"/>
      <c r="K159" s="60"/>
      <c r="M159" s="61"/>
      <c r="N159" s="61"/>
      <c r="O159" s="61"/>
      <c r="P159" s="61"/>
      <c r="Q159" s="61"/>
      <c r="R159" s="61"/>
      <c r="S159" s="62"/>
      <c r="T159" s="62"/>
      <c r="U159" s="62"/>
    </row>
    <row r="160" spans="2:21" ht="15.75" customHeight="1" x14ac:dyDescent="0.3">
      <c r="B160" s="36"/>
      <c r="C160" s="36"/>
      <c r="D160" s="6"/>
      <c r="E160" s="36"/>
      <c r="F160" s="36"/>
      <c r="G160" s="6"/>
      <c r="H160" s="37"/>
      <c r="I160" s="36"/>
      <c r="J160" s="36"/>
      <c r="K160" s="60"/>
      <c r="M160" s="61"/>
      <c r="N160" s="61"/>
      <c r="O160" s="61"/>
      <c r="P160" s="61"/>
      <c r="Q160" s="61"/>
      <c r="R160" s="61"/>
      <c r="S160" s="62"/>
      <c r="T160" s="62"/>
      <c r="U160" s="62"/>
    </row>
    <row r="161" spans="2:21" ht="15.75" customHeight="1" x14ac:dyDescent="0.3">
      <c r="B161" s="36"/>
      <c r="C161" s="36"/>
      <c r="D161" s="6"/>
      <c r="E161" s="36"/>
      <c r="F161" s="36"/>
      <c r="G161" s="6"/>
      <c r="H161" s="37"/>
      <c r="I161" s="36"/>
      <c r="J161" s="36"/>
      <c r="K161" s="60"/>
      <c r="M161" s="61"/>
      <c r="N161" s="61"/>
      <c r="O161" s="61"/>
      <c r="P161" s="61"/>
      <c r="Q161" s="61"/>
      <c r="R161" s="61"/>
      <c r="S161" s="62"/>
      <c r="T161" s="62"/>
      <c r="U161" s="62"/>
    </row>
    <row r="162" spans="2:21" ht="15.75" customHeight="1" x14ac:dyDescent="0.3">
      <c r="B162" s="36"/>
      <c r="C162" s="36"/>
      <c r="D162" s="6"/>
      <c r="E162" s="36"/>
      <c r="F162" s="36"/>
      <c r="G162" s="6"/>
      <c r="H162" s="37"/>
      <c r="I162" s="36"/>
      <c r="J162" s="36"/>
      <c r="K162" s="60"/>
      <c r="M162" s="61"/>
      <c r="N162" s="61"/>
      <c r="O162" s="61"/>
      <c r="P162" s="61"/>
      <c r="Q162" s="61"/>
      <c r="R162" s="61"/>
      <c r="S162" s="62"/>
      <c r="T162" s="62"/>
      <c r="U162" s="62"/>
    </row>
    <row r="163" spans="2:21" ht="15.75" customHeight="1" x14ac:dyDescent="0.3">
      <c r="B163" s="36"/>
      <c r="C163" s="36"/>
      <c r="D163" s="6"/>
      <c r="E163" s="36"/>
      <c r="F163" s="36"/>
      <c r="G163" s="6"/>
      <c r="H163" s="37"/>
      <c r="I163" s="36"/>
      <c r="J163" s="36"/>
      <c r="K163" s="60"/>
      <c r="M163" s="61"/>
      <c r="N163" s="61"/>
      <c r="O163" s="61"/>
      <c r="P163" s="61"/>
      <c r="Q163" s="61"/>
      <c r="R163" s="61"/>
      <c r="S163" s="62"/>
      <c r="T163" s="62"/>
      <c r="U163" s="62"/>
    </row>
    <row r="164" spans="2:21" ht="15.75" customHeight="1" x14ac:dyDescent="0.3">
      <c r="B164" s="36"/>
      <c r="C164" s="36"/>
      <c r="D164" s="6"/>
      <c r="E164" s="36"/>
      <c r="F164" s="36"/>
      <c r="G164" s="6"/>
      <c r="H164" s="37"/>
      <c r="I164" s="36"/>
      <c r="J164" s="36"/>
      <c r="K164" s="60"/>
      <c r="M164" s="61"/>
      <c r="N164" s="61"/>
      <c r="O164" s="61"/>
      <c r="P164" s="61"/>
      <c r="Q164" s="61"/>
      <c r="R164" s="61"/>
      <c r="S164" s="62"/>
      <c r="T164" s="62"/>
      <c r="U164" s="62"/>
    </row>
    <row r="165" spans="2:21" ht="15.75" customHeight="1" x14ac:dyDescent="0.3">
      <c r="B165" s="36"/>
      <c r="C165" s="36"/>
      <c r="D165" s="6"/>
      <c r="E165" s="36"/>
      <c r="F165" s="36"/>
      <c r="G165" s="6"/>
      <c r="H165" s="37"/>
      <c r="I165" s="36"/>
      <c r="J165" s="36"/>
      <c r="K165" s="60"/>
      <c r="M165" s="61"/>
      <c r="N165" s="61"/>
      <c r="O165" s="61"/>
      <c r="P165" s="61"/>
      <c r="Q165" s="61"/>
      <c r="R165" s="61"/>
      <c r="S165" s="62"/>
      <c r="T165" s="62"/>
      <c r="U165" s="62"/>
    </row>
    <row r="166" spans="2:21" ht="15.75" customHeight="1" x14ac:dyDescent="0.3">
      <c r="B166" s="36"/>
      <c r="C166" s="36"/>
      <c r="D166" s="6"/>
      <c r="E166" s="36"/>
      <c r="F166" s="36"/>
      <c r="G166" s="6"/>
      <c r="H166" s="37"/>
      <c r="I166" s="36"/>
      <c r="J166" s="36"/>
      <c r="K166" s="60"/>
      <c r="M166" s="61"/>
      <c r="N166" s="61"/>
      <c r="O166" s="61"/>
      <c r="P166" s="61"/>
      <c r="Q166" s="61"/>
      <c r="R166" s="61"/>
      <c r="S166" s="62"/>
      <c r="T166" s="62"/>
      <c r="U166" s="62"/>
    </row>
    <row r="167" spans="2:21" ht="15.75" customHeight="1" x14ac:dyDescent="0.3">
      <c r="B167" s="36"/>
      <c r="C167" s="36"/>
      <c r="D167" s="6"/>
      <c r="E167" s="36"/>
      <c r="F167" s="36"/>
      <c r="G167" s="6"/>
      <c r="H167" s="37"/>
      <c r="I167" s="36"/>
      <c r="J167" s="36"/>
      <c r="K167" s="60"/>
      <c r="M167" s="61"/>
      <c r="N167" s="61"/>
      <c r="O167" s="61"/>
      <c r="P167" s="61"/>
      <c r="Q167" s="61"/>
      <c r="R167" s="61"/>
      <c r="S167" s="62"/>
      <c r="T167" s="62"/>
      <c r="U167" s="62"/>
    </row>
    <row r="168" spans="2:21" ht="15.75" customHeight="1" x14ac:dyDescent="0.3">
      <c r="B168" s="36"/>
      <c r="C168" s="36"/>
      <c r="D168" s="6"/>
      <c r="E168" s="36"/>
      <c r="F168" s="36"/>
      <c r="G168" s="6"/>
      <c r="H168" s="37"/>
      <c r="I168" s="36"/>
      <c r="J168" s="36"/>
      <c r="K168" s="60"/>
      <c r="M168" s="61"/>
      <c r="N168" s="61"/>
      <c r="O168" s="61"/>
      <c r="P168" s="61"/>
      <c r="Q168" s="61"/>
      <c r="R168" s="61"/>
      <c r="S168" s="62"/>
      <c r="T168" s="62"/>
      <c r="U168" s="62"/>
    </row>
    <row r="169" spans="2:21" ht="15.75" customHeight="1" x14ac:dyDescent="0.3">
      <c r="B169" s="36"/>
      <c r="C169" s="36"/>
      <c r="D169" s="6"/>
      <c r="E169" s="36"/>
      <c r="F169" s="36"/>
      <c r="G169" s="6"/>
      <c r="H169" s="37"/>
      <c r="I169" s="36"/>
      <c r="J169" s="36"/>
      <c r="K169" s="60"/>
      <c r="M169" s="61"/>
      <c r="N169" s="61"/>
      <c r="O169" s="61"/>
      <c r="P169" s="61"/>
      <c r="Q169" s="61"/>
      <c r="R169" s="61"/>
      <c r="S169" s="62"/>
      <c r="T169" s="62"/>
      <c r="U169" s="62"/>
    </row>
    <row r="170" spans="2:21" ht="15.75" customHeight="1" x14ac:dyDescent="0.3">
      <c r="B170" s="36"/>
      <c r="C170" s="36"/>
      <c r="D170" s="6"/>
      <c r="E170" s="36"/>
      <c r="F170" s="36"/>
      <c r="G170" s="6"/>
      <c r="H170" s="37"/>
      <c r="I170" s="36"/>
      <c r="J170" s="36"/>
      <c r="K170" s="60"/>
      <c r="M170" s="61"/>
      <c r="N170" s="61"/>
      <c r="O170" s="61"/>
      <c r="P170" s="61"/>
      <c r="Q170" s="61"/>
      <c r="R170" s="61"/>
      <c r="S170" s="62"/>
      <c r="T170" s="62"/>
      <c r="U170" s="62"/>
    </row>
    <row r="171" spans="2:21" ht="15.75" customHeight="1" x14ac:dyDescent="0.3">
      <c r="B171" s="36"/>
      <c r="C171" s="36"/>
      <c r="D171" s="6"/>
      <c r="E171" s="36"/>
      <c r="F171" s="36"/>
      <c r="G171" s="6"/>
      <c r="H171" s="37"/>
      <c r="I171" s="36"/>
      <c r="J171" s="36"/>
      <c r="K171" s="60"/>
      <c r="M171" s="61"/>
      <c r="N171" s="61"/>
      <c r="O171" s="61"/>
      <c r="P171" s="61"/>
      <c r="Q171" s="61"/>
      <c r="R171" s="61"/>
      <c r="S171" s="62"/>
      <c r="T171" s="62"/>
      <c r="U171" s="62"/>
    </row>
    <row r="172" spans="2:21" ht="15.75" customHeight="1" x14ac:dyDescent="0.3">
      <c r="B172" s="36"/>
      <c r="C172" s="36"/>
      <c r="D172" s="6"/>
      <c r="E172" s="36"/>
      <c r="F172" s="36"/>
      <c r="G172" s="6"/>
      <c r="H172" s="37"/>
      <c r="I172" s="36"/>
      <c r="J172" s="36"/>
      <c r="K172" s="60"/>
      <c r="M172" s="61"/>
      <c r="N172" s="61"/>
      <c r="O172" s="61"/>
      <c r="P172" s="61"/>
      <c r="Q172" s="61"/>
      <c r="R172" s="61"/>
      <c r="S172" s="62"/>
      <c r="T172" s="62"/>
      <c r="U172" s="62"/>
    </row>
    <row r="173" spans="2:21" ht="15.75" customHeight="1" x14ac:dyDescent="0.3">
      <c r="B173" s="36"/>
      <c r="C173" s="36"/>
      <c r="D173" s="6"/>
      <c r="E173" s="36"/>
      <c r="F173" s="36"/>
      <c r="G173" s="6"/>
      <c r="H173" s="37"/>
      <c r="I173" s="36"/>
      <c r="J173" s="36"/>
      <c r="K173" s="60"/>
      <c r="M173" s="61"/>
      <c r="N173" s="61"/>
      <c r="O173" s="61"/>
      <c r="P173" s="61"/>
      <c r="Q173" s="61"/>
      <c r="R173" s="61"/>
      <c r="S173" s="62"/>
      <c r="T173" s="62"/>
      <c r="U173" s="62"/>
    </row>
    <row r="174" spans="2:21" ht="15.75" customHeight="1" x14ac:dyDescent="0.3">
      <c r="B174" s="36"/>
      <c r="C174" s="36"/>
      <c r="D174" s="6"/>
      <c r="E174" s="36"/>
      <c r="F174" s="36"/>
      <c r="G174" s="6"/>
      <c r="H174" s="37"/>
      <c r="I174" s="36"/>
      <c r="J174" s="36"/>
      <c r="K174" s="60"/>
      <c r="M174" s="61"/>
      <c r="N174" s="61"/>
      <c r="O174" s="61"/>
      <c r="P174" s="61"/>
      <c r="Q174" s="61"/>
      <c r="R174" s="61"/>
      <c r="S174" s="62"/>
      <c r="T174" s="62"/>
      <c r="U174" s="62"/>
    </row>
    <row r="175" spans="2:21" ht="15.75" customHeight="1" x14ac:dyDescent="0.3">
      <c r="B175" s="36"/>
      <c r="C175" s="36"/>
      <c r="D175" s="6"/>
      <c r="E175" s="36"/>
      <c r="F175" s="36"/>
      <c r="G175" s="6"/>
      <c r="H175" s="37"/>
      <c r="I175" s="36"/>
      <c r="J175" s="36"/>
      <c r="K175" s="60"/>
      <c r="M175" s="61"/>
      <c r="N175" s="61"/>
      <c r="O175" s="61"/>
      <c r="P175" s="61"/>
      <c r="Q175" s="61"/>
      <c r="R175" s="61"/>
      <c r="S175" s="62"/>
      <c r="T175" s="62"/>
      <c r="U175" s="62"/>
    </row>
    <row r="176" spans="2:21" ht="15.75" customHeight="1" x14ac:dyDescent="0.3">
      <c r="B176" s="36"/>
      <c r="C176" s="36"/>
      <c r="D176" s="6"/>
      <c r="E176" s="36"/>
      <c r="F176" s="36"/>
      <c r="G176" s="6"/>
      <c r="H176" s="37"/>
      <c r="I176" s="36"/>
      <c r="J176" s="36"/>
      <c r="K176" s="60"/>
      <c r="M176" s="61"/>
      <c r="N176" s="61"/>
      <c r="O176" s="61"/>
      <c r="P176" s="61"/>
      <c r="Q176" s="61"/>
      <c r="R176" s="61"/>
      <c r="S176" s="62"/>
      <c r="T176" s="62"/>
      <c r="U176" s="62"/>
    </row>
    <row r="177" spans="2:21" ht="15.75" customHeight="1" x14ac:dyDescent="0.3">
      <c r="B177" s="36"/>
      <c r="C177" s="36"/>
      <c r="D177" s="6"/>
      <c r="E177" s="36"/>
      <c r="F177" s="36"/>
      <c r="G177" s="6"/>
      <c r="H177" s="37"/>
      <c r="I177" s="36"/>
      <c r="J177" s="36"/>
      <c r="K177" s="60"/>
      <c r="M177" s="61"/>
      <c r="N177" s="61"/>
      <c r="O177" s="61"/>
      <c r="P177" s="61"/>
      <c r="Q177" s="61"/>
      <c r="R177" s="61"/>
      <c r="S177" s="62"/>
      <c r="T177" s="62"/>
      <c r="U177" s="62"/>
    </row>
    <row r="178" spans="2:21" ht="15.75" customHeight="1" x14ac:dyDescent="0.3">
      <c r="B178" s="36"/>
      <c r="C178" s="36"/>
      <c r="D178" s="6"/>
      <c r="E178" s="36"/>
      <c r="F178" s="36"/>
      <c r="G178" s="6"/>
      <c r="H178" s="37"/>
      <c r="I178" s="36"/>
      <c r="J178" s="36"/>
      <c r="K178" s="60"/>
      <c r="M178" s="61"/>
      <c r="N178" s="61"/>
      <c r="O178" s="61"/>
      <c r="P178" s="61"/>
      <c r="Q178" s="61"/>
      <c r="R178" s="61"/>
      <c r="S178" s="62"/>
      <c r="T178" s="62"/>
      <c r="U178" s="62"/>
    </row>
    <row r="179" spans="2:21" ht="15.75" customHeight="1" x14ac:dyDescent="0.3">
      <c r="B179" s="36"/>
      <c r="C179" s="36"/>
      <c r="D179" s="6"/>
      <c r="E179" s="36"/>
      <c r="F179" s="36"/>
      <c r="G179" s="6"/>
      <c r="H179" s="37"/>
      <c r="I179" s="36"/>
      <c r="J179" s="36"/>
      <c r="K179" s="60"/>
      <c r="M179" s="61"/>
      <c r="N179" s="61"/>
      <c r="O179" s="61"/>
      <c r="P179" s="61"/>
      <c r="Q179" s="61"/>
      <c r="R179" s="61"/>
      <c r="S179" s="62"/>
      <c r="T179" s="62"/>
      <c r="U179" s="62"/>
    </row>
    <row r="180" spans="2:21" ht="15.75" customHeight="1" x14ac:dyDescent="0.3">
      <c r="B180" s="36"/>
      <c r="C180" s="36"/>
      <c r="D180" s="6"/>
      <c r="E180" s="36"/>
      <c r="F180" s="36"/>
      <c r="G180" s="6"/>
      <c r="H180" s="37"/>
      <c r="I180" s="36"/>
      <c r="J180" s="36"/>
      <c r="K180" s="60"/>
      <c r="M180" s="61"/>
      <c r="N180" s="61"/>
      <c r="O180" s="61"/>
      <c r="P180" s="61"/>
      <c r="Q180" s="61"/>
      <c r="R180" s="61"/>
      <c r="S180" s="62"/>
      <c r="T180" s="62"/>
      <c r="U180" s="62"/>
    </row>
    <row r="181" spans="2:21" ht="15.75" customHeight="1" x14ac:dyDescent="0.3">
      <c r="B181" s="36"/>
      <c r="C181" s="36"/>
      <c r="D181" s="6"/>
      <c r="E181" s="36"/>
      <c r="F181" s="36"/>
      <c r="G181" s="6"/>
      <c r="H181" s="37"/>
      <c r="I181" s="36"/>
      <c r="J181" s="36"/>
      <c r="K181" s="60"/>
      <c r="M181" s="61"/>
      <c r="N181" s="61"/>
      <c r="O181" s="61"/>
      <c r="P181" s="61"/>
      <c r="Q181" s="61"/>
      <c r="R181" s="61"/>
      <c r="S181" s="62"/>
      <c r="T181" s="62"/>
      <c r="U181" s="62"/>
    </row>
    <row r="182" spans="2:21" ht="15.75" customHeight="1" x14ac:dyDescent="0.3">
      <c r="B182" s="36"/>
      <c r="C182" s="36"/>
      <c r="D182" s="6"/>
      <c r="E182" s="36"/>
      <c r="F182" s="36"/>
      <c r="G182" s="6"/>
      <c r="H182" s="37"/>
      <c r="I182" s="36"/>
      <c r="J182" s="36"/>
      <c r="K182" s="60"/>
      <c r="M182" s="61"/>
      <c r="N182" s="61"/>
      <c r="O182" s="61"/>
      <c r="P182" s="61"/>
      <c r="Q182" s="61"/>
      <c r="R182" s="61"/>
      <c r="S182" s="62"/>
      <c r="T182" s="62"/>
      <c r="U182" s="62"/>
    </row>
    <row r="183" spans="2:21" ht="15.75" customHeight="1" x14ac:dyDescent="0.3">
      <c r="B183" s="36"/>
      <c r="C183" s="36"/>
      <c r="D183" s="6"/>
      <c r="E183" s="36"/>
      <c r="F183" s="36"/>
      <c r="G183" s="6"/>
      <c r="H183" s="37"/>
      <c r="I183" s="36"/>
      <c r="J183" s="36"/>
      <c r="K183" s="60"/>
      <c r="M183" s="61"/>
      <c r="N183" s="61"/>
      <c r="O183" s="61"/>
      <c r="P183" s="61"/>
      <c r="Q183" s="61"/>
      <c r="R183" s="61"/>
      <c r="S183" s="62"/>
      <c r="T183" s="62"/>
      <c r="U183" s="62"/>
    </row>
    <row r="184" spans="2:21" ht="15.75" customHeight="1" x14ac:dyDescent="0.3">
      <c r="B184" s="36"/>
      <c r="C184" s="36"/>
      <c r="D184" s="6"/>
      <c r="E184" s="36"/>
      <c r="F184" s="36"/>
      <c r="G184" s="6"/>
      <c r="H184" s="37"/>
      <c r="I184" s="36"/>
      <c r="J184" s="36"/>
      <c r="K184" s="60"/>
      <c r="M184" s="61"/>
      <c r="N184" s="61"/>
      <c r="O184" s="61"/>
      <c r="P184" s="61"/>
      <c r="Q184" s="61"/>
      <c r="R184" s="61"/>
      <c r="S184" s="62"/>
      <c r="T184" s="62"/>
      <c r="U184" s="62"/>
    </row>
    <row r="185" spans="2:21" ht="15.75" customHeight="1" x14ac:dyDescent="0.3">
      <c r="B185" s="36"/>
      <c r="C185" s="36"/>
      <c r="D185" s="6"/>
      <c r="E185" s="36"/>
      <c r="F185" s="36"/>
      <c r="G185" s="6"/>
      <c r="H185" s="37"/>
      <c r="I185" s="36"/>
      <c r="J185" s="36"/>
      <c r="K185" s="60"/>
      <c r="M185" s="61"/>
      <c r="N185" s="61"/>
      <c r="O185" s="61"/>
      <c r="P185" s="61"/>
      <c r="Q185" s="61"/>
      <c r="R185" s="61"/>
      <c r="S185" s="62"/>
      <c r="T185" s="62"/>
      <c r="U185" s="62"/>
    </row>
    <row r="186" spans="2:21" ht="15.75" customHeight="1" x14ac:dyDescent="0.3">
      <c r="B186" s="36"/>
      <c r="C186" s="36"/>
      <c r="D186" s="6"/>
      <c r="E186" s="36"/>
      <c r="F186" s="36"/>
      <c r="G186" s="6"/>
      <c r="H186" s="37"/>
      <c r="I186" s="36"/>
      <c r="J186" s="36"/>
      <c r="K186" s="60"/>
      <c r="M186" s="61"/>
      <c r="N186" s="61"/>
      <c r="O186" s="61"/>
      <c r="P186" s="61"/>
      <c r="Q186" s="61"/>
      <c r="R186" s="61"/>
      <c r="S186" s="62"/>
      <c r="T186" s="62"/>
      <c r="U186" s="62"/>
    </row>
    <row r="187" spans="2:21" ht="15.75" customHeight="1" x14ac:dyDescent="0.3">
      <c r="B187" s="36"/>
      <c r="C187" s="36"/>
      <c r="D187" s="6"/>
      <c r="E187" s="36"/>
      <c r="F187" s="36"/>
      <c r="G187" s="6"/>
      <c r="H187" s="37"/>
      <c r="I187" s="36"/>
      <c r="J187" s="36"/>
      <c r="K187" s="60"/>
      <c r="M187" s="61"/>
      <c r="N187" s="61"/>
      <c r="O187" s="61"/>
      <c r="P187" s="61"/>
      <c r="Q187" s="61"/>
      <c r="R187" s="61"/>
      <c r="S187" s="62"/>
      <c r="T187" s="62"/>
      <c r="U187" s="62"/>
    </row>
    <row r="188" spans="2:21" ht="15.75" customHeight="1" x14ac:dyDescent="0.3">
      <c r="B188" s="36"/>
      <c r="C188" s="36"/>
      <c r="D188" s="6"/>
      <c r="E188" s="36"/>
      <c r="F188" s="36"/>
      <c r="G188" s="6"/>
      <c r="H188" s="37"/>
      <c r="I188" s="36"/>
      <c r="J188" s="36"/>
      <c r="K188" s="60"/>
      <c r="M188" s="61"/>
      <c r="N188" s="61"/>
      <c r="O188" s="61"/>
      <c r="P188" s="61"/>
      <c r="Q188" s="61"/>
      <c r="R188" s="61"/>
      <c r="S188" s="62"/>
      <c r="T188" s="62"/>
      <c r="U188" s="62"/>
    </row>
    <row r="189" spans="2:21" ht="15.75" customHeight="1" x14ac:dyDescent="0.3">
      <c r="B189" s="36"/>
      <c r="C189" s="36"/>
      <c r="D189" s="6"/>
      <c r="E189" s="36"/>
      <c r="F189" s="36"/>
      <c r="G189" s="6"/>
      <c r="H189" s="37"/>
      <c r="I189" s="36"/>
      <c r="J189" s="36"/>
      <c r="K189" s="60"/>
      <c r="M189" s="61"/>
      <c r="N189" s="61"/>
      <c r="O189" s="61"/>
      <c r="P189" s="61"/>
      <c r="Q189" s="61"/>
      <c r="R189" s="61"/>
      <c r="S189" s="62"/>
      <c r="T189" s="62"/>
      <c r="U189" s="62"/>
    </row>
    <row r="190" spans="2:21" ht="15.75" customHeight="1" x14ac:dyDescent="0.3">
      <c r="B190" s="36"/>
      <c r="C190" s="36"/>
      <c r="D190" s="6"/>
      <c r="E190" s="36"/>
      <c r="F190" s="36"/>
      <c r="G190" s="6"/>
      <c r="H190" s="37"/>
      <c r="I190" s="36"/>
      <c r="J190" s="36"/>
      <c r="K190" s="60"/>
      <c r="M190" s="61"/>
      <c r="N190" s="61"/>
      <c r="O190" s="61"/>
      <c r="P190" s="61"/>
      <c r="Q190" s="61"/>
      <c r="R190" s="61"/>
      <c r="S190" s="62"/>
      <c r="T190" s="62"/>
      <c r="U190" s="62"/>
    </row>
    <row r="191" spans="2:21" ht="15.75" customHeight="1" x14ac:dyDescent="0.3">
      <c r="B191" s="36"/>
      <c r="C191" s="36"/>
      <c r="D191" s="6"/>
      <c r="E191" s="36"/>
      <c r="F191" s="36"/>
      <c r="G191" s="6"/>
      <c r="H191" s="37"/>
      <c r="I191" s="36"/>
      <c r="J191" s="36"/>
      <c r="K191" s="60"/>
      <c r="M191" s="61"/>
      <c r="N191" s="61"/>
      <c r="O191" s="61"/>
      <c r="P191" s="61"/>
      <c r="Q191" s="61"/>
      <c r="R191" s="61"/>
      <c r="S191" s="62"/>
      <c r="T191" s="62"/>
      <c r="U191" s="62"/>
    </row>
    <row r="192" spans="2:21" ht="15.75" customHeight="1" x14ac:dyDescent="0.3">
      <c r="B192" s="36"/>
      <c r="C192" s="36"/>
      <c r="D192" s="6"/>
      <c r="E192" s="36"/>
      <c r="F192" s="36"/>
      <c r="G192" s="6"/>
      <c r="H192" s="37"/>
      <c r="I192" s="36"/>
      <c r="J192" s="36"/>
      <c r="K192" s="60"/>
      <c r="M192" s="61"/>
      <c r="N192" s="61"/>
      <c r="O192" s="61"/>
      <c r="P192" s="61"/>
      <c r="Q192" s="61"/>
      <c r="R192" s="61"/>
      <c r="S192" s="62"/>
      <c r="T192" s="62"/>
      <c r="U192" s="62"/>
    </row>
    <row r="193" spans="2:21" ht="15.75" customHeight="1" x14ac:dyDescent="0.3">
      <c r="B193" s="36"/>
      <c r="C193" s="36"/>
      <c r="D193" s="6"/>
      <c r="E193" s="36"/>
      <c r="F193" s="36"/>
      <c r="G193" s="6"/>
      <c r="H193" s="37"/>
      <c r="I193" s="36"/>
      <c r="J193" s="36"/>
      <c r="K193" s="60"/>
      <c r="M193" s="61"/>
      <c r="N193" s="61"/>
      <c r="O193" s="61"/>
      <c r="P193" s="61"/>
      <c r="Q193" s="61"/>
      <c r="R193" s="61"/>
      <c r="S193" s="62"/>
      <c r="T193" s="62"/>
      <c r="U193" s="62"/>
    </row>
    <row r="194" spans="2:21" ht="15.75" customHeight="1" x14ac:dyDescent="0.3">
      <c r="B194" s="36"/>
      <c r="C194" s="36"/>
      <c r="D194" s="6"/>
      <c r="E194" s="36"/>
      <c r="F194" s="36"/>
      <c r="G194" s="6"/>
      <c r="H194" s="37"/>
      <c r="I194" s="36"/>
      <c r="J194" s="36"/>
      <c r="K194" s="60"/>
      <c r="M194" s="61"/>
      <c r="N194" s="61"/>
      <c r="O194" s="61"/>
      <c r="P194" s="61"/>
      <c r="Q194" s="61"/>
      <c r="R194" s="61"/>
      <c r="S194" s="62"/>
      <c r="T194" s="62"/>
      <c r="U194" s="62"/>
    </row>
    <row r="195" spans="2:21" ht="15.75" customHeight="1" x14ac:dyDescent="0.3">
      <c r="B195" s="36"/>
      <c r="C195" s="36"/>
      <c r="D195" s="6"/>
      <c r="E195" s="36"/>
      <c r="F195" s="36"/>
      <c r="G195" s="6"/>
      <c r="H195" s="37"/>
      <c r="I195" s="36"/>
      <c r="J195" s="36"/>
      <c r="K195" s="60"/>
      <c r="M195" s="61"/>
      <c r="N195" s="61"/>
      <c r="O195" s="61"/>
      <c r="P195" s="61"/>
      <c r="Q195" s="61"/>
      <c r="R195" s="61"/>
      <c r="S195" s="62"/>
      <c r="T195" s="62"/>
      <c r="U195" s="62"/>
    </row>
    <row r="196" spans="2:21" ht="15.75" customHeight="1" x14ac:dyDescent="0.3">
      <c r="B196" s="36"/>
      <c r="C196" s="36"/>
      <c r="D196" s="6"/>
      <c r="E196" s="36"/>
      <c r="F196" s="36"/>
      <c r="G196" s="6"/>
      <c r="H196" s="37"/>
      <c r="I196" s="36"/>
      <c r="J196" s="36"/>
      <c r="K196" s="60"/>
      <c r="M196" s="61"/>
      <c r="N196" s="61"/>
      <c r="O196" s="61"/>
      <c r="P196" s="61"/>
      <c r="Q196" s="61"/>
      <c r="R196" s="61"/>
      <c r="S196" s="62"/>
      <c r="T196" s="62"/>
      <c r="U196" s="62"/>
    </row>
    <row r="197" spans="2:21" ht="15.75" customHeight="1" x14ac:dyDescent="0.3">
      <c r="B197" s="36"/>
      <c r="C197" s="36"/>
      <c r="D197" s="6"/>
      <c r="E197" s="36"/>
      <c r="F197" s="36"/>
      <c r="G197" s="6"/>
      <c r="H197" s="37"/>
      <c r="I197" s="36"/>
      <c r="J197" s="36"/>
      <c r="K197" s="60"/>
      <c r="M197" s="61"/>
      <c r="N197" s="61"/>
      <c r="O197" s="61"/>
      <c r="P197" s="61"/>
      <c r="Q197" s="61"/>
      <c r="R197" s="61"/>
      <c r="S197" s="62"/>
      <c r="T197" s="62"/>
      <c r="U197" s="62"/>
    </row>
    <row r="198" spans="2:21" ht="15.75" customHeight="1" x14ac:dyDescent="0.3">
      <c r="B198" s="36"/>
      <c r="C198" s="36"/>
      <c r="D198" s="6"/>
      <c r="E198" s="36"/>
      <c r="F198" s="36"/>
      <c r="G198" s="6"/>
      <c r="H198" s="37"/>
      <c r="I198" s="36"/>
      <c r="J198" s="36"/>
      <c r="K198" s="60"/>
      <c r="M198" s="61"/>
      <c r="N198" s="61"/>
      <c r="O198" s="61"/>
      <c r="P198" s="61"/>
      <c r="Q198" s="61"/>
      <c r="R198" s="61"/>
      <c r="S198" s="62"/>
      <c r="T198" s="62"/>
      <c r="U198" s="62"/>
    </row>
    <row r="199" spans="2:21" ht="15.75" customHeight="1" x14ac:dyDescent="0.3">
      <c r="B199" s="36"/>
      <c r="C199" s="36"/>
      <c r="D199" s="6"/>
      <c r="E199" s="36"/>
      <c r="F199" s="36"/>
      <c r="G199" s="6"/>
      <c r="H199" s="37"/>
      <c r="I199" s="36"/>
      <c r="J199" s="36"/>
      <c r="K199" s="60"/>
      <c r="M199" s="61"/>
      <c r="N199" s="61"/>
      <c r="O199" s="61"/>
      <c r="P199" s="61"/>
      <c r="Q199" s="61"/>
      <c r="R199" s="61"/>
      <c r="S199" s="62"/>
      <c r="T199" s="62"/>
      <c r="U199" s="62"/>
    </row>
    <row r="200" spans="2:21" ht="15.75" customHeight="1" x14ac:dyDescent="0.3">
      <c r="B200" s="36"/>
      <c r="C200" s="36"/>
      <c r="D200" s="6"/>
      <c r="E200" s="36"/>
      <c r="F200" s="36"/>
      <c r="G200" s="6"/>
      <c r="H200" s="37"/>
      <c r="I200" s="36"/>
      <c r="J200" s="36"/>
      <c r="K200" s="60"/>
      <c r="M200" s="61"/>
      <c r="N200" s="61"/>
      <c r="O200" s="61"/>
      <c r="P200" s="61"/>
      <c r="Q200" s="61"/>
      <c r="R200" s="61"/>
      <c r="S200" s="62"/>
      <c r="T200" s="62"/>
      <c r="U200" s="62"/>
    </row>
    <row r="201" spans="2:21" ht="15.75" customHeight="1" x14ac:dyDescent="0.3">
      <c r="B201" s="36"/>
      <c r="C201" s="36"/>
      <c r="D201" s="6"/>
      <c r="E201" s="36"/>
      <c r="F201" s="36"/>
      <c r="G201" s="6"/>
      <c r="H201" s="37"/>
      <c r="I201" s="36"/>
      <c r="J201" s="36"/>
      <c r="K201" s="60"/>
      <c r="M201" s="61"/>
      <c r="N201" s="61"/>
      <c r="O201" s="61"/>
      <c r="P201" s="61"/>
      <c r="Q201" s="61"/>
      <c r="R201" s="61"/>
      <c r="S201" s="62"/>
      <c r="T201" s="62"/>
      <c r="U201" s="62"/>
    </row>
    <row r="202" spans="2:21" ht="15.75" customHeight="1" x14ac:dyDescent="0.3">
      <c r="B202" s="36"/>
      <c r="C202" s="36"/>
      <c r="D202" s="6"/>
      <c r="E202" s="36"/>
      <c r="F202" s="36"/>
      <c r="G202" s="6"/>
      <c r="H202" s="37"/>
      <c r="I202" s="36"/>
      <c r="J202" s="36"/>
      <c r="K202" s="60"/>
      <c r="M202" s="61"/>
      <c r="N202" s="61"/>
      <c r="O202" s="61"/>
      <c r="P202" s="61"/>
      <c r="Q202" s="61"/>
      <c r="R202" s="61"/>
      <c r="S202" s="62"/>
      <c r="T202" s="62"/>
      <c r="U202" s="62"/>
    </row>
    <row r="203" spans="2:21" ht="15.75" customHeight="1" x14ac:dyDescent="0.3">
      <c r="B203" s="36"/>
      <c r="C203" s="36"/>
      <c r="D203" s="6"/>
      <c r="E203" s="36"/>
      <c r="F203" s="36"/>
      <c r="G203" s="6"/>
      <c r="H203" s="37"/>
      <c r="I203" s="36"/>
      <c r="J203" s="36"/>
      <c r="K203" s="60"/>
      <c r="M203" s="61"/>
      <c r="N203" s="61"/>
      <c r="O203" s="61"/>
      <c r="P203" s="61"/>
      <c r="Q203" s="61"/>
      <c r="R203" s="61"/>
      <c r="S203" s="62"/>
      <c r="T203" s="62"/>
      <c r="U203" s="62"/>
    </row>
    <row r="204" spans="2:21" ht="15.75" customHeight="1" x14ac:dyDescent="0.3">
      <c r="B204" s="36"/>
      <c r="C204" s="36"/>
      <c r="D204" s="6"/>
      <c r="E204" s="36"/>
      <c r="F204" s="36"/>
      <c r="G204" s="6"/>
      <c r="H204" s="37"/>
      <c r="I204" s="36"/>
      <c r="J204" s="36"/>
      <c r="K204" s="60"/>
      <c r="M204" s="61"/>
      <c r="N204" s="61"/>
      <c r="O204" s="61"/>
      <c r="P204" s="61"/>
      <c r="Q204" s="61"/>
      <c r="R204" s="61"/>
      <c r="S204" s="62"/>
      <c r="T204" s="62"/>
      <c r="U204" s="62"/>
    </row>
    <row r="205" spans="2:21" ht="15.75" customHeight="1" x14ac:dyDescent="0.3">
      <c r="B205" s="36"/>
      <c r="C205" s="36"/>
      <c r="D205" s="6"/>
      <c r="E205" s="36"/>
      <c r="F205" s="36"/>
      <c r="G205" s="6"/>
      <c r="H205" s="37"/>
      <c r="I205" s="36"/>
      <c r="J205" s="36"/>
      <c r="K205" s="60"/>
      <c r="M205" s="61"/>
      <c r="N205" s="61"/>
      <c r="O205" s="61"/>
      <c r="P205" s="61"/>
      <c r="Q205" s="61"/>
      <c r="R205" s="61"/>
      <c r="S205" s="62"/>
      <c r="T205" s="62"/>
      <c r="U205" s="62"/>
    </row>
    <row r="206" spans="2:21" ht="15.75" customHeight="1" x14ac:dyDescent="0.3">
      <c r="B206" s="36"/>
      <c r="C206" s="36"/>
      <c r="D206" s="6"/>
      <c r="E206" s="36"/>
      <c r="F206" s="36"/>
      <c r="G206" s="6"/>
      <c r="H206" s="37"/>
      <c r="I206" s="36"/>
      <c r="J206" s="36"/>
      <c r="K206" s="60"/>
      <c r="M206" s="61"/>
      <c r="N206" s="61"/>
      <c r="O206" s="61"/>
      <c r="P206" s="61"/>
      <c r="Q206" s="61"/>
      <c r="R206" s="61"/>
      <c r="S206" s="62"/>
      <c r="T206" s="62"/>
      <c r="U206" s="62"/>
    </row>
    <row r="207" spans="2:21" ht="15.75" customHeight="1" x14ac:dyDescent="0.3">
      <c r="B207" s="36"/>
      <c r="C207" s="36"/>
      <c r="D207" s="6"/>
      <c r="E207" s="36"/>
      <c r="F207" s="36"/>
      <c r="G207" s="6"/>
      <c r="H207" s="37"/>
      <c r="I207" s="36"/>
      <c r="J207" s="36"/>
      <c r="K207" s="60"/>
      <c r="M207" s="61"/>
      <c r="N207" s="61"/>
      <c r="O207" s="61"/>
      <c r="P207" s="61"/>
      <c r="Q207" s="61"/>
      <c r="R207" s="61"/>
      <c r="S207" s="62"/>
      <c r="T207" s="62"/>
      <c r="U207" s="62"/>
    </row>
    <row r="208" spans="2:21" ht="15.75" customHeight="1" x14ac:dyDescent="0.3">
      <c r="B208" s="36"/>
      <c r="C208" s="36"/>
      <c r="D208" s="6"/>
      <c r="E208" s="36"/>
      <c r="F208" s="36"/>
      <c r="G208" s="6"/>
      <c r="H208" s="37"/>
      <c r="I208" s="36"/>
      <c r="J208" s="36"/>
      <c r="K208" s="60"/>
      <c r="M208" s="61"/>
      <c r="N208" s="61"/>
      <c r="O208" s="61"/>
      <c r="P208" s="61"/>
      <c r="Q208" s="61"/>
      <c r="R208" s="61"/>
      <c r="S208" s="62"/>
      <c r="T208" s="62"/>
      <c r="U208" s="62"/>
    </row>
    <row r="209" spans="2:21" ht="15.75" customHeight="1" x14ac:dyDescent="0.3">
      <c r="B209" s="36"/>
      <c r="C209" s="36"/>
      <c r="D209" s="6"/>
      <c r="E209" s="36"/>
      <c r="F209" s="36"/>
      <c r="G209" s="6"/>
      <c r="H209" s="37"/>
      <c r="I209" s="36"/>
      <c r="J209" s="36"/>
      <c r="K209" s="60"/>
      <c r="M209" s="61"/>
      <c r="N209" s="61"/>
      <c r="O209" s="61"/>
      <c r="P209" s="61"/>
      <c r="Q209" s="61"/>
      <c r="R209" s="61"/>
      <c r="S209" s="62"/>
      <c r="T209" s="62"/>
      <c r="U209" s="62"/>
    </row>
    <row r="210" spans="2:21" ht="15.75" customHeight="1" x14ac:dyDescent="0.3">
      <c r="B210" s="36"/>
      <c r="C210" s="36"/>
      <c r="D210" s="6"/>
      <c r="E210" s="36"/>
      <c r="F210" s="36"/>
      <c r="G210" s="6"/>
      <c r="H210" s="37"/>
      <c r="I210" s="36"/>
      <c r="J210" s="36"/>
      <c r="K210" s="60"/>
      <c r="M210" s="61"/>
      <c r="N210" s="61"/>
      <c r="O210" s="61"/>
      <c r="P210" s="61"/>
      <c r="Q210" s="61"/>
      <c r="R210" s="61"/>
      <c r="S210" s="62"/>
      <c r="T210" s="62"/>
      <c r="U210" s="62"/>
    </row>
    <row r="211" spans="2:21" ht="15.75" customHeight="1" x14ac:dyDescent="0.3">
      <c r="B211" s="36"/>
      <c r="C211" s="36"/>
      <c r="D211" s="6"/>
      <c r="E211" s="36"/>
      <c r="F211" s="36"/>
      <c r="G211" s="6"/>
      <c r="H211" s="37"/>
      <c r="I211" s="36"/>
      <c r="J211" s="36"/>
      <c r="K211" s="60"/>
      <c r="M211" s="61"/>
      <c r="N211" s="61"/>
      <c r="O211" s="61"/>
      <c r="P211" s="61"/>
      <c r="Q211" s="61"/>
      <c r="R211" s="61"/>
      <c r="S211" s="62"/>
      <c r="T211" s="62"/>
      <c r="U211" s="62"/>
    </row>
    <row r="212" spans="2:21" ht="15.75" customHeight="1" x14ac:dyDescent="0.3">
      <c r="B212" s="36"/>
      <c r="C212" s="36"/>
      <c r="D212" s="6"/>
      <c r="E212" s="36"/>
      <c r="F212" s="36"/>
      <c r="G212" s="6"/>
      <c r="H212" s="37"/>
      <c r="I212" s="36"/>
      <c r="J212" s="36"/>
      <c r="K212" s="60"/>
      <c r="M212" s="61"/>
      <c r="N212" s="61"/>
      <c r="O212" s="61"/>
      <c r="P212" s="61"/>
      <c r="Q212" s="61"/>
      <c r="R212" s="61"/>
      <c r="S212" s="62"/>
      <c r="T212" s="62"/>
      <c r="U212" s="62"/>
    </row>
    <row r="213" spans="2:21" ht="15.75" customHeight="1" x14ac:dyDescent="0.3">
      <c r="B213" s="36"/>
      <c r="C213" s="36"/>
      <c r="D213" s="6"/>
      <c r="E213" s="36"/>
      <c r="F213" s="36"/>
      <c r="G213" s="6"/>
      <c r="H213" s="37"/>
      <c r="I213" s="36"/>
      <c r="J213" s="36"/>
      <c r="K213" s="60"/>
      <c r="M213" s="61"/>
      <c r="N213" s="61"/>
      <c r="O213" s="61"/>
      <c r="P213" s="61"/>
      <c r="Q213" s="61"/>
      <c r="R213" s="61"/>
      <c r="S213" s="62"/>
      <c r="T213" s="62"/>
      <c r="U213" s="62"/>
    </row>
    <row r="214" spans="2:21" ht="15.75" customHeight="1" x14ac:dyDescent="0.3">
      <c r="B214" s="36"/>
      <c r="C214" s="36"/>
      <c r="D214" s="6"/>
      <c r="E214" s="36"/>
      <c r="F214" s="36"/>
      <c r="G214" s="6"/>
      <c r="H214" s="37"/>
      <c r="I214" s="36"/>
      <c r="J214" s="36"/>
      <c r="K214" s="60"/>
      <c r="M214" s="61"/>
      <c r="N214" s="61"/>
      <c r="O214" s="61"/>
      <c r="P214" s="61"/>
      <c r="Q214" s="61"/>
      <c r="R214" s="61"/>
      <c r="S214" s="62"/>
      <c r="T214" s="62"/>
      <c r="U214" s="62"/>
    </row>
    <row r="215" spans="2:21" ht="15.75" customHeight="1" x14ac:dyDescent="0.3">
      <c r="B215" s="36"/>
      <c r="C215" s="36"/>
      <c r="D215" s="6"/>
      <c r="E215" s="36"/>
      <c r="F215" s="36"/>
      <c r="G215" s="6"/>
      <c r="H215" s="37"/>
      <c r="I215" s="36"/>
      <c r="J215" s="36"/>
      <c r="K215" s="60"/>
      <c r="M215" s="61"/>
      <c r="N215" s="61"/>
      <c r="O215" s="61"/>
      <c r="P215" s="61"/>
      <c r="Q215" s="61"/>
      <c r="R215" s="61"/>
      <c r="S215" s="62"/>
      <c r="T215" s="62"/>
      <c r="U215" s="62"/>
    </row>
    <row r="216" spans="2:21" ht="15.75" customHeight="1" x14ac:dyDescent="0.3">
      <c r="B216" s="36"/>
      <c r="C216" s="36"/>
      <c r="D216" s="6"/>
      <c r="E216" s="36"/>
      <c r="F216" s="36"/>
      <c r="G216" s="6"/>
      <c r="H216" s="37"/>
      <c r="I216" s="36"/>
      <c r="J216" s="36"/>
      <c r="K216" s="60"/>
      <c r="M216" s="61"/>
      <c r="N216" s="61"/>
      <c r="O216" s="61"/>
      <c r="P216" s="61"/>
      <c r="Q216" s="61"/>
      <c r="R216" s="61"/>
      <c r="S216" s="62"/>
      <c r="T216" s="62"/>
      <c r="U216" s="62"/>
    </row>
    <row r="217" spans="2:21" ht="15.75" customHeight="1" x14ac:dyDescent="0.3">
      <c r="B217" s="36"/>
      <c r="C217" s="36"/>
      <c r="D217" s="6"/>
      <c r="E217" s="36"/>
      <c r="F217" s="36"/>
      <c r="G217" s="6"/>
      <c r="H217" s="37"/>
      <c r="I217" s="36"/>
      <c r="J217" s="36"/>
      <c r="K217" s="60"/>
      <c r="M217" s="61"/>
      <c r="N217" s="61"/>
      <c r="O217" s="61"/>
      <c r="P217" s="61"/>
      <c r="Q217" s="61"/>
      <c r="R217" s="61"/>
      <c r="S217" s="62"/>
      <c r="T217" s="62"/>
      <c r="U217" s="62"/>
    </row>
    <row r="218" spans="2:21" ht="15.75" customHeight="1" x14ac:dyDescent="0.3">
      <c r="B218" s="36"/>
      <c r="C218" s="36"/>
      <c r="D218" s="6"/>
      <c r="E218" s="36"/>
      <c r="F218" s="36"/>
      <c r="G218" s="6"/>
      <c r="H218" s="37"/>
      <c r="I218" s="36"/>
      <c r="J218" s="36"/>
      <c r="K218" s="60"/>
      <c r="M218" s="61"/>
      <c r="N218" s="61"/>
      <c r="O218" s="61"/>
      <c r="P218" s="61"/>
      <c r="Q218" s="61"/>
      <c r="R218" s="61"/>
      <c r="S218" s="62"/>
      <c r="T218" s="62"/>
      <c r="U218" s="62"/>
    </row>
    <row r="219" spans="2:21" ht="15.75" customHeight="1" x14ac:dyDescent="0.3">
      <c r="B219" s="36"/>
      <c r="C219" s="36"/>
      <c r="D219" s="6"/>
      <c r="E219" s="36"/>
      <c r="F219" s="36"/>
      <c r="G219" s="6"/>
      <c r="H219" s="37"/>
      <c r="I219" s="36"/>
      <c r="J219" s="36"/>
      <c r="K219" s="60"/>
      <c r="M219" s="61"/>
      <c r="N219" s="61"/>
      <c r="O219" s="61"/>
      <c r="P219" s="61"/>
      <c r="Q219" s="61"/>
      <c r="R219" s="61"/>
      <c r="S219" s="62"/>
      <c r="T219" s="62"/>
      <c r="U219" s="62"/>
    </row>
    <row r="220" spans="2:21" ht="15.75" customHeight="1" x14ac:dyDescent="0.3">
      <c r="B220" s="36"/>
      <c r="C220" s="36"/>
      <c r="D220" s="6"/>
      <c r="E220" s="36"/>
      <c r="F220" s="36"/>
      <c r="G220" s="6"/>
      <c r="H220" s="37"/>
      <c r="I220" s="36"/>
      <c r="J220" s="36"/>
      <c r="K220" s="60"/>
      <c r="M220" s="61"/>
      <c r="N220" s="61"/>
      <c r="O220" s="61"/>
      <c r="P220" s="61"/>
      <c r="Q220" s="61"/>
      <c r="R220" s="61"/>
      <c r="S220" s="62"/>
      <c r="T220" s="62"/>
      <c r="U220" s="62"/>
    </row>
    <row r="221" spans="2:21" ht="15.75" customHeight="1" x14ac:dyDescent="0.3">
      <c r="B221" s="36"/>
      <c r="C221" s="36"/>
      <c r="D221" s="6"/>
      <c r="E221" s="36"/>
      <c r="F221" s="36"/>
      <c r="G221" s="6"/>
      <c r="H221" s="37"/>
      <c r="I221" s="36"/>
      <c r="J221" s="36"/>
      <c r="K221" s="60"/>
      <c r="M221" s="61"/>
      <c r="N221" s="61"/>
      <c r="O221" s="61"/>
      <c r="P221" s="61"/>
      <c r="Q221" s="61"/>
      <c r="R221" s="61"/>
      <c r="S221" s="62"/>
      <c r="T221" s="62"/>
      <c r="U221" s="62"/>
    </row>
    <row r="222" spans="2:21" ht="15.75" customHeight="1" x14ac:dyDescent="0.3">
      <c r="B222" s="36"/>
      <c r="C222" s="36"/>
      <c r="D222" s="6"/>
      <c r="E222" s="36"/>
      <c r="F222" s="36"/>
      <c r="G222" s="6"/>
      <c r="H222" s="37"/>
      <c r="I222" s="36"/>
      <c r="J222" s="36"/>
      <c r="K222" s="60"/>
      <c r="M222" s="61"/>
      <c r="N222" s="61"/>
      <c r="O222" s="61"/>
      <c r="P222" s="61"/>
      <c r="Q222" s="61"/>
      <c r="R222" s="61"/>
      <c r="S222" s="62"/>
      <c r="T222" s="62"/>
      <c r="U222" s="62"/>
    </row>
    <row r="223" spans="2:21" ht="15.75" customHeight="1" x14ac:dyDescent="0.3">
      <c r="B223" s="36"/>
      <c r="C223" s="36"/>
      <c r="D223" s="6"/>
      <c r="E223" s="36"/>
      <c r="F223" s="36"/>
      <c r="G223" s="6"/>
      <c r="H223" s="37"/>
      <c r="I223" s="36"/>
      <c r="J223" s="36"/>
      <c r="K223" s="60"/>
      <c r="M223" s="61"/>
      <c r="N223" s="61"/>
      <c r="O223" s="61"/>
      <c r="P223" s="61"/>
      <c r="Q223" s="61"/>
      <c r="R223" s="61"/>
      <c r="S223" s="62"/>
      <c r="T223" s="62"/>
      <c r="U223" s="62"/>
    </row>
    <row r="224" spans="2:21" ht="15.75" customHeight="1" x14ac:dyDescent="0.3">
      <c r="B224" s="36"/>
      <c r="C224" s="36"/>
      <c r="D224" s="6"/>
      <c r="E224" s="36"/>
      <c r="F224" s="36"/>
      <c r="G224" s="6"/>
      <c r="H224" s="37"/>
      <c r="I224" s="36"/>
      <c r="J224" s="36"/>
      <c r="K224" s="60"/>
      <c r="M224" s="61"/>
      <c r="N224" s="61"/>
      <c r="O224" s="61"/>
      <c r="P224" s="61"/>
      <c r="Q224" s="61"/>
      <c r="R224" s="61"/>
      <c r="S224" s="62"/>
      <c r="T224" s="62"/>
      <c r="U224" s="62"/>
    </row>
    <row r="225" spans="2:21" ht="15.75" customHeight="1" x14ac:dyDescent="0.3">
      <c r="B225" s="36"/>
      <c r="C225" s="36"/>
      <c r="D225" s="6"/>
      <c r="E225" s="36"/>
      <c r="F225" s="36"/>
      <c r="G225" s="6"/>
      <c r="H225" s="37"/>
      <c r="I225" s="36"/>
      <c r="J225" s="36"/>
      <c r="K225" s="60"/>
      <c r="M225" s="61"/>
      <c r="N225" s="61"/>
      <c r="O225" s="61"/>
      <c r="P225" s="61"/>
      <c r="Q225" s="61"/>
      <c r="R225" s="61"/>
      <c r="S225" s="62"/>
      <c r="T225" s="62"/>
      <c r="U225" s="62"/>
    </row>
    <row r="226" spans="2:21" ht="15.75" customHeight="1" x14ac:dyDescent="0.3">
      <c r="B226" s="36"/>
      <c r="C226" s="36"/>
      <c r="D226" s="6"/>
      <c r="E226" s="36"/>
      <c r="F226" s="36"/>
      <c r="G226" s="6"/>
      <c r="H226" s="37"/>
      <c r="I226" s="36"/>
      <c r="J226" s="36"/>
      <c r="K226" s="60"/>
      <c r="M226" s="61"/>
      <c r="N226" s="61"/>
      <c r="O226" s="61"/>
      <c r="P226" s="61"/>
      <c r="Q226" s="61"/>
      <c r="R226" s="61"/>
      <c r="S226" s="62"/>
      <c r="T226" s="62"/>
      <c r="U226" s="62"/>
    </row>
    <row r="227" spans="2:21" ht="15.75" customHeight="1" x14ac:dyDescent="0.3">
      <c r="B227" s="36"/>
      <c r="C227" s="36"/>
      <c r="D227" s="6"/>
      <c r="E227" s="36"/>
      <c r="F227" s="36"/>
      <c r="G227" s="6"/>
      <c r="H227" s="37"/>
      <c r="I227" s="36"/>
      <c r="J227" s="36"/>
      <c r="K227" s="60"/>
      <c r="M227" s="61"/>
      <c r="N227" s="61"/>
      <c r="O227" s="61"/>
      <c r="P227" s="61"/>
      <c r="Q227" s="61"/>
      <c r="R227" s="61"/>
      <c r="S227" s="62"/>
      <c r="T227" s="62"/>
      <c r="U227" s="62"/>
    </row>
    <row r="228" spans="2:21" ht="15.75" customHeight="1" x14ac:dyDescent="0.3">
      <c r="B228" s="36"/>
      <c r="C228" s="36"/>
      <c r="D228" s="6"/>
      <c r="E228" s="36"/>
      <c r="F228" s="36"/>
      <c r="G228" s="6"/>
      <c r="H228" s="37"/>
      <c r="I228" s="36"/>
      <c r="J228" s="36"/>
      <c r="K228" s="60"/>
      <c r="M228" s="61"/>
      <c r="N228" s="61"/>
      <c r="O228" s="61"/>
      <c r="P228" s="61"/>
      <c r="Q228" s="61"/>
      <c r="R228" s="61"/>
      <c r="S228" s="62"/>
      <c r="T228" s="62"/>
      <c r="U228" s="62"/>
    </row>
    <row r="229" spans="2:21" ht="15.75" customHeight="1" x14ac:dyDescent="0.3">
      <c r="B229" s="36"/>
      <c r="C229" s="36"/>
      <c r="D229" s="6"/>
      <c r="E229" s="36"/>
      <c r="F229" s="36"/>
      <c r="G229" s="6"/>
      <c r="H229" s="37"/>
      <c r="I229" s="36"/>
      <c r="J229" s="36"/>
      <c r="K229" s="60"/>
      <c r="M229" s="61"/>
      <c r="N229" s="61"/>
      <c r="O229" s="61"/>
      <c r="P229" s="61"/>
      <c r="Q229" s="61"/>
      <c r="R229" s="61"/>
      <c r="S229" s="62"/>
      <c r="T229" s="62"/>
      <c r="U229" s="62"/>
    </row>
    <row r="230" spans="2:21" ht="15.75" customHeight="1" x14ac:dyDescent="0.3">
      <c r="B230" s="36"/>
      <c r="C230" s="36"/>
      <c r="D230" s="6"/>
      <c r="E230" s="36"/>
      <c r="F230" s="36"/>
      <c r="G230" s="6"/>
      <c r="H230" s="37"/>
      <c r="I230" s="36"/>
      <c r="J230" s="36"/>
      <c r="K230" s="60"/>
      <c r="M230" s="61"/>
      <c r="N230" s="61"/>
      <c r="O230" s="61"/>
      <c r="P230" s="61"/>
      <c r="Q230" s="61"/>
      <c r="R230" s="61"/>
      <c r="S230" s="62"/>
      <c r="T230" s="62"/>
      <c r="U230" s="62"/>
    </row>
    <row r="231" spans="2:21" ht="15.75" customHeight="1" x14ac:dyDescent="0.3">
      <c r="B231" s="36"/>
      <c r="C231" s="36"/>
      <c r="D231" s="6"/>
      <c r="E231" s="36"/>
      <c r="F231" s="36"/>
      <c r="G231" s="6"/>
      <c r="H231" s="37"/>
      <c r="I231" s="36"/>
      <c r="J231" s="36"/>
      <c r="K231" s="60"/>
      <c r="M231" s="61"/>
      <c r="N231" s="61"/>
      <c r="O231" s="61"/>
      <c r="P231" s="61"/>
      <c r="Q231" s="61"/>
      <c r="R231" s="61"/>
      <c r="S231" s="62"/>
      <c r="T231" s="62"/>
      <c r="U231" s="62"/>
    </row>
    <row r="232" spans="2:21" ht="15.75" customHeight="1" x14ac:dyDescent="0.3">
      <c r="B232" s="36"/>
      <c r="C232" s="36"/>
      <c r="D232" s="6"/>
      <c r="E232" s="36"/>
      <c r="F232" s="36"/>
      <c r="G232" s="6"/>
      <c r="H232" s="37"/>
      <c r="I232" s="36"/>
      <c r="J232" s="36"/>
      <c r="K232" s="60"/>
      <c r="M232" s="61"/>
      <c r="N232" s="61"/>
      <c r="O232" s="61"/>
      <c r="P232" s="61"/>
      <c r="Q232" s="61"/>
      <c r="R232" s="61"/>
      <c r="S232" s="62"/>
      <c r="T232" s="62"/>
      <c r="U232" s="62"/>
    </row>
    <row r="233" spans="2:21" ht="15.75" customHeight="1" x14ac:dyDescent="0.3">
      <c r="B233" s="36"/>
      <c r="C233" s="36"/>
      <c r="D233" s="6"/>
      <c r="E233" s="36"/>
      <c r="F233" s="36"/>
      <c r="G233" s="6"/>
      <c r="H233" s="37"/>
      <c r="I233" s="36"/>
      <c r="J233" s="36"/>
      <c r="K233" s="60"/>
      <c r="M233" s="61"/>
      <c r="N233" s="61"/>
      <c r="O233" s="61"/>
      <c r="P233" s="61"/>
      <c r="Q233" s="61"/>
      <c r="R233" s="61"/>
      <c r="S233" s="62"/>
      <c r="T233" s="62"/>
      <c r="U233" s="62"/>
    </row>
    <row r="234" spans="2:21" ht="15.75" customHeight="1" x14ac:dyDescent="0.3">
      <c r="B234" s="36"/>
      <c r="C234" s="36"/>
      <c r="D234" s="6"/>
      <c r="E234" s="36"/>
      <c r="F234" s="36"/>
      <c r="G234" s="6"/>
      <c r="H234" s="37"/>
      <c r="I234" s="36"/>
      <c r="J234" s="36"/>
      <c r="K234" s="60"/>
      <c r="M234" s="61"/>
      <c r="N234" s="61"/>
      <c r="O234" s="61"/>
      <c r="P234" s="61"/>
      <c r="Q234" s="61"/>
      <c r="R234" s="61"/>
      <c r="S234" s="62"/>
      <c r="T234" s="62"/>
      <c r="U234" s="62"/>
    </row>
    <row r="235" spans="2:21" ht="15.75" customHeight="1" x14ac:dyDescent="0.3">
      <c r="B235" s="36"/>
      <c r="C235" s="36"/>
      <c r="D235" s="6"/>
      <c r="E235" s="36"/>
      <c r="F235" s="36"/>
      <c r="G235" s="6"/>
      <c r="H235" s="37"/>
      <c r="I235" s="36"/>
      <c r="J235" s="36"/>
      <c r="K235" s="60"/>
      <c r="M235" s="61"/>
      <c r="N235" s="61"/>
      <c r="O235" s="61"/>
      <c r="P235" s="61"/>
      <c r="Q235" s="61"/>
      <c r="R235" s="61"/>
      <c r="S235" s="62"/>
      <c r="T235" s="62"/>
      <c r="U235" s="62"/>
    </row>
    <row r="236" spans="2:21" ht="15.75" customHeight="1" x14ac:dyDescent="0.3">
      <c r="B236" s="36"/>
      <c r="C236" s="36"/>
      <c r="D236" s="6"/>
      <c r="E236" s="36"/>
      <c r="F236" s="36"/>
      <c r="G236" s="6"/>
      <c r="H236" s="37"/>
      <c r="I236" s="36"/>
      <c r="J236" s="36"/>
      <c r="K236" s="60"/>
      <c r="M236" s="61"/>
      <c r="N236" s="61"/>
      <c r="O236" s="61"/>
      <c r="P236" s="61"/>
      <c r="Q236" s="61"/>
      <c r="R236" s="61"/>
      <c r="S236" s="62"/>
      <c r="T236" s="62"/>
      <c r="U236" s="62"/>
    </row>
    <row r="237" spans="2:21" ht="15.75" customHeight="1" x14ac:dyDescent="0.3">
      <c r="B237" s="36"/>
      <c r="C237" s="36"/>
      <c r="D237" s="6"/>
      <c r="E237" s="36"/>
      <c r="F237" s="36"/>
      <c r="G237" s="6"/>
      <c r="H237" s="37"/>
      <c r="I237" s="36"/>
      <c r="J237" s="36"/>
      <c r="K237" s="60"/>
      <c r="M237" s="61"/>
      <c r="N237" s="61"/>
      <c r="O237" s="61"/>
      <c r="P237" s="61"/>
      <c r="Q237" s="61"/>
      <c r="R237" s="61"/>
      <c r="S237" s="62"/>
      <c r="T237" s="62"/>
      <c r="U237" s="62"/>
    </row>
    <row r="238" spans="2:21" ht="15.75" customHeight="1" x14ac:dyDescent="0.3">
      <c r="B238" s="36"/>
      <c r="C238" s="36"/>
      <c r="D238" s="6"/>
      <c r="E238" s="36"/>
      <c r="F238" s="36"/>
      <c r="G238" s="6"/>
      <c r="H238" s="37"/>
      <c r="I238" s="36"/>
      <c r="J238" s="36"/>
      <c r="K238" s="60"/>
      <c r="M238" s="61"/>
      <c r="N238" s="61"/>
      <c r="O238" s="61"/>
      <c r="P238" s="61"/>
      <c r="Q238" s="61"/>
      <c r="R238" s="61"/>
      <c r="S238" s="62"/>
      <c r="T238" s="62"/>
      <c r="U238" s="62"/>
    </row>
    <row r="239" spans="2:21" ht="15.75" customHeight="1" x14ac:dyDescent="0.3">
      <c r="B239" s="36"/>
      <c r="C239" s="36"/>
      <c r="D239" s="6"/>
      <c r="E239" s="36"/>
      <c r="F239" s="36"/>
      <c r="G239" s="6"/>
      <c r="H239" s="37"/>
      <c r="I239" s="36"/>
      <c r="J239" s="36"/>
      <c r="K239" s="60"/>
      <c r="M239" s="61"/>
      <c r="N239" s="61"/>
      <c r="O239" s="61"/>
      <c r="P239" s="61"/>
      <c r="Q239" s="61"/>
      <c r="R239" s="61"/>
      <c r="S239" s="62"/>
      <c r="T239" s="62"/>
      <c r="U239" s="62"/>
    </row>
    <row r="240" spans="2:21" ht="15.75" customHeight="1" x14ac:dyDescent="0.3">
      <c r="B240" s="36"/>
      <c r="C240" s="36"/>
      <c r="D240" s="6"/>
      <c r="E240" s="36"/>
      <c r="F240" s="36"/>
      <c r="G240" s="6"/>
      <c r="H240" s="37"/>
      <c r="I240" s="36"/>
      <c r="J240" s="36"/>
      <c r="K240" s="60"/>
      <c r="M240" s="61"/>
      <c r="N240" s="61"/>
      <c r="O240" s="61"/>
      <c r="P240" s="61"/>
      <c r="Q240" s="61"/>
      <c r="R240" s="61"/>
      <c r="S240" s="62"/>
      <c r="T240" s="62"/>
      <c r="U240" s="62"/>
    </row>
    <row r="241" spans="2:21" ht="15.75" customHeight="1" x14ac:dyDescent="0.3">
      <c r="B241" s="36"/>
      <c r="C241" s="36"/>
      <c r="D241" s="6"/>
      <c r="E241" s="36"/>
      <c r="F241" s="36"/>
      <c r="G241" s="6"/>
      <c r="H241" s="37"/>
      <c r="I241" s="36"/>
      <c r="J241" s="36"/>
      <c r="K241" s="60"/>
      <c r="M241" s="61"/>
      <c r="N241" s="61"/>
      <c r="O241" s="61"/>
      <c r="P241" s="61"/>
      <c r="Q241" s="61"/>
      <c r="R241" s="61"/>
      <c r="S241" s="62"/>
      <c r="T241" s="62"/>
      <c r="U241" s="62"/>
    </row>
    <row r="242" spans="2:21" ht="15.75" customHeight="1" x14ac:dyDescent="0.3">
      <c r="B242" s="36"/>
      <c r="C242" s="36"/>
      <c r="D242" s="6"/>
      <c r="E242" s="36"/>
      <c r="F242" s="36"/>
      <c r="G242" s="6"/>
      <c r="H242" s="37"/>
      <c r="I242" s="36"/>
      <c r="J242" s="36"/>
      <c r="K242" s="60"/>
      <c r="M242" s="61"/>
      <c r="N242" s="61"/>
      <c r="O242" s="61"/>
      <c r="P242" s="61"/>
      <c r="Q242" s="61"/>
      <c r="R242" s="61"/>
      <c r="S242" s="62"/>
      <c r="T242" s="62"/>
      <c r="U242" s="62"/>
    </row>
    <row r="243" spans="2:21" ht="15.75" customHeight="1" x14ac:dyDescent="0.3">
      <c r="B243" s="36"/>
      <c r="C243" s="36"/>
      <c r="D243" s="6"/>
      <c r="E243" s="36"/>
      <c r="F243" s="36"/>
      <c r="G243" s="6"/>
      <c r="H243" s="37"/>
      <c r="I243" s="36"/>
      <c r="J243" s="36"/>
      <c r="K243" s="60"/>
      <c r="M243" s="61"/>
      <c r="N243" s="61"/>
      <c r="O243" s="61"/>
      <c r="P243" s="61"/>
      <c r="Q243" s="61"/>
      <c r="R243" s="61"/>
      <c r="S243" s="62"/>
      <c r="T243" s="62"/>
      <c r="U243" s="62"/>
    </row>
    <row r="244" spans="2:21" ht="15.75" customHeight="1" x14ac:dyDescent="0.3">
      <c r="B244" s="36"/>
      <c r="C244" s="36"/>
      <c r="D244" s="6"/>
      <c r="E244" s="36"/>
      <c r="F244" s="36"/>
      <c r="G244" s="6"/>
      <c r="H244" s="37"/>
      <c r="I244" s="36"/>
      <c r="J244" s="36"/>
      <c r="K244" s="60"/>
      <c r="M244" s="61"/>
      <c r="N244" s="61"/>
      <c r="O244" s="61"/>
      <c r="P244" s="61"/>
      <c r="Q244" s="61"/>
      <c r="R244" s="61"/>
      <c r="S244" s="62"/>
      <c r="T244" s="62"/>
      <c r="U244" s="62"/>
    </row>
    <row r="245" spans="2:21" ht="15.75" customHeight="1" x14ac:dyDescent="0.3">
      <c r="B245" s="36"/>
      <c r="C245" s="36"/>
      <c r="D245" s="6"/>
      <c r="E245" s="36"/>
      <c r="F245" s="36"/>
      <c r="G245" s="6"/>
      <c r="H245" s="37"/>
      <c r="I245" s="36"/>
      <c r="J245" s="36"/>
      <c r="K245" s="60"/>
      <c r="M245" s="61"/>
      <c r="N245" s="61"/>
      <c r="O245" s="61"/>
      <c r="P245" s="61"/>
      <c r="Q245" s="61"/>
      <c r="R245" s="61"/>
      <c r="S245" s="62"/>
      <c r="T245" s="62"/>
      <c r="U245" s="62"/>
    </row>
    <row r="246" spans="2:21" ht="15.75" customHeight="1" x14ac:dyDescent="0.3">
      <c r="B246" s="36"/>
      <c r="C246" s="36"/>
      <c r="D246" s="6"/>
      <c r="E246" s="36"/>
      <c r="F246" s="36"/>
      <c r="G246" s="6"/>
      <c r="H246" s="37"/>
      <c r="I246" s="36"/>
      <c r="J246" s="36"/>
      <c r="K246" s="60"/>
      <c r="M246" s="61"/>
      <c r="N246" s="61"/>
      <c r="O246" s="61"/>
      <c r="P246" s="61"/>
      <c r="Q246" s="61"/>
      <c r="R246" s="61"/>
      <c r="S246" s="62"/>
      <c r="T246" s="62"/>
      <c r="U246" s="62"/>
    </row>
    <row r="247" spans="2:21" ht="15.75" customHeight="1" x14ac:dyDescent="0.3">
      <c r="B247" s="36"/>
      <c r="C247" s="36"/>
      <c r="D247" s="6"/>
      <c r="E247" s="36"/>
      <c r="F247" s="36"/>
      <c r="G247" s="6"/>
      <c r="H247" s="37"/>
      <c r="I247" s="36"/>
      <c r="J247" s="36"/>
      <c r="K247" s="60"/>
      <c r="M247" s="61"/>
      <c r="N247" s="61"/>
      <c r="O247" s="61"/>
      <c r="P247" s="61"/>
      <c r="Q247" s="61"/>
      <c r="R247" s="61"/>
      <c r="S247" s="62"/>
      <c r="T247" s="62"/>
      <c r="U247" s="62"/>
    </row>
    <row r="248" spans="2:21" ht="15.75" customHeight="1" x14ac:dyDescent="0.3">
      <c r="B248" s="36"/>
      <c r="C248" s="36"/>
      <c r="D248" s="6"/>
      <c r="E248" s="36"/>
      <c r="F248" s="36"/>
      <c r="G248" s="6"/>
      <c r="H248" s="37"/>
      <c r="I248" s="36"/>
      <c r="J248" s="36"/>
      <c r="K248" s="60"/>
      <c r="M248" s="61"/>
      <c r="N248" s="61"/>
      <c r="O248" s="61"/>
      <c r="P248" s="61"/>
      <c r="Q248" s="61"/>
      <c r="R248" s="61"/>
      <c r="S248" s="62"/>
      <c r="T248" s="62"/>
      <c r="U248" s="62"/>
    </row>
    <row r="249" spans="2:21" ht="15.75" customHeight="1" x14ac:dyDescent="0.3">
      <c r="B249" s="36"/>
      <c r="C249" s="36"/>
      <c r="D249" s="6"/>
      <c r="E249" s="36"/>
      <c r="F249" s="36"/>
      <c r="G249" s="6"/>
      <c r="H249" s="37"/>
      <c r="I249" s="36"/>
      <c r="J249" s="36"/>
      <c r="K249" s="60"/>
      <c r="M249" s="61"/>
      <c r="N249" s="61"/>
      <c r="O249" s="61"/>
      <c r="P249" s="61"/>
      <c r="Q249" s="61"/>
      <c r="R249" s="61"/>
      <c r="S249" s="62"/>
      <c r="T249" s="62"/>
      <c r="U249" s="62"/>
    </row>
    <row r="250" spans="2:21" ht="15.75" customHeight="1" x14ac:dyDescent="0.3">
      <c r="B250" s="36"/>
      <c r="C250" s="36"/>
      <c r="D250" s="6"/>
      <c r="E250" s="36"/>
      <c r="F250" s="36"/>
      <c r="G250" s="6"/>
      <c r="H250" s="37"/>
      <c r="I250" s="36"/>
      <c r="J250" s="36"/>
      <c r="K250" s="60"/>
      <c r="M250" s="61"/>
      <c r="N250" s="61"/>
      <c r="O250" s="61"/>
      <c r="P250" s="61"/>
      <c r="Q250" s="61"/>
      <c r="R250" s="61"/>
      <c r="S250" s="62"/>
      <c r="T250" s="62"/>
      <c r="U250" s="62"/>
    </row>
    <row r="251" spans="2:21" ht="15.75" customHeight="1" x14ac:dyDescent="0.3">
      <c r="B251" s="36"/>
      <c r="C251" s="36"/>
      <c r="D251" s="6"/>
      <c r="E251" s="36"/>
      <c r="F251" s="36"/>
      <c r="G251" s="6"/>
      <c r="H251" s="37"/>
      <c r="I251" s="36"/>
      <c r="J251" s="36"/>
      <c r="K251" s="60"/>
      <c r="M251" s="61"/>
      <c r="N251" s="61"/>
      <c r="O251" s="61"/>
      <c r="P251" s="61"/>
      <c r="Q251" s="61"/>
      <c r="R251" s="61"/>
      <c r="S251" s="62"/>
      <c r="T251" s="62"/>
      <c r="U251" s="62"/>
    </row>
    <row r="252" spans="2:21" ht="15.75" customHeight="1" x14ac:dyDescent="0.3">
      <c r="B252" s="36"/>
      <c r="C252" s="36"/>
      <c r="D252" s="6"/>
      <c r="E252" s="36"/>
      <c r="F252" s="36"/>
      <c r="G252" s="6"/>
      <c r="H252" s="37"/>
      <c r="I252" s="36"/>
      <c r="J252" s="36"/>
      <c r="K252" s="60"/>
      <c r="M252" s="61"/>
      <c r="N252" s="61"/>
      <c r="O252" s="61"/>
      <c r="P252" s="61"/>
      <c r="Q252" s="61"/>
      <c r="R252" s="61"/>
      <c r="S252" s="62"/>
      <c r="T252" s="62"/>
      <c r="U252" s="62"/>
    </row>
    <row r="253" spans="2:21" ht="15.75" customHeight="1" x14ac:dyDescent="0.3">
      <c r="B253" s="36"/>
      <c r="C253" s="36"/>
      <c r="D253" s="6"/>
      <c r="E253" s="36"/>
      <c r="F253" s="36"/>
      <c r="G253" s="6"/>
      <c r="H253" s="37"/>
      <c r="I253" s="36"/>
      <c r="J253" s="36"/>
      <c r="K253" s="60"/>
      <c r="M253" s="61"/>
      <c r="N253" s="61"/>
      <c r="O253" s="61"/>
      <c r="P253" s="61"/>
      <c r="Q253" s="61"/>
      <c r="R253" s="61"/>
      <c r="S253" s="62"/>
      <c r="T253" s="62"/>
      <c r="U253" s="62"/>
    </row>
    <row r="254" spans="2:21" ht="15.75" customHeight="1" x14ac:dyDescent="0.3">
      <c r="B254" s="36"/>
      <c r="C254" s="36"/>
      <c r="D254" s="6"/>
      <c r="E254" s="36"/>
      <c r="F254" s="36"/>
      <c r="G254" s="6"/>
      <c r="H254" s="37"/>
      <c r="I254" s="36"/>
      <c r="J254" s="36"/>
      <c r="K254" s="60"/>
      <c r="M254" s="61"/>
      <c r="N254" s="61"/>
      <c r="O254" s="61"/>
      <c r="P254" s="61"/>
      <c r="Q254" s="61"/>
      <c r="R254" s="61"/>
      <c r="S254" s="62"/>
      <c r="T254" s="62"/>
      <c r="U254" s="62"/>
    </row>
    <row r="255" spans="2:21" ht="15.75" customHeight="1" x14ac:dyDescent="0.3">
      <c r="B255" s="36"/>
      <c r="C255" s="36"/>
      <c r="D255" s="6"/>
      <c r="E255" s="36"/>
      <c r="F255" s="36"/>
      <c r="G255" s="6"/>
      <c r="H255" s="37"/>
      <c r="I255" s="36"/>
      <c r="J255" s="36"/>
      <c r="K255" s="60"/>
      <c r="M255" s="61"/>
      <c r="N255" s="61"/>
      <c r="O255" s="61"/>
      <c r="P255" s="61"/>
      <c r="Q255" s="61"/>
      <c r="R255" s="61"/>
      <c r="S255" s="62"/>
      <c r="T255" s="62"/>
      <c r="U255" s="62"/>
    </row>
    <row r="256" spans="2:21" ht="15.75" customHeight="1" x14ac:dyDescent="0.3">
      <c r="B256" s="36"/>
      <c r="C256" s="36"/>
      <c r="D256" s="6"/>
      <c r="E256" s="36"/>
      <c r="F256" s="36"/>
      <c r="G256" s="6"/>
      <c r="H256" s="37"/>
      <c r="I256" s="36"/>
      <c r="J256" s="36"/>
      <c r="K256" s="60"/>
      <c r="M256" s="61"/>
      <c r="N256" s="61"/>
      <c r="O256" s="61"/>
      <c r="P256" s="61"/>
      <c r="Q256" s="61"/>
      <c r="R256" s="61"/>
      <c r="S256" s="62"/>
      <c r="T256" s="62"/>
      <c r="U256" s="62"/>
    </row>
    <row r="257" spans="2:21" ht="15.75" customHeight="1" x14ac:dyDescent="0.3">
      <c r="B257" s="36"/>
      <c r="C257" s="36"/>
      <c r="D257" s="6"/>
      <c r="E257" s="36"/>
      <c r="F257" s="36"/>
      <c r="G257" s="6"/>
      <c r="H257" s="37"/>
      <c r="I257" s="36"/>
      <c r="J257" s="36"/>
      <c r="K257" s="60"/>
      <c r="M257" s="61"/>
      <c r="N257" s="61"/>
      <c r="O257" s="61"/>
      <c r="P257" s="61"/>
      <c r="Q257" s="61"/>
      <c r="R257" s="61"/>
      <c r="S257" s="62"/>
      <c r="T257" s="62"/>
      <c r="U257" s="62"/>
    </row>
    <row r="258" spans="2:21" ht="15.75" customHeight="1" x14ac:dyDescent="0.3">
      <c r="B258" s="36"/>
      <c r="C258" s="36"/>
      <c r="D258" s="6"/>
      <c r="E258" s="36"/>
      <c r="F258" s="36"/>
      <c r="G258" s="6"/>
      <c r="H258" s="37"/>
      <c r="I258" s="36"/>
      <c r="J258" s="36"/>
      <c r="K258" s="60"/>
      <c r="M258" s="61"/>
      <c r="N258" s="61"/>
      <c r="O258" s="61"/>
      <c r="P258" s="61"/>
      <c r="Q258" s="61"/>
      <c r="R258" s="61"/>
      <c r="S258" s="62"/>
      <c r="T258" s="62"/>
      <c r="U258" s="62"/>
    </row>
    <row r="259" spans="2:21" ht="15.75" customHeight="1" x14ac:dyDescent="0.3">
      <c r="B259" s="36"/>
      <c r="C259" s="36"/>
      <c r="D259" s="6"/>
      <c r="E259" s="36"/>
      <c r="F259" s="36"/>
      <c r="G259" s="6"/>
      <c r="H259" s="37"/>
      <c r="I259" s="36"/>
      <c r="J259" s="36"/>
      <c r="K259" s="60"/>
      <c r="M259" s="61"/>
      <c r="N259" s="61"/>
      <c r="O259" s="61"/>
      <c r="P259" s="61"/>
      <c r="Q259" s="61"/>
      <c r="R259" s="61"/>
      <c r="S259" s="62"/>
      <c r="T259" s="62"/>
      <c r="U259" s="62"/>
    </row>
    <row r="260" spans="2:21" ht="15.75" customHeight="1" x14ac:dyDescent="0.3">
      <c r="B260" s="36"/>
      <c r="C260" s="36"/>
      <c r="D260" s="6"/>
      <c r="E260" s="36"/>
      <c r="F260" s="36"/>
      <c r="G260" s="6"/>
      <c r="H260" s="37"/>
      <c r="I260" s="36"/>
      <c r="J260" s="36"/>
      <c r="K260" s="60"/>
      <c r="M260" s="61"/>
      <c r="N260" s="61"/>
      <c r="O260" s="61"/>
      <c r="P260" s="61"/>
      <c r="Q260" s="61"/>
      <c r="R260" s="61"/>
      <c r="S260" s="62"/>
      <c r="T260" s="62"/>
      <c r="U260" s="62"/>
    </row>
    <row r="261" spans="2:21" ht="15.75" customHeight="1" x14ac:dyDescent="0.3">
      <c r="B261" s="36"/>
      <c r="C261" s="36"/>
      <c r="D261" s="6"/>
      <c r="E261" s="36"/>
      <c r="F261" s="36"/>
      <c r="G261" s="6"/>
      <c r="H261" s="37"/>
      <c r="I261" s="36"/>
      <c r="J261" s="36"/>
      <c r="K261" s="60"/>
      <c r="M261" s="61"/>
      <c r="N261" s="61"/>
      <c r="O261" s="61"/>
      <c r="P261" s="61"/>
      <c r="Q261" s="61"/>
      <c r="R261" s="61"/>
      <c r="S261" s="62"/>
      <c r="T261" s="62"/>
      <c r="U261" s="62"/>
    </row>
    <row r="262" spans="2:21" ht="15.75" customHeight="1" x14ac:dyDescent="0.3">
      <c r="B262" s="36"/>
      <c r="C262" s="36"/>
      <c r="D262" s="6"/>
      <c r="E262" s="36"/>
      <c r="F262" s="36"/>
      <c r="G262" s="6"/>
      <c r="H262" s="37"/>
      <c r="I262" s="36"/>
      <c r="J262" s="36"/>
      <c r="K262" s="60"/>
      <c r="M262" s="61"/>
      <c r="N262" s="61"/>
      <c r="O262" s="61"/>
      <c r="P262" s="61"/>
      <c r="Q262" s="61"/>
      <c r="R262" s="61"/>
      <c r="S262" s="62"/>
      <c r="T262" s="62"/>
      <c r="U262" s="62"/>
    </row>
    <row r="263" spans="2:21" ht="15.75" customHeight="1" x14ac:dyDescent="0.3">
      <c r="B263" s="36"/>
      <c r="C263" s="36"/>
      <c r="D263" s="6"/>
      <c r="E263" s="36"/>
      <c r="F263" s="36"/>
      <c r="G263" s="6"/>
      <c r="H263" s="37"/>
      <c r="I263" s="36"/>
      <c r="J263" s="36"/>
      <c r="K263" s="60"/>
      <c r="M263" s="61"/>
      <c r="N263" s="61"/>
      <c r="O263" s="61"/>
      <c r="P263" s="61"/>
      <c r="Q263" s="61"/>
      <c r="R263" s="61"/>
      <c r="S263" s="62"/>
      <c r="T263" s="62"/>
      <c r="U263" s="62"/>
    </row>
    <row r="264" spans="2:21" ht="15.75" customHeight="1" x14ac:dyDescent="0.3">
      <c r="B264" s="36"/>
      <c r="C264" s="36"/>
      <c r="D264" s="6"/>
      <c r="E264" s="36"/>
      <c r="F264" s="36"/>
      <c r="G264" s="6"/>
      <c r="H264" s="37"/>
      <c r="I264" s="36"/>
      <c r="J264" s="36"/>
      <c r="K264" s="60"/>
      <c r="M264" s="61"/>
      <c r="N264" s="61"/>
      <c r="O264" s="61"/>
      <c r="P264" s="61"/>
      <c r="Q264" s="61"/>
      <c r="R264" s="61"/>
      <c r="S264" s="62"/>
      <c r="T264" s="62"/>
      <c r="U264" s="62"/>
    </row>
    <row r="265" spans="2:21" ht="15.75" customHeight="1" x14ac:dyDescent="0.3">
      <c r="B265" s="36"/>
      <c r="C265" s="36"/>
      <c r="D265" s="6"/>
      <c r="E265" s="36"/>
      <c r="F265" s="36"/>
      <c r="G265" s="6"/>
      <c r="H265" s="37"/>
      <c r="I265" s="36"/>
      <c r="J265" s="36"/>
      <c r="K265" s="60"/>
      <c r="M265" s="61"/>
      <c r="N265" s="61"/>
      <c r="O265" s="61"/>
      <c r="P265" s="61"/>
      <c r="Q265" s="61"/>
      <c r="R265" s="61"/>
      <c r="S265" s="62"/>
      <c r="T265" s="62"/>
      <c r="U265" s="62"/>
    </row>
    <row r="266" spans="2:21" ht="15.75" customHeight="1" x14ac:dyDescent="0.3">
      <c r="B266" s="36"/>
      <c r="C266" s="36"/>
      <c r="D266" s="6"/>
      <c r="E266" s="36"/>
      <c r="F266" s="36"/>
      <c r="G266" s="6"/>
      <c r="H266" s="37"/>
      <c r="I266" s="36"/>
      <c r="J266" s="36"/>
      <c r="K266" s="60"/>
      <c r="M266" s="61"/>
      <c r="N266" s="61"/>
      <c r="O266" s="61"/>
      <c r="P266" s="61"/>
      <c r="Q266" s="61"/>
      <c r="R266" s="61"/>
      <c r="S266" s="62"/>
      <c r="T266" s="62"/>
      <c r="U266" s="62"/>
    </row>
    <row r="267" spans="2:21" ht="15.75" customHeight="1" x14ac:dyDescent="0.3">
      <c r="B267" s="36"/>
      <c r="C267" s="36"/>
      <c r="D267" s="6"/>
      <c r="E267" s="36"/>
      <c r="F267" s="36"/>
      <c r="G267" s="6"/>
      <c r="H267" s="37"/>
      <c r="I267" s="36"/>
      <c r="J267" s="36"/>
      <c r="K267" s="60"/>
      <c r="M267" s="61"/>
      <c r="N267" s="61"/>
      <c r="O267" s="61"/>
      <c r="P267" s="61"/>
      <c r="Q267" s="61"/>
      <c r="R267" s="61"/>
      <c r="S267" s="62"/>
      <c r="T267" s="62"/>
      <c r="U267" s="62"/>
    </row>
    <row r="268" spans="2:21" ht="15.75" customHeight="1" x14ac:dyDescent="0.3">
      <c r="B268" s="36"/>
      <c r="C268" s="36"/>
      <c r="D268" s="6"/>
      <c r="E268" s="36"/>
      <c r="F268" s="36"/>
      <c r="G268" s="6"/>
      <c r="H268" s="37"/>
      <c r="I268" s="36"/>
      <c r="J268" s="36"/>
      <c r="K268" s="60"/>
      <c r="M268" s="61"/>
      <c r="N268" s="61"/>
      <c r="O268" s="61"/>
      <c r="P268" s="61"/>
      <c r="Q268" s="61"/>
      <c r="R268" s="61"/>
      <c r="S268" s="62"/>
      <c r="T268" s="62"/>
      <c r="U268" s="62"/>
    </row>
    <row r="269" spans="2:21" ht="15.75" customHeight="1" x14ac:dyDescent="0.3">
      <c r="B269" s="36"/>
      <c r="C269" s="36"/>
      <c r="D269" s="6"/>
      <c r="E269" s="36"/>
      <c r="F269" s="36"/>
      <c r="G269" s="6"/>
      <c r="H269" s="37"/>
      <c r="I269" s="36"/>
      <c r="J269" s="36"/>
      <c r="K269" s="60"/>
      <c r="M269" s="61"/>
      <c r="N269" s="61"/>
      <c r="O269" s="61"/>
      <c r="P269" s="61"/>
      <c r="Q269" s="61"/>
      <c r="R269" s="61"/>
      <c r="S269" s="62"/>
      <c r="T269" s="62"/>
      <c r="U269" s="62"/>
    </row>
    <row r="270" spans="2:21" ht="15.75" customHeight="1" x14ac:dyDescent="0.3">
      <c r="B270" s="36"/>
      <c r="C270" s="36"/>
      <c r="D270" s="6"/>
      <c r="E270" s="36"/>
      <c r="F270" s="36"/>
      <c r="G270" s="6"/>
      <c r="H270" s="37"/>
      <c r="I270" s="36"/>
      <c r="J270" s="36"/>
      <c r="K270" s="60"/>
      <c r="M270" s="61"/>
      <c r="N270" s="61"/>
      <c r="O270" s="61"/>
      <c r="P270" s="61"/>
      <c r="Q270" s="61"/>
      <c r="R270" s="61"/>
      <c r="S270" s="62"/>
      <c r="T270" s="62"/>
      <c r="U270" s="62"/>
    </row>
    <row r="271" spans="2:21" ht="15.75" customHeight="1" x14ac:dyDescent="0.3">
      <c r="B271" s="36"/>
      <c r="C271" s="36"/>
      <c r="D271" s="6"/>
      <c r="E271" s="36"/>
      <c r="F271" s="36"/>
      <c r="G271" s="6"/>
      <c r="H271" s="37"/>
      <c r="I271" s="36"/>
      <c r="J271" s="36"/>
      <c r="K271" s="60"/>
      <c r="M271" s="61"/>
      <c r="N271" s="61"/>
      <c r="O271" s="61"/>
      <c r="P271" s="61"/>
      <c r="Q271" s="61"/>
      <c r="R271" s="61"/>
      <c r="S271" s="62"/>
      <c r="T271" s="62"/>
      <c r="U271" s="62"/>
    </row>
    <row r="272" spans="2:21" ht="15.75" customHeight="1" x14ac:dyDescent="0.3">
      <c r="B272" s="36"/>
      <c r="C272" s="36"/>
      <c r="D272" s="6"/>
      <c r="E272" s="36"/>
      <c r="F272" s="36"/>
      <c r="G272" s="6"/>
      <c r="H272" s="37"/>
      <c r="I272" s="36"/>
      <c r="J272" s="36"/>
      <c r="K272" s="60"/>
      <c r="M272" s="61"/>
      <c r="N272" s="61"/>
      <c r="O272" s="61"/>
      <c r="P272" s="61"/>
      <c r="Q272" s="61"/>
      <c r="R272" s="61"/>
      <c r="S272" s="62"/>
      <c r="T272" s="62"/>
      <c r="U272" s="62"/>
    </row>
    <row r="273" spans="2:21" ht="15.75" customHeight="1" x14ac:dyDescent="0.3">
      <c r="B273" s="36"/>
      <c r="C273" s="36"/>
      <c r="D273" s="6"/>
      <c r="E273" s="36"/>
      <c r="F273" s="36"/>
      <c r="G273" s="6"/>
      <c r="H273" s="37"/>
      <c r="I273" s="36"/>
      <c r="J273" s="36"/>
      <c r="K273" s="60"/>
      <c r="M273" s="61"/>
      <c r="N273" s="61"/>
      <c r="O273" s="61"/>
      <c r="P273" s="61"/>
      <c r="Q273" s="61"/>
      <c r="R273" s="61"/>
      <c r="S273" s="62"/>
      <c r="T273" s="62"/>
      <c r="U273" s="62"/>
    </row>
    <row r="274" spans="2:21" ht="15.75" customHeight="1" x14ac:dyDescent="0.3">
      <c r="B274" s="36"/>
      <c r="C274" s="36"/>
      <c r="D274" s="6"/>
      <c r="E274" s="36"/>
      <c r="F274" s="36"/>
      <c r="G274" s="6"/>
      <c r="H274" s="37"/>
      <c r="I274" s="36"/>
      <c r="J274" s="36"/>
      <c r="K274" s="60"/>
      <c r="M274" s="61"/>
      <c r="N274" s="61"/>
      <c r="O274" s="61"/>
      <c r="P274" s="61"/>
      <c r="Q274" s="61"/>
      <c r="R274" s="61"/>
      <c r="S274" s="62"/>
      <c r="T274" s="62"/>
      <c r="U274" s="62"/>
    </row>
    <row r="275" spans="2:21" ht="15.75" customHeight="1" x14ac:dyDescent="0.3">
      <c r="B275" s="36"/>
      <c r="C275" s="36"/>
      <c r="D275" s="6"/>
      <c r="E275" s="36"/>
      <c r="F275" s="36"/>
      <c r="G275" s="6"/>
      <c r="H275" s="37"/>
      <c r="I275" s="36"/>
      <c r="J275" s="36"/>
      <c r="K275" s="60"/>
      <c r="M275" s="61"/>
      <c r="N275" s="61"/>
      <c r="O275" s="61"/>
      <c r="P275" s="61"/>
      <c r="Q275" s="61"/>
      <c r="R275" s="61"/>
      <c r="S275" s="62"/>
      <c r="T275" s="62"/>
      <c r="U275" s="62"/>
    </row>
    <row r="276" spans="2:21" ht="15.75" customHeight="1" x14ac:dyDescent="0.3">
      <c r="B276" s="36"/>
      <c r="C276" s="36"/>
      <c r="D276" s="6"/>
      <c r="E276" s="36"/>
      <c r="F276" s="36"/>
      <c r="G276" s="6"/>
      <c r="H276" s="37"/>
      <c r="I276" s="36"/>
      <c r="J276" s="36"/>
      <c r="K276" s="60"/>
      <c r="M276" s="61"/>
      <c r="N276" s="61"/>
      <c r="O276" s="61"/>
      <c r="P276" s="61"/>
      <c r="Q276" s="61"/>
      <c r="R276" s="61"/>
      <c r="S276" s="62"/>
      <c r="T276" s="62"/>
      <c r="U276" s="62"/>
    </row>
    <row r="277" spans="2:21" ht="15.75" customHeight="1" x14ac:dyDescent="0.3">
      <c r="B277" s="36"/>
      <c r="C277" s="36"/>
      <c r="D277" s="6"/>
      <c r="E277" s="36"/>
      <c r="F277" s="36"/>
      <c r="G277" s="6"/>
      <c r="H277" s="37"/>
      <c r="I277" s="36"/>
      <c r="J277" s="36"/>
      <c r="K277" s="60"/>
      <c r="M277" s="61"/>
      <c r="N277" s="61"/>
      <c r="O277" s="61"/>
      <c r="P277" s="61"/>
      <c r="Q277" s="61"/>
      <c r="R277" s="61"/>
      <c r="S277" s="62"/>
      <c r="T277" s="62"/>
      <c r="U277" s="62"/>
    </row>
    <row r="278" spans="2:21" ht="15.75" customHeight="1" x14ac:dyDescent="0.3">
      <c r="B278" s="36"/>
      <c r="C278" s="36"/>
      <c r="D278" s="6"/>
      <c r="E278" s="36"/>
      <c r="F278" s="36"/>
      <c r="G278" s="6"/>
      <c r="H278" s="37"/>
      <c r="I278" s="36"/>
      <c r="J278" s="36"/>
      <c r="K278" s="60"/>
      <c r="M278" s="61"/>
      <c r="N278" s="61"/>
      <c r="O278" s="61"/>
      <c r="P278" s="61"/>
      <c r="Q278" s="61"/>
      <c r="R278" s="61"/>
      <c r="S278" s="62"/>
      <c r="T278" s="62"/>
      <c r="U278" s="62"/>
    </row>
    <row r="279" spans="2:21" ht="15.75" customHeight="1" x14ac:dyDescent="0.3">
      <c r="B279" s="36"/>
      <c r="C279" s="36"/>
      <c r="D279" s="6"/>
      <c r="E279" s="36"/>
      <c r="F279" s="36"/>
      <c r="G279" s="6"/>
      <c r="H279" s="37"/>
      <c r="I279" s="36"/>
      <c r="J279" s="36"/>
      <c r="K279" s="60"/>
      <c r="M279" s="61"/>
      <c r="N279" s="61"/>
      <c r="O279" s="61"/>
      <c r="P279" s="61"/>
      <c r="Q279" s="61"/>
      <c r="R279" s="61"/>
      <c r="S279" s="62"/>
      <c r="T279" s="62"/>
      <c r="U279" s="62"/>
    </row>
    <row r="280" spans="2:21" ht="15.75" customHeight="1" x14ac:dyDescent="0.3">
      <c r="B280" s="36"/>
      <c r="C280" s="36"/>
      <c r="D280" s="6"/>
      <c r="E280" s="36"/>
      <c r="F280" s="36"/>
      <c r="G280" s="6"/>
      <c r="H280" s="37"/>
      <c r="I280" s="36"/>
      <c r="J280" s="36"/>
      <c r="K280" s="60"/>
      <c r="M280" s="61"/>
      <c r="N280" s="61"/>
      <c r="O280" s="61"/>
      <c r="P280" s="61"/>
      <c r="Q280" s="61"/>
      <c r="R280" s="61"/>
      <c r="S280" s="62"/>
      <c r="T280" s="62"/>
      <c r="U280" s="62"/>
    </row>
    <row r="281" spans="2:21" ht="15.75" customHeight="1" x14ac:dyDescent="0.3">
      <c r="B281" s="36"/>
      <c r="C281" s="36"/>
      <c r="D281" s="6"/>
      <c r="E281" s="36"/>
      <c r="F281" s="36"/>
      <c r="G281" s="6"/>
      <c r="H281" s="37"/>
      <c r="I281" s="36"/>
      <c r="J281" s="36"/>
      <c r="K281" s="60"/>
      <c r="M281" s="61"/>
      <c r="N281" s="61"/>
      <c r="O281" s="61"/>
      <c r="P281" s="61"/>
      <c r="Q281" s="61"/>
      <c r="R281" s="61"/>
      <c r="S281" s="62"/>
      <c r="T281" s="62"/>
      <c r="U281" s="62"/>
    </row>
    <row r="282" spans="2:21" ht="15.75" customHeight="1" x14ac:dyDescent="0.3">
      <c r="B282" s="36"/>
      <c r="C282" s="36"/>
      <c r="D282" s="6"/>
      <c r="E282" s="36"/>
      <c r="F282" s="36"/>
      <c r="G282" s="6"/>
      <c r="H282" s="37"/>
      <c r="I282" s="36"/>
      <c r="J282" s="36"/>
      <c r="K282" s="60"/>
      <c r="M282" s="61"/>
      <c r="N282" s="61"/>
      <c r="O282" s="61"/>
      <c r="P282" s="61"/>
      <c r="Q282" s="61"/>
      <c r="R282" s="61"/>
      <c r="S282" s="62"/>
      <c r="T282" s="62"/>
      <c r="U282" s="62"/>
    </row>
    <row r="283" spans="2:21" ht="15.75" customHeight="1" x14ac:dyDescent="0.3">
      <c r="B283" s="36"/>
      <c r="C283" s="36"/>
      <c r="D283" s="6"/>
      <c r="E283" s="36"/>
      <c r="F283" s="36"/>
      <c r="G283" s="6"/>
      <c r="H283" s="37"/>
      <c r="I283" s="36"/>
      <c r="J283" s="36"/>
      <c r="K283" s="60"/>
      <c r="M283" s="61"/>
      <c r="N283" s="61"/>
      <c r="O283" s="61"/>
      <c r="P283" s="61"/>
      <c r="Q283" s="61"/>
      <c r="R283" s="61"/>
      <c r="S283" s="62"/>
      <c r="T283" s="62"/>
      <c r="U283" s="62"/>
    </row>
    <row r="284" spans="2:21" ht="15.75" customHeight="1" x14ac:dyDescent="0.3">
      <c r="B284" s="36"/>
      <c r="C284" s="36"/>
      <c r="D284" s="6"/>
      <c r="E284" s="36"/>
      <c r="F284" s="36"/>
      <c r="G284" s="6"/>
      <c r="H284" s="37"/>
      <c r="I284" s="36"/>
      <c r="J284" s="36"/>
      <c r="K284" s="60"/>
      <c r="M284" s="61"/>
      <c r="N284" s="61"/>
      <c r="O284" s="61"/>
      <c r="P284" s="61"/>
      <c r="Q284" s="61"/>
      <c r="R284" s="61"/>
      <c r="S284" s="62"/>
      <c r="T284" s="62"/>
      <c r="U284" s="62"/>
    </row>
    <row r="285" spans="2:21" ht="15.75" customHeight="1" x14ac:dyDescent="0.3">
      <c r="B285" s="36"/>
      <c r="C285" s="36"/>
      <c r="D285" s="6"/>
      <c r="E285" s="36"/>
      <c r="F285" s="36"/>
      <c r="G285" s="6"/>
      <c r="H285" s="37"/>
      <c r="I285" s="36"/>
      <c r="J285" s="36"/>
      <c r="K285" s="60"/>
      <c r="M285" s="61"/>
      <c r="N285" s="61"/>
      <c r="O285" s="61"/>
      <c r="P285" s="61"/>
      <c r="Q285" s="61"/>
      <c r="R285" s="61"/>
      <c r="S285" s="62"/>
      <c r="T285" s="62"/>
      <c r="U285" s="62"/>
    </row>
    <row r="286" spans="2:21" ht="15.75" customHeight="1" x14ac:dyDescent="0.3">
      <c r="B286" s="36"/>
      <c r="C286" s="36"/>
      <c r="D286" s="6"/>
      <c r="E286" s="36"/>
      <c r="F286" s="36"/>
      <c r="G286" s="6"/>
      <c r="H286" s="37"/>
      <c r="I286" s="36"/>
      <c r="J286" s="36"/>
      <c r="K286" s="60"/>
      <c r="M286" s="61"/>
      <c r="N286" s="61"/>
      <c r="O286" s="61"/>
      <c r="P286" s="61"/>
      <c r="Q286" s="61"/>
      <c r="R286" s="61"/>
      <c r="S286" s="62"/>
      <c r="T286" s="62"/>
      <c r="U286" s="62"/>
    </row>
    <row r="287" spans="2:21" ht="15.75" customHeight="1" x14ac:dyDescent="0.3">
      <c r="B287" s="36"/>
      <c r="C287" s="36"/>
      <c r="D287" s="6"/>
      <c r="E287" s="36"/>
      <c r="F287" s="36"/>
      <c r="G287" s="6"/>
      <c r="H287" s="37"/>
      <c r="I287" s="36"/>
      <c r="J287" s="36"/>
      <c r="K287" s="60"/>
      <c r="M287" s="61"/>
      <c r="N287" s="61"/>
      <c r="O287" s="61"/>
      <c r="P287" s="61"/>
      <c r="Q287" s="61"/>
      <c r="R287" s="61"/>
      <c r="S287" s="62"/>
      <c r="T287" s="62"/>
      <c r="U287" s="62"/>
    </row>
    <row r="288" spans="2:21" ht="15.75" customHeight="1" x14ac:dyDescent="0.3">
      <c r="B288" s="36"/>
      <c r="C288" s="36"/>
      <c r="D288" s="6"/>
      <c r="E288" s="36"/>
      <c r="F288" s="36"/>
      <c r="G288" s="6"/>
      <c r="H288" s="37"/>
      <c r="I288" s="36"/>
      <c r="J288" s="36"/>
      <c r="K288" s="60"/>
      <c r="M288" s="61"/>
      <c r="N288" s="61"/>
      <c r="O288" s="61"/>
      <c r="P288" s="61"/>
      <c r="Q288" s="61"/>
      <c r="R288" s="61"/>
      <c r="S288" s="62"/>
      <c r="T288" s="62"/>
      <c r="U288" s="62"/>
    </row>
    <row r="289" spans="2:21" ht="15.75" customHeight="1" x14ac:dyDescent="0.3">
      <c r="B289" s="36"/>
      <c r="C289" s="36"/>
      <c r="D289" s="6"/>
      <c r="E289" s="36"/>
      <c r="F289" s="36"/>
      <c r="G289" s="6"/>
      <c r="H289" s="37"/>
      <c r="I289" s="36"/>
      <c r="J289" s="36"/>
      <c r="K289" s="60"/>
      <c r="M289" s="61"/>
      <c r="N289" s="61"/>
      <c r="O289" s="61"/>
      <c r="P289" s="61"/>
      <c r="Q289" s="61"/>
      <c r="R289" s="61"/>
      <c r="S289" s="62"/>
      <c r="T289" s="62"/>
      <c r="U289" s="62"/>
    </row>
    <row r="290" spans="2:21" ht="15.75" customHeight="1" x14ac:dyDescent="0.3">
      <c r="B290" s="36"/>
      <c r="C290" s="36"/>
      <c r="D290" s="6"/>
      <c r="E290" s="36"/>
      <c r="F290" s="36"/>
      <c r="G290" s="6"/>
      <c r="H290" s="37"/>
      <c r="I290" s="36"/>
      <c r="J290" s="36"/>
      <c r="K290" s="60"/>
      <c r="M290" s="61"/>
      <c r="N290" s="61"/>
      <c r="O290" s="61"/>
      <c r="P290" s="61"/>
      <c r="Q290" s="61"/>
      <c r="R290" s="61"/>
      <c r="S290" s="62"/>
      <c r="T290" s="62"/>
      <c r="U290" s="62"/>
    </row>
    <row r="291" spans="2:21" ht="15.75" customHeight="1" x14ac:dyDescent="0.3">
      <c r="B291" s="36"/>
      <c r="C291" s="36"/>
      <c r="D291" s="6"/>
      <c r="E291" s="36"/>
      <c r="F291" s="36"/>
      <c r="G291" s="6"/>
      <c r="H291" s="37"/>
      <c r="I291" s="36"/>
      <c r="J291" s="36"/>
      <c r="K291" s="60"/>
      <c r="M291" s="61"/>
      <c r="N291" s="61"/>
      <c r="O291" s="61"/>
      <c r="P291" s="61"/>
      <c r="Q291" s="61"/>
      <c r="R291" s="61"/>
      <c r="S291" s="62"/>
      <c r="T291" s="62"/>
      <c r="U291" s="62"/>
    </row>
    <row r="292" spans="2:21" ht="15.75" customHeight="1" x14ac:dyDescent="0.3">
      <c r="B292" s="36"/>
      <c r="C292" s="36"/>
      <c r="D292" s="6"/>
      <c r="E292" s="36"/>
      <c r="F292" s="36"/>
      <c r="G292" s="6"/>
      <c r="H292" s="37"/>
      <c r="I292" s="36"/>
      <c r="J292" s="36"/>
      <c r="K292" s="60"/>
      <c r="M292" s="61"/>
      <c r="N292" s="61"/>
      <c r="O292" s="61"/>
      <c r="P292" s="61"/>
      <c r="Q292" s="61"/>
      <c r="R292" s="61"/>
      <c r="S292" s="62"/>
      <c r="T292" s="62"/>
      <c r="U292" s="62"/>
    </row>
    <row r="293" spans="2:21" ht="15.75" customHeight="1" x14ac:dyDescent="0.3">
      <c r="B293" s="36"/>
      <c r="C293" s="36"/>
      <c r="D293" s="6"/>
      <c r="E293" s="36"/>
      <c r="F293" s="36"/>
      <c r="G293" s="6"/>
      <c r="H293" s="37"/>
      <c r="I293" s="36"/>
      <c r="J293" s="36"/>
      <c r="K293" s="60"/>
      <c r="M293" s="61"/>
      <c r="N293" s="61"/>
      <c r="O293" s="61"/>
      <c r="P293" s="61"/>
      <c r="Q293" s="61"/>
      <c r="R293" s="61"/>
      <c r="S293" s="62"/>
      <c r="T293" s="62"/>
      <c r="U293" s="62"/>
    </row>
    <row r="294" spans="2:21" ht="15.75" customHeight="1" x14ac:dyDescent="0.3">
      <c r="B294" s="36"/>
      <c r="C294" s="36"/>
      <c r="D294" s="6"/>
      <c r="E294" s="36"/>
      <c r="F294" s="36"/>
      <c r="G294" s="6"/>
      <c r="H294" s="37"/>
      <c r="I294" s="36"/>
      <c r="J294" s="36"/>
      <c r="K294" s="60"/>
      <c r="M294" s="61"/>
      <c r="N294" s="61"/>
      <c r="O294" s="61"/>
      <c r="P294" s="61"/>
      <c r="Q294" s="61"/>
      <c r="R294" s="61"/>
      <c r="S294" s="62"/>
      <c r="T294" s="62"/>
      <c r="U294" s="62"/>
    </row>
    <row r="295" spans="2:21" ht="15.75" customHeight="1" x14ac:dyDescent="0.3">
      <c r="B295" s="36"/>
      <c r="C295" s="36"/>
      <c r="D295" s="6"/>
      <c r="E295" s="36"/>
      <c r="F295" s="36"/>
      <c r="G295" s="6"/>
      <c r="H295" s="37"/>
      <c r="I295" s="36"/>
      <c r="J295" s="36"/>
      <c r="K295" s="60"/>
      <c r="M295" s="61"/>
      <c r="N295" s="61"/>
      <c r="O295" s="61"/>
      <c r="P295" s="61"/>
      <c r="Q295" s="61"/>
      <c r="R295" s="61"/>
      <c r="S295" s="62"/>
      <c r="T295" s="62"/>
      <c r="U295" s="62"/>
    </row>
    <row r="296" spans="2:21" ht="15.75" customHeight="1" x14ac:dyDescent="0.3">
      <c r="B296" s="36"/>
      <c r="C296" s="36"/>
      <c r="D296" s="6"/>
      <c r="E296" s="36"/>
      <c r="F296" s="36"/>
      <c r="G296" s="6"/>
      <c r="H296" s="37"/>
      <c r="I296" s="36"/>
      <c r="J296" s="36"/>
      <c r="K296" s="60"/>
      <c r="M296" s="61"/>
      <c r="N296" s="61"/>
      <c r="O296" s="61"/>
      <c r="P296" s="61"/>
      <c r="Q296" s="61"/>
      <c r="R296" s="61"/>
      <c r="S296" s="62"/>
      <c r="T296" s="62"/>
      <c r="U296" s="62"/>
    </row>
    <row r="297" spans="2:21" ht="15.75" customHeight="1" x14ac:dyDescent="0.3">
      <c r="B297" s="36"/>
      <c r="C297" s="36"/>
      <c r="D297" s="6"/>
      <c r="E297" s="36"/>
      <c r="F297" s="36"/>
      <c r="G297" s="6"/>
      <c r="H297" s="37"/>
      <c r="I297" s="36"/>
      <c r="J297" s="36"/>
      <c r="K297" s="60"/>
      <c r="M297" s="61"/>
      <c r="N297" s="61"/>
      <c r="O297" s="61"/>
      <c r="P297" s="61"/>
      <c r="Q297" s="61"/>
      <c r="R297" s="61"/>
      <c r="S297" s="62"/>
      <c r="T297" s="62"/>
      <c r="U297" s="62"/>
    </row>
    <row r="298" spans="2:21" ht="15.75" customHeight="1" x14ac:dyDescent="0.3">
      <c r="B298" s="36"/>
      <c r="C298" s="36"/>
      <c r="D298" s="6"/>
      <c r="E298" s="36"/>
      <c r="F298" s="36"/>
      <c r="G298" s="6"/>
      <c r="H298" s="37"/>
      <c r="I298" s="36"/>
      <c r="J298" s="36"/>
      <c r="K298" s="60"/>
      <c r="M298" s="61"/>
      <c r="N298" s="61"/>
      <c r="O298" s="61"/>
      <c r="P298" s="61"/>
      <c r="Q298" s="61"/>
      <c r="R298" s="61"/>
      <c r="S298" s="62"/>
      <c r="T298" s="62"/>
      <c r="U298" s="62"/>
    </row>
    <row r="299" spans="2:21" ht="15.75" customHeight="1" x14ac:dyDescent="0.3">
      <c r="B299" s="36"/>
      <c r="C299" s="36"/>
      <c r="D299" s="6"/>
      <c r="E299" s="36"/>
      <c r="F299" s="36"/>
      <c r="G299" s="6"/>
      <c r="H299" s="37"/>
      <c r="I299" s="36"/>
      <c r="J299" s="36"/>
      <c r="K299" s="60"/>
      <c r="M299" s="61"/>
      <c r="N299" s="61"/>
      <c r="O299" s="61"/>
      <c r="P299" s="61"/>
      <c r="Q299" s="61"/>
      <c r="R299" s="61"/>
      <c r="S299" s="62"/>
      <c r="T299" s="62"/>
      <c r="U299" s="62"/>
    </row>
    <row r="300" spans="2:21" ht="15.75" customHeight="1" x14ac:dyDescent="0.3">
      <c r="B300" s="36"/>
      <c r="C300" s="36"/>
      <c r="D300" s="6"/>
      <c r="E300" s="36"/>
      <c r="F300" s="36"/>
      <c r="G300" s="6"/>
      <c r="H300" s="37"/>
      <c r="I300" s="36"/>
      <c r="J300" s="36"/>
      <c r="K300" s="60"/>
      <c r="M300" s="61"/>
      <c r="N300" s="61"/>
      <c r="O300" s="61"/>
      <c r="P300" s="61"/>
      <c r="Q300" s="61"/>
      <c r="R300" s="61"/>
      <c r="S300" s="62"/>
      <c r="T300" s="62"/>
      <c r="U300" s="62"/>
    </row>
    <row r="301" spans="2:21" ht="15.75" customHeight="1" x14ac:dyDescent="0.3">
      <c r="B301" s="36"/>
      <c r="C301" s="36"/>
      <c r="D301" s="6"/>
      <c r="E301" s="36"/>
      <c r="F301" s="36"/>
      <c r="G301" s="6"/>
      <c r="H301" s="37"/>
      <c r="I301" s="36"/>
      <c r="J301" s="36"/>
      <c r="K301" s="60"/>
      <c r="M301" s="61"/>
      <c r="N301" s="61"/>
      <c r="O301" s="61"/>
      <c r="P301" s="61"/>
      <c r="Q301" s="61"/>
      <c r="R301" s="61"/>
      <c r="S301" s="62"/>
      <c r="T301" s="62"/>
      <c r="U301" s="62"/>
    </row>
    <row r="302" spans="2:21" ht="15.75" customHeight="1" x14ac:dyDescent="0.3">
      <c r="B302" s="36"/>
      <c r="C302" s="36"/>
      <c r="D302" s="6"/>
      <c r="E302" s="36"/>
      <c r="F302" s="36"/>
      <c r="G302" s="6"/>
      <c r="H302" s="37"/>
      <c r="I302" s="36"/>
      <c r="J302" s="36"/>
      <c r="K302" s="60"/>
      <c r="M302" s="61"/>
      <c r="N302" s="61"/>
      <c r="O302" s="61"/>
      <c r="P302" s="61"/>
      <c r="Q302" s="61"/>
      <c r="R302" s="61"/>
      <c r="S302" s="62"/>
      <c r="T302" s="62"/>
      <c r="U302" s="62"/>
    </row>
    <row r="303" spans="2:21" ht="15.75" customHeight="1" x14ac:dyDescent="0.3">
      <c r="B303" s="36"/>
      <c r="C303" s="36"/>
      <c r="D303" s="6"/>
      <c r="E303" s="36"/>
      <c r="F303" s="36"/>
      <c r="G303" s="6"/>
      <c r="H303" s="37"/>
      <c r="I303" s="36"/>
      <c r="J303" s="36"/>
      <c r="K303" s="60"/>
      <c r="M303" s="61"/>
      <c r="N303" s="61"/>
      <c r="O303" s="61"/>
      <c r="P303" s="61"/>
      <c r="Q303" s="61"/>
      <c r="R303" s="61"/>
      <c r="S303" s="62"/>
      <c r="T303" s="62"/>
      <c r="U303" s="62"/>
    </row>
    <row r="304" spans="2:21" ht="15.75" customHeight="1" x14ac:dyDescent="0.3">
      <c r="B304" s="36"/>
      <c r="C304" s="36"/>
      <c r="D304" s="6"/>
      <c r="E304" s="36"/>
      <c r="F304" s="36"/>
      <c r="G304" s="6"/>
      <c r="H304" s="37"/>
      <c r="I304" s="36"/>
      <c r="J304" s="36"/>
      <c r="K304" s="60"/>
      <c r="M304" s="61"/>
      <c r="N304" s="61"/>
      <c r="O304" s="61"/>
      <c r="P304" s="61"/>
      <c r="Q304" s="61"/>
      <c r="R304" s="61"/>
      <c r="S304" s="62"/>
      <c r="T304" s="62"/>
      <c r="U304" s="62"/>
    </row>
    <row r="305" spans="2:21" ht="15.75" customHeight="1" x14ac:dyDescent="0.3">
      <c r="B305" s="36"/>
      <c r="C305" s="36"/>
      <c r="D305" s="6"/>
      <c r="E305" s="36"/>
      <c r="F305" s="36"/>
      <c r="G305" s="6"/>
      <c r="H305" s="37"/>
      <c r="I305" s="36"/>
      <c r="J305" s="36"/>
      <c r="K305" s="60"/>
      <c r="M305" s="61"/>
      <c r="N305" s="61"/>
      <c r="O305" s="61"/>
      <c r="P305" s="61"/>
      <c r="Q305" s="61"/>
      <c r="R305" s="61"/>
      <c r="S305" s="62"/>
      <c r="T305" s="62"/>
      <c r="U305" s="62"/>
    </row>
    <row r="306" spans="2:21" ht="15.75" customHeight="1" x14ac:dyDescent="0.3">
      <c r="B306" s="36"/>
      <c r="C306" s="36"/>
      <c r="D306" s="6"/>
      <c r="E306" s="36"/>
      <c r="F306" s="36"/>
      <c r="G306" s="6"/>
      <c r="H306" s="37"/>
      <c r="I306" s="36"/>
      <c r="J306" s="36"/>
      <c r="K306" s="60"/>
      <c r="M306" s="61"/>
      <c r="N306" s="61"/>
      <c r="O306" s="61"/>
      <c r="P306" s="61"/>
      <c r="Q306" s="61"/>
      <c r="R306" s="61"/>
      <c r="S306" s="62"/>
      <c r="T306" s="62"/>
      <c r="U306" s="62"/>
    </row>
    <row r="307" spans="2:21" ht="15.75" customHeight="1" x14ac:dyDescent="0.3">
      <c r="B307" s="36"/>
      <c r="C307" s="36"/>
      <c r="D307" s="6"/>
      <c r="E307" s="36"/>
      <c r="F307" s="36"/>
      <c r="G307" s="6"/>
      <c r="H307" s="37"/>
      <c r="I307" s="36"/>
      <c r="J307" s="36"/>
      <c r="K307" s="60"/>
      <c r="M307" s="61"/>
      <c r="N307" s="61"/>
      <c r="O307" s="61"/>
      <c r="P307" s="61"/>
      <c r="Q307" s="61"/>
      <c r="R307" s="61"/>
      <c r="S307" s="62"/>
      <c r="T307" s="62"/>
      <c r="U307" s="62"/>
    </row>
    <row r="308" spans="2:21" ht="15.75" customHeight="1" x14ac:dyDescent="0.3">
      <c r="B308" s="36"/>
      <c r="C308" s="36"/>
      <c r="D308" s="6"/>
      <c r="E308" s="36"/>
      <c r="F308" s="36"/>
      <c r="G308" s="6"/>
      <c r="H308" s="37"/>
      <c r="I308" s="36"/>
      <c r="J308" s="36"/>
      <c r="K308" s="60"/>
      <c r="M308" s="61"/>
      <c r="N308" s="61"/>
      <c r="O308" s="61"/>
      <c r="P308" s="61"/>
      <c r="Q308" s="61"/>
      <c r="R308" s="61"/>
      <c r="S308" s="62"/>
      <c r="T308" s="62"/>
      <c r="U308" s="62"/>
    </row>
    <row r="309" spans="2:21" ht="15.75" customHeight="1" x14ac:dyDescent="0.3">
      <c r="B309" s="36"/>
      <c r="C309" s="36"/>
      <c r="D309" s="6"/>
      <c r="E309" s="36"/>
      <c r="F309" s="36"/>
      <c r="G309" s="6"/>
      <c r="H309" s="37"/>
      <c r="I309" s="36"/>
      <c r="J309" s="36"/>
      <c r="K309" s="60"/>
      <c r="M309" s="61"/>
      <c r="N309" s="61"/>
      <c r="O309" s="61"/>
      <c r="P309" s="61"/>
      <c r="Q309" s="61"/>
      <c r="R309" s="61"/>
      <c r="S309" s="62"/>
      <c r="T309" s="62"/>
      <c r="U309" s="62"/>
    </row>
    <row r="310" spans="2:21" ht="15.75" customHeight="1" x14ac:dyDescent="0.3">
      <c r="B310" s="36"/>
      <c r="C310" s="36"/>
      <c r="D310" s="6"/>
      <c r="E310" s="36"/>
      <c r="F310" s="36"/>
      <c r="G310" s="6"/>
      <c r="H310" s="37"/>
      <c r="I310" s="36"/>
      <c r="J310" s="36"/>
      <c r="K310" s="60"/>
      <c r="M310" s="61"/>
      <c r="N310" s="61"/>
      <c r="O310" s="61"/>
      <c r="P310" s="61"/>
      <c r="Q310" s="61"/>
      <c r="R310" s="61"/>
      <c r="S310" s="62"/>
      <c r="T310" s="62"/>
      <c r="U310" s="62"/>
    </row>
    <row r="311" spans="2:21" ht="15.75" customHeight="1" x14ac:dyDescent="0.3">
      <c r="B311" s="36"/>
      <c r="C311" s="36"/>
      <c r="D311" s="6"/>
      <c r="E311" s="36"/>
      <c r="F311" s="36"/>
      <c r="G311" s="6"/>
      <c r="H311" s="37"/>
      <c r="I311" s="36"/>
      <c r="J311" s="36"/>
      <c r="K311" s="60"/>
      <c r="M311" s="61"/>
      <c r="N311" s="61"/>
      <c r="O311" s="61"/>
      <c r="P311" s="61"/>
      <c r="Q311" s="61"/>
      <c r="R311" s="61"/>
      <c r="S311" s="62"/>
      <c r="T311" s="62"/>
      <c r="U311" s="62"/>
    </row>
    <row r="312" spans="2:21" ht="15.75" customHeight="1" x14ac:dyDescent="0.3">
      <c r="B312" s="36"/>
      <c r="C312" s="36"/>
      <c r="D312" s="6"/>
      <c r="E312" s="36"/>
      <c r="F312" s="36"/>
      <c r="G312" s="6"/>
      <c r="H312" s="37"/>
      <c r="I312" s="36"/>
      <c r="J312" s="36"/>
      <c r="K312" s="60"/>
      <c r="M312" s="61"/>
      <c r="N312" s="61"/>
      <c r="O312" s="61"/>
      <c r="P312" s="61"/>
      <c r="Q312" s="61"/>
      <c r="R312" s="61"/>
      <c r="S312" s="62"/>
      <c r="T312" s="62"/>
      <c r="U312" s="62"/>
    </row>
    <row r="313" spans="2:21" ht="15.75" customHeight="1" x14ac:dyDescent="0.3">
      <c r="B313" s="36"/>
      <c r="C313" s="36"/>
      <c r="D313" s="6"/>
      <c r="E313" s="36"/>
      <c r="F313" s="36"/>
      <c r="G313" s="6"/>
      <c r="H313" s="37"/>
      <c r="I313" s="36"/>
      <c r="J313" s="36"/>
      <c r="K313" s="60"/>
      <c r="M313" s="61"/>
      <c r="N313" s="61"/>
      <c r="O313" s="61"/>
      <c r="P313" s="61"/>
      <c r="Q313" s="61"/>
      <c r="R313" s="61"/>
      <c r="S313" s="62"/>
      <c r="T313" s="62"/>
      <c r="U313" s="62"/>
    </row>
    <row r="314" spans="2:21" ht="15.75" customHeight="1" x14ac:dyDescent="0.3">
      <c r="B314" s="36"/>
      <c r="C314" s="36"/>
      <c r="D314" s="6"/>
      <c r="E314" s="36"/>
      <c r="F314" s="36"/>
      <c r="G314" s="6"/>
      <c r="H314" s="37"/>
      <c r="I314" s="36"/>
      <c r="J314" s="36"/>
      <c r="K314" s="60"/>
      <c r="M314" s="61"/>
      <c r="N314" s="61"/>
      <c r="O314" s="61"/>
      <c r="P314" s="61"/>
      <c r="Q314" s="61"/>
      <c r="R314" s="61"/>
      <c r="S314" s="62"/>
      <c r="T314" s="62"/>
      <c r="U314" s="62"/>
    </row>
    <row r="315" spans="2:21" ht="15.75" customHeight="1" x14ac:dyDescent="0.3">
      <c r="B315" s="36"/>
      <c r="C315" s="36"/>
      <c r="D315" s="6"/>
      <c r="E315" s="36"/>
      <c r="F315" s="36"/>
      <c r="G315" s="6"/>
      <c r="H315" s="37"/>
      <c r="I315" s="36"/>
      <c r="J315" s="36"/>
      <c r="K315" s="60"/>
      <c r="M315" s="61"/>
      <c r="N315" s="61"/>
      <c r="O315" s="61"/>
      <c r="P315" s="61"/>
      <c r="Q315" s="61"/>
      <c r="R315" s="61"/>
      <c r="S315" s="62"/>
      <c r="T315" s="62"/>
      <c r="U315" s="62"/>
    </row>
    <row r="316" spans="2:21" ht="15.75" customHeight="1" x14ac:dyDescent="0.3">
      <c r="B316" s="36"/>
      <c r="C316" s="36"/>
      <c r="D316" s="6"/>
      <c r="E316" s="36"/>
      <c r="F316" s="36"/>
      <c r="G316" s="6"/>
      <c r="H316" s="37"/>
      <c r="I316" s="36"/>
      <c r="J316" s="36"/>
      <c r="K316" s="60"/>
      <c r="M316" s="61"/>
      <c r="N316" s="61"/>
      <c r="O316" s="61"/>
      <c r="P316" s="61"/>
      <c r="Q316" s="61"/>
      <c r="R316" s="61"/>
      <c r="S316" s="62"/>
      <c r="T316" s="62"/>
      <c r="U316" s="62"/>
    </row>
    <row r="317" spans="2:21" ht="15.75" customHeight="1" x14ac:dyDescent="0.3">
      <c r="B317" s="36"/>
      <c r="C317" s="36"/>
      <c r="D317" s="6"/>
      <c r="E317" s="36"/>
      <c r="F317" s="36"/>
      <c r="G317" s="6"/>
      <c r="H317" s="37"/>
      <c r="I317" s="36"/>
      <c r="J317" s="36"/>
      <c r="K317" s="60"/>
      <c r="M317" s="61"/>
      <c r="N317" s="61"/>
      <c r="O317" s="61"/>
      <c r="P317" s="61"/>
      <c r="Q317" s="61"/>
      <c r="R317" s="61"/>
      <c r="S317" s="62"/>
      <c r="T317" s="62"/>
      <c r="U317" s="62"/>
    </row>
    <row r="318" spans="2:21" ht="15.75" customHeight="1" x14ac:dyDescent="0.3">
      <c r="B318" s="36"/>
      <c r="C318" s="36"/>
      <c r="D318" s="6"/>
      <c r="E318" s="36"/>
      <c r="F318" s="36"/>
      <c r="G318" s="6"/>
      <c r="H318" s="37"/>
      <c r="I318" s="36"/>
      <c r="J318" s="36"/>
      <c r="K318" s="60"/>
      <c r="M318" s="61"/>
      <c r="N318" s="61"/>
      <c r="O318" s="61"/>
      <c r="P318" s="61"/>
      <c r="Q318" s="61"/>
      <c r="R318" s="61"/>
      <c r="S318" s="62"/>
      <c r="T318" s="62"/>
      <c r="U318" s="62"/>
    </row>
    <row r="319" spans="2:21" ht="15.75" customHeight="1" x14ac:dyDescent="0.3">
      <c r="B319" s="36"/>
      <c r="C319" s="36"/>
      <c r="D319" s="6"/>
      <c r="E319" s="36"/>
      <c r="F319" s="36"/>
      <c r="G319" s="6"/>
      <c r="H319" s="37"/>
      <c r="I319" s="36"/>
      <c r="J319" s="36"/>
      <c r="K319" s="60"/>
      <c r="M319" s="61"/>
      <c r="N319" s="61"/>
      <c r="O319" s="61"/>
      <c r="P319" s="61"/>
      <c r="Q319" s="61"/>
      <c r="R319" s="61"/>
      <c r="S319" s="62"/>
      <c r="T319" s="62"/>
      <c r="U319" s="62"/>
    </row>
    <row r="320" spans="2:21" ht="15.75" customHeight="1" x14ac:dyDescent="0.3">
      <c r="B320" s="36"/>
      <c r="C320" s="36"/>
      <c r="D320" s="6"/>
      <c r="E320" s="36"/>
      <c r="F320" s="36"/>
      <c r="G320" s="6"/>
      <c r="H320" s="37"/>
      <c r="I320" s="36"/>
      <c r="J320" s="36"/>
      <c r="K320" s="60"/>
      <c r="M320" s="61"/>
      <c r="N320" s="61"/>
      <c r="O320" s="61"/>
      <c r="P320" s="61"/>
      <c r="Q320" s="61"/>
      <c r="R320" s="61"/>
      <c r="S320" s="62"/>
      <c r="T320" s="62"/>
      <c r="U320" s="62"/>
    </row>
    <row r="321" spans="2:21" ht="15.75" customHeight="1" x14ac:dyDescent="0.3">
      <c r="B321" s="36"/>
      <c r="C321" s="36"/>
      <c r="D321" s="6"/>
      <c r="E321" s="36"/>
      <c r="F321" s="36"/>
      <c r="G321" s="6"/>
      <c r="H321" s="37"/>
      <c r="I321" s="36"/>
      <c r="J321" s="36"/>
      <c r="K321" s="60"/>
      <c r="M321" s="61"/>
      <c r="N321" s="61"/>
      <c r="O321" s="61"/>
      <c r="P321" s="61"/>
      <c r="Q321" s="61"/>
      <c r="R321" s="61"/>
      <c r="S321" s="62"/>
      <c r="T321" s="62"/>
      <c r="U321" s="62"/>
    </row>
    <row r="322" spans="2:21" ht="15.75" customHeight="1" x14ac:dyDescent="0.3">
      <c r="B322" s="36"/>
      <c r="C322" s="36"/>
      <c r="D322" s="6"/>
      <c r="E322" s="36"/>
      <c r="F322" s="36"/>
      <c r="G322" s="6"/>
      <c r="H322" s="37"/>
      <c r="I322" s="36"/>
      <c r="J322" s="36"/>
      <c r="K322" s="60"/>
      <c r="M322" s="61"/>
      <c r="N322" s="61"/>
      <c r="O322" s="61"/>
      <c r="P322" s="61"/>
      <c r="Q322" s="61"/>
      <c r="R322" s="61"/>
      <c r="S322" s="62"/>
      <c r="T322" s="62"/>
      <c r="U322" s="62"/>
    </row>
    <row r="323" spans="2:21" ht="15.75" customHeight="1" x14ac:dyDescent="0.3">
      <c r="B323" s="36"/>
      <c r="C323" s="36"/>
      <c r="D323" s="6"/>
      <c r="E323" s="36"/>
      <c r="F323" s="36"/>
      <c r="G323" s="6"/>
      <c r="H323" s="37"/>
      <c r="I323" s="36"/>
      <c r="J323" s="36"/>
      <c r="K323" s="60"/>
      <c r="M323" s="61"/>
      <c r="N323" s="61"/>
      <c r="O323" s="61"/>
      <c r="P323" s="61"/>
      <c r="Q323" s="61"/>
      <c r="R323" s="61"/>
      <c r="S323" s="62"/>
      <c r="T323" s="62"/>
      <c r="U323" s="62"/>
    </row>
    <row r="324" spans="2:21" ht="15.75" customHeight="1" x14ac:dyDescent="0.3">
      <c r="B324" s="36"/>
      <c r="C324" s="36"/>
      <c r="D324" s="6"/>
      <c r="E324" s="36"/>
      <c r="F324" s="36"/>
      <c r="G324" s="6"/>
      <c r="H324" s="37"/>
      <c r="I324" s="36"/>
      <c r="J324" s="36"/>
      <c r="K324" s="60"/>
      <c r="M324" s="61"/>
      <c r="N324" s="61"/>
      <c r="O324" s="61"/>
      <c r="P324" s="61"/>
      <c r="Q324" s="61"/>
      <c r="R324" s="61"/>
      <c r="S324" s="62"/>
      <c r="T324" s="62"/>
      <c r="U324" s="62"/>
    </row>
    <row r="325" spans="2:21" ht="15.75" customHeight="1" x14ac:dyDescent="0.3">
      <c r="B325" s="36"/>
      <c r="C325" s="36"/>
      <c r="D325" s="6"/>
      <c r="E325" s="36"/>
      <c r="F325" s="36"/>
      <c r="G325" s="6"/>
      <c r="H325" s="37"/>
      <c r="I325" s="36"/>
      <c r="J325" s="36"/>
      <c r="K325" s="60"/>
      <c r="M325" s="61"/>
      <c r="N325" s="61"/>
      <c r="O325" s="61"/>
      <c r="P325" s="61"/>
      <c r="Q325" s="61"/>
      <c r="R325" s="61"/>
      <c r="S325" s="62"/>
      <c r="T325" s="62"/>
      <c r="U325" s="62"/>
    </row>
    <row r="326" spans="2:21" ht="15.75" customHeight="1" x14ac:dyDescent="0.3">
      <c r="B326" s="36"/>
      <c r="C326" s="36"/>
      <c r="D326" s="6"/>
      <c r="E326" s="36"/>
      <c r="F326" s="36"/>
      <c r="G326" s="6"/>
      <c r="H326" s="37"/>
      <c r="I326" s="36"/>
      <c r="J326" s="36"/>
      <c r="K326" s="60"/>
      <c r="M326" s="61"/>
      <c r="N326" s="61"/>
      <c r="O326" s="61"/>
      <c r="P326" s="61"/>
      <c r="Q326" s="61"/>
      <c r="R326" s="61"/>
      <c r="S326" s="62"/>
      <c r="T326" s="62"/>
      <c r="U326" s="62"/>
    </row>
    <row r="327" spans="2:21" ht="15.75" customHeight="1" x14ac:dyDescent="0.3">
      <c r="B327" s="36"/>
      <c r="C327" s="36"/>
      <c r="D327" s="6"/>
      <c r="E327" s="36"/>
      <c r="F327" s="36"/>
      <c r="G327" s="6"/>
      <c r="H327" s="37"/>
      <c r="I327" s="36"/>
      <c r="J327" s="36"/>
      <c r="K327" s="60"/>
      <c r="M327" s="61"/>
      <c r="N327" s="61"/>
      <c r="O327" s="61"/>
      <c r="P327" s="61"/>
      <c r="Q327" s="61"/>
      <c r="R327" s="61"/>
      <c r="S327" s="62"/>
      <c r="T327" s="62"/>
      <c r="U327" s="62"/>
    </row>
    <row r="328" spans="2:21" ht="15.75" customHeight="1" x14ac:dyDescent="0.3">
      <c r="B328" s="36"/>
      <c r="C328" s="36"/>
      <c r="D328" s="6"/>
      <c r="E328" s="36"/>
      <c r="F328" s="36"/>
      <c r="G328" s="6"/>
      <c r="H328" s="37"/>
      <c r="I328" s="36"/>
      <c r="J328" s="36"/>
      <c r="K328" s="60"/>
      <c r="M328" s="61"/>
      <c r="N328" s="61"/>
      <c r="O328" s="61"/>
      <c r="P328" s="61"/>
      <c r="Q328" s="61"/>
      <c r="R328" s="61"/>
      <c r="S328" s="62"/>
      <c r="T328" s="62"/>
      <c r="U328" s="62"/>
    </row>
    <row r="329" spans="2:21" ht="15.75" customHeight="1" x14ac:dyDescent="0.3">
      <c r="B329" s="36"/>
      <c r="C329" s="36"/>
      <c r="D329" s="6"/>
      <c r="E329" s="36"/>
      <c r="F329" s="36"/>
      <c r="G329" s="6"/>
      <c r="H329" s="37"/>
      <c r="I329" s="36"/>
      <c r="J329" s="36"/>
      <c r="K329" s="60"/>
      <c r="M329" s="61"/>
      <c r="N329" s="61"/>
      <c r="O329" s="61"/>
      <c r="P329" s="61"/>
      <c r="Q329" s="61"/>
      <c r="R329" s="61"/>
      <c r="S329" s="62"/>
      <c r="T329" s="62"/>
      <c r="U329" s="62"/>
    </row>
    <row r="330" spans="2:21" ht="15.75" customHeight="1" x14ac:dyDescent="0.3">
      <c r="B330" s="36"/>
      <c r="C330" s="36"/>
      <c r="D330" s="6"/>
      <c r="E330" s="36"/>
      <c r="F330" s="36"/>
      <c r="G330" s="6"/>
      <c r="H330" s="37"/>
      <c r="I330" s="36"/>
      <c r="J330" s="36"/>
      <c r="K330" s="60"/>
      <c r="M330" s="61"/>
      <c r="N330" s="61"/>
      <c r="O330" s="61"/>
      <c r="P330" s="61"/>
      <c r="Q330" s="61"/>
      <c r="R330" s="61"/>
      <c r="S330" s="62"/>
      <c r="T330" s="62"/>
      <c r="U330" s="62"/>
    </row>
    <row r="331" spans="2:21" ht="15.75" customHeight="1" x14ac:dyDescent="0.3">
      <c r="B331" s="36"/>
      <c r="C331" s="36"/>
      <c r="D331" s="6"/>
      <c r="E331" s="36"/>
      <c r="F331" s="36"/>
      <c r="G331" s="6"/>
      <c r="H331" s="37"/>
      <c r="I331" s="36"/>
      <c r="J331" s="36"/>
      <c r="K331" s="60"/>
      <c r="M331" s="61"/>
      <c r="N331" s="61"/>
      <c r="O331" s="61"/>
      <c r="P331" s="61"/>
      <c r="Q331" s="61"/>
      <c r="R331" s="61"/>
      <c r="S331" s="62"/>
      <c r="T331" s="62"/>
      <c r="U331" s="62"/>
    </row>
    <row r="332" spans="2:21" ht="15.75" customHeight="1" x14ac:dyDescent="0.3">
      <c r="B332" s="36"/>
      <c r="C332" s="36"/>
      <c r="D332" s="6"/>
      <c r="E332" s="36"/>
      <c r="F332" s="36"/>
      <c r="G332" s="6"/>
      <c r="H332" s="37"/>
      <c r="I332" s="36"/>
      <c r="J332" s="36"/>
      <c r="K332" s="60"/>
      <c r="M332" s="61"/>
      <c r="N332" s="61"/>
      <c r="O332" s="61"/>
      <c r="P332" s="61"/>
      <c r="Q332" s="61"/>
      <c r="R332" s="61"/>
      <c r="S332" s="62"/>
      <c r="T332" s="62"/>
      <c r="U332" s="62"/>
    </row>
    <row r="333" spans="2:21" ht="15.75" customHeight="1" x14ac:dyDescent="0.3">
      <c r="B333" s="36"/>
      <c r="C333" s="36"/>
      <c r="D333" s="6"/>
      <c r="E333" s="36"/>
      <c r="F333" s="36"/>
      <c r="G333" s="6"/>
      <c r="H333" s="37"/>
      <c r="I333" s="36"/>
      <c r="J333" s="36"/>
      <c r="K333" s="60"/>
      <c r="M333" s="61"/>
      <c r="N333" s="61"/>
      <c r="O333" s="61"/>
      <c r="P333" s="61"/>
      <c r="Q333" s="61"/>
      <c r="R333" s="61"/>
      <c r="S333" s="62"/>
      <c r="T333" s="62"/>
      <c r="U333" s="62"/>
    </row>
    <row r="334" spans="2:21" ht="15.75" customHeight="1" x14ac:dyDescent="0.3">
      <c r="B334" s="36"/>
      <c r="C334" s="36"/>
      <c r="D334" s="6"/>
      <c r="E334" s="36"/>
      <c r="F334" s="36"/>
      <c r="G334" s="6"/>
      <c r="H334" s="37"/>
      <c r="I334" s="36"/>
      <c r="J334" s="36"/>
      <c r="K334" s="60"/>
      <c r="M334" s="61"/>
      <c r="N334" s="61"/>
      <c r="O334" s="61"/>
      <c r="P334" s="61"/>
      <c r="Q334" s="61"/>
      <c r="R334" s="61"/>
      <c r="S334" s="62"/>
      <c r="T334" s="62"/>
      <c r="U334" s="62"/>
    </row>
    <row r="335" spans="2:21" ht="15.75" customHeight="1" x14ac:dyDescent="0.3">
      <c r="B335" s="36"/>
      <c r="C335" s="36"/>
      <c r="D335" s="6"/>
      <c r="E335" s="36"/>
      <c r="F335" s="36"/>
      <c r="G335" s="6"/>
      <c r="H335" s="37"/>
      <c r="I335" s="36"/>
      <c r="J335" s="36"/>
      <c r="K335" s="60"/>
      <c r="M335" s="61"/>
      <c r="N335" s="61"/>
      <c r="O335" s="61"/>
      <c r="P335" s="61"/>
      <c r="Q335" s="61"/>
      <c r="R335" s="61"/>
      <c r="S335" s="62"/>
      <c r="T335" s="62"/>
      <c r="U335" s="62"/>
    </row>
    <row r="336" spans="2:21" ht="15.75" customHeight="1" x14ac:dyDescent="0.3">
      <c r="B336" s="36"/>
      <c r="C336" s="36"/>
      <c r="D336" s="6"/>
      <c r="E336" s="36"/>
      <c r="F336" s="36"/>
      <c r="G336" s="6"/>
      <c r="H336" s="37"/>
      <c r="I336" s="36"/>
      <c r="J336" s="36"/>
      <c r="K336" s="60"/>
      <c r="M336" s="61"/>
      <c r="N336" s="61"/>
      <c r="O336" s="61"/>
      <c r="P336" s="61"/>
      <c r="Q336" s="61"/>
      <c r="R336" s="61"/>
      <c r="S336" s="62"/>
      <c r="T336" s="62"/>
      <c r="U336" s="62"/>
    </row>
    <row r="337" spans="2:21" ht="15.75" customHeight="1" x14ac:dyDescent="0.3">
      <c r="B337" s="36"/>
      <c r="C337" s="36"/>
      <c r="D337" s="6"/>
      <c r="E337" s="36"/>
      <c r="F337" s="36"/>
      <c r="G337" s="6"/>
      <c r="H337" s="37"/>
      <c r="I337" s="36"/>
      <c r="J337" s="36"/>
      <c r="K337" s="60"/>
      <c r="M337" s="61"/>
      <c r="N337" s="61"/>
      <c r="O337" s="61"/>
      <c r="P337" s="61"/>
      <c r="Q337" s="61"/>
      <c r="R337" s="61"/>
      <c r="S337" s="62"/>
      <c r="T337" s="62"/>
      <c r="U337" s="62"/>
    </row>
    <row r="338" spans="2:21" ht="15.75" customHeight="1" x14ac:dyDescent="0.3">
      <c r="B338" s="36"/>
      <c r="C338" s="36"/>
      <c r="D338" s="6"/>
      <c r="E338" s="36"/>
      <c r="F338" s="36"/>
      <c r="G338" s="6"/>
      <c r="H338" s="37"/>
      <c r="I338" s="36"/>
      <c r="J338" s="36"/>
      <c r="K338" s="60"/>
      <c r="M338" s="61"/>
      <c r="N338" s="61"/>
      <c r="O338" s="61"/>
      <c r="P338" s="61"/>
      <c r="Q338" s="61"/>
      <c r="R338" s="61"/>
      <c r="S338" s="62"/>
      <c r="T338" s="62"/>
      <c r="U338" s="62"/>
    </row>
    <row r="339" spans="2:21" ht="15.75" customHeight="1" x14ac:dyDescent="0.3">
      <c r="B339" s="36"/>
      <c r="C339" s="36"/>
      <c r="D339" s="6"/>
      <c r="E339" s="36"/>
      <c r="F339" s="36"/>
      <c r="G339" s="6"/>
      <c r="H339" s="37"/>
      <c r="I339" s="36"/>
      <c r="J339" s="36"/>
      <c r="K339" s="60"/>
      <c r="M339" s="61"/>
      <c r="N339" s="61"/>
      <c r="O339" s="61"/>
      <c r="P339" s="61"/>
      <c r="Q339" s="61"/>
      <c r="R339" s="61"/>
      <c r="S339" s="62"/>
      <c r="T339" s="62"/>
      <c r="U339" s="62"/>
    </row>
    <row r="340" spans="2:21" ht="15.75" customHeight="1" x14ac:dyDescent="0.3">
      <c r="B340" s="36"/>
      <c r="C340" s="36"/>
      <c r="D340" s="6"/>
      <c r="E340" s="36"/>
      <c r="F340" s="36"/>
      <c r="G340" s="6"/>
      <c r="H340" s="37"/>
      <c r="I340" s="36"/>
      <c r="J340" s="36"/>
      <c r="K340" s="60"/>
      <c r="M340" s="61"/>
      <c r="N340" s="61"/>
      <c r="O340" s="61"/>
      <c r="P340" s="61"/>
      <c r="Q340" s="61"/>
      <c r="R340" s="61"/>
      <c r="S340" s="62"/>
      <c r="T340" s="62"/>
      <c r="U340" s="62"/>
    </row>
    <row r="341" spans="2:21" ht="15.75" customHeight="1" x14ac:dyDescent="0.3">
      <c r="B341" s="36"/>
      <c r="C341" s="36"/>
      <c r="D341" s="6"/>
      <c r="E341" s="36"/>
      <c r="F341" s="36"/>
      <c r="G341" s="6"/>
      <c r="H341" s="37"/>
      <c r="I341" s="36"/>
      <c r="J341" s="36"/>
      <c r="K341" s="60"/>
      <c r="M341" s="61"/>
      <c r="N341" s="61"/>
      <c r="O341" s="61"/>
      <c r="P341" s="61"/>
      <c r="Q341" s="61"/>
      <c r="R341" s="61"/>
      <c r="S341" s="62"/>
      <c r="T341" s="62"/>
      <c r="U341" s="62"/>
    </row>
    <row r="342" spans="2:21" ht="15.75" customHeight="1" x14ac:dyDescent="0.3">
      <c r="B342" s="36"/>
      <c r="C342" s="36"/>
      <c r="D342" s="6"/>
      <c r="E342" s="36"/>
      <c r="F342" s="36"/>
      <c r="G342" s="6"/>
      <c r="H342" s="37"/>
      <c r="I342" s="36"/>
      <c r="J342" s="36"/>
      <c r="K342" s="60"/>
      <c r="M342" s="61"/>
      <c r="N342" s="61"/>
      <c r="O342" s="61"/>
      <c r="P342" s="61"/>
      <c r="Q342" s="61"/>
      <c r="R342" s="61"/>
      <c r="S342" s="62"/>
      <c r="T342" s="62"/>
      <c r="U342" s="62"/>
    </row>
    <row r="343" spans="2:21" ht="15.75" customHeight="1" x14ac:dyDescent="0.3">
      <c r="B343" s="36"/>
      <c r="C343" s="36"/>
      <c r="D343" s="6"/>
      <c r="E343" s="36"/>
      <c r="F343" s="36"/>
      <c r="G343" s="6"/>
      <c r="H343" s="37"/>
      <c r="I343" s="36"/>
      <c r="J343" s="36"/>
      <c r="K343" s="60"/>
      <c r="M343" s="61"/>
      <c r="N343" s="61"/>
      <c r="O343" s="61"/>
      <c r="P343" s="61"/>
      <c r="Q343" s="61"/>
      <c r="R343" s="61"/>
      <c r="S343" s="62"/>
      <c r="T343" s="62"/>
      <c r="U343" s="62"/>
    </row>
    <row r="344" spans="2:21" ht="15.75" customHeight="1" x14ac:dyDescent="0.3">
      <c r="B344" s="36"/>
      <c r="C344" s="36"/>
      <c r="D344" s="6"/>
      <c r="E344" s="36"/>
      <c r="F344" s="36"/>
      <c r="G344" s="6"/>
      <c r="H344" s="37"/>
      <c r="I344" s="36"/>
      <c r="J344" s="36"/>
      <c r="K344" s="60"/>
      <c r="M344" s="61"/>
      <c r="N344" s="61"/>
      <c r="O344" s="61"/>
      <c r="P344" s="61"/>
      <c r="Q344" s="61"/>
      <c r="R344" s="61"/>
      <c r="S344" s="62"/>
      <c r="T344" s="62"/>
      <c r="U344" s="62"/>
    </row>
    <row r="345" spans="2:21" ht="15.75" customHeight="1" x14ac:dyDescent="0.3">
      <c r="B345" s="36"/>
      <c r="C345" s="36"/>
      <c r="D345" s="6"/>
      <c r="E345" s="36"/>
      <c r="F345" s="36"/>
      <c r="G345" s="6"/>
      <c r="H345" s="37"/>
      <c r="I345" s="36"/>
      <c r="J345" s="36"/>
      <c r="K345" s="60"/>
      <c r="M345" s="61"/>
      <c r="N345" s="61"/>
      <c r="O345" s="61"/>
      <c r="P345" s="61"/>
      <c r="Q345" s="61"/>
      <c r="R345" s="61"/>
      <c r="S345" s="62"/>
      <c r="T345" s="62"/>
      <c r="U345" s="62"/>
    </row>
    <row r="346" spans="2:21" ht="15.75" customHeight="1" x14ac:dyDescent="0.3">
      <c r="B346" s="36"/>
      <c r="C346" s="36"/>
      <c r="D346" s="6"/>
      <c r="E346" s="36"/>
      <c r="F346" s="36"/>
      <c r="G346" s="6"/>
      <c r="H346" s="37"/>
      <c r="I346" s="36"/>
      <c r="J346" s="36"/>
      <c r="K346" s="60"/>
      <c r="M346" s="61"/>
      <c r="N346" s="61"/>
      <c r="O346" s="61"/>
      <c r="P346" s="61"/>
      <c r="Q346" s="61"/>
      <c r="R346" s="61"/>
      <c r="S346" s="62"/>
      <c r="T346" s="62"/>
      <c r="U346" s="62"/>
    </row>
    <row r="347" spans="2:21" ht="15.75" customHeight="1" x14ac:dyDescent="0.3">
      <c r="B347" s="36"/>
      <c r="C347" s="36"/>
      <c r="D347" s="6"/>
      <c r="E347" s="36"/>
      <c r="F347" s="36"/>
      <c r="G347" s="6"/>
      <c r="H347" s="37"/>
      <c r="I347" s="36"/>
      <c r="J347" s="36"/>
      <c r="K347" s="60"/>
      <c r="M347" s="61"/>
      <c r="N347" s="61"/>
      <c r="O347" s="61"/>
      <c r="P347" s="61"/>
      <c r="Q347" s="61"/>
      <c r="R347" s="61"/>
      <c r="S347" s="62"/>
      <c r="T347" s="62"/>
      <c r="U347" s="62"/>
    </row>
    <row r="348" spans="2:21" ht="15.75" customHeight="1" x14ac:dyDescent="0.3">
      <c r="B348" s="36"/>
      <c r="C348" s="36"/>
      <c r="D348" s="6"/>
      <c r="E348" s="36"/>
      <c r="F348" s="36"/>
      <c r="G348" s="6"/>
      <c r="H348" s="37"/>
      <c r="I348" s="36"/>
      <c r="J348" s="36"/>
      <c r="K348" s="60"/>
      <c r="M348" s="61"/>
      <c r="N348" s="61"/>
      <c r="O348" s="61"/>
      <c r="P348" s="61"/>
      <c r="Q348" s="61"/>
      <c r="R348" s="61"/>
      <c r="S348" s="62"/>
      <c r="T348" s="62"/>
      <c r="U348" s="62"/>
    </row>
    <row r="349" spans="2:21" ht="15.75" customHeight="1" x14ac:dyDescent="0.3">
      <c r="B349" s="36"/>
      <c r="C349" s="36"/>
      <c r="D349" s="6"/>
      <c r="E349" s="36"/>
      <c r="F349" s="36"/>
      <c r="G349" s="6"/>
      <c r="H349" s="37"/>
      <c r="I349" s="36"/>
      <c r="J349" s="36"/>
      <c r="K349" s="60"/>
      <c r="M349" s="61"/>
      <c r="N349" s="61"/>
      <c r="O349" s="61"/>
      <c r="P349" s="61"/>
      <c r="Q349" s="61"/>
      <c r="R349" s="61"/>
      <c r="S349" s="62"/>
      <c r="T349" s="62"/>
      <c r="U349" s="62"/>
    </row>
    <row r="350" spans="2:21" ht="15.75" customHeight="1" x14ac:dyDescent="0.3">
      <c r="B350" s="36"/>
      <c r="C350" s="36"/>
      <c r="D350" s="6"/>
      <c r="E350" s="36"/>
      <c r="F350" s="36"/>
      <c r="G350" s="6"/>
      <c r="H350" s="37"/>
      <c r="I350" s="36"/>
      <c r="J350" s="36"/>
      <c r="K350" s="60"/>
      <c r="M350" s="61"/>
      <c r="N350" s="61"/>
      <c r="O350" s="61"/>
      <c r="P350" s="61"/>
      <c r="Q350" s="61"/>
      <c r="R350" s="61"/>
      <c r="S350" s="62"/>
      <c r="T350" s="62"/>
      <c r="U350" s="62"/>
    </row>
    <row r="351" spans="2:21" ht="15.75" customHeight="1" x14ac:dyDescent="0.3">
      <c r="B351" s="36"/>
      <c r="C351" s="36"/>
      <c r="D351" s="6"/>
      <c r="E351" s="36"/>
      <c r="F351" s="36"/>
      <c r="G351" s="6"/>
      <c r="H351" s="37"/>
      <c r="I351" s="36"/>
      <c r="J351" s="36"/>
      <c r="K351" s="60"/>
      <c r="M351" s="61"/>
      <c r="N351" s="61"/>
      <c r="O351" s="61"/>
      <c r="P351" s="61"/>
      <c r="Q351" s="61"/>
      <c r="R351" s="61"/>
      <c r="S351" s="62"/>
      <c r="T351" s="62"/>
      <c r="U351" s="62"/>
    </row>
    <row r="352" spans="2:21" ht="15.75" customHeight="1" x14ac:dyDescent="0.3">
      <c r="B352" s="36"/>
      <c r="C352" s="36"/>
      <c r="D352" s="6"/>
      <c r="E352" s="36"/>
      <c r="F352" s="36"/>
      <c r="G352" s="6"/>
      <c r="H352" s="37"/>
      <c r="I352" s="36"/>
      <c r="J352" s="36"/>
      <c r="K352" s="60"/>
      <c r="M352" s="61"/>
      <c r="N352" s="61"/>
      <c r="O352" s="61"/>
      <c r="P352" s="61"/>
      <c r="Q352" s="61"/>
      <c r="R352" s="61"/>
      <c r="S352" s="62"/>
      <c r="T352" s="62"/>
      <c r="U352" s="62"/>
    </row>
    <row r="353" spans="2:21" ht="15.75" customHeight="1" x14ac:dyDescent="0.3">
      <c r="B353" s="36"/>
      <c r="C353" s="36"/>
      <c r="D353" s="6"/>
      <c r="E353" s="36"/>
      <c r="F353" s="36"/>
      <c r="G353" s="6"/>
      <c r="H353" s="37"/>
      <c r="I353" s="36"/>
      <c r="J353" s="36"/>
      <c r="K353" s="60"/>
      <c r="M353" s="61"/>
      <c r="N353" s="61"/>
      <c r="O353" s="61"/>
      <c r="P353" s="61"/>
      <c r="Q353" s="61"/>
      <c r="R353" s="61"/>
      <c r="S353" s="62"/>
      <c r="T353" s="62"/>
      <c r="U353" s="62"/>
    </row>
    <row r="354" spans="2:21" ht="15.75" customHeight="1" x14ac:dyDescent="0.3">
      <c r="B354" s="36"/>
      <c r="C354" s="36"/>
      <c r="D354" s="6"/>
      <c r="E354" s="36"/>
      <c r="F354" s="36"/>
      <c r="G354" s="6"/>
      <c r="H354" s="37"/>
      <c r="I354" s="36"/>
      <c r="J354" s="36"/>
      <c r="K354" s="60"/>
      <c r="M354" s="61"/>
      <c r="N354" s="61"/>
      <c r="O354" s="61"/>
      <c r="P354" s="61"/>
      <c r="Q354" s="61"/>
      <c r="R354" s="61"/>
      <c r="S354" s="62"/>
      <c r="T354" s="62"/>
      <c r="U354" s="62"/>
    </row>
    <row r="355" spans="2:21" ht="15.75" customHeight="1" x14ac:dyDescent="0.3">
      <c r="B355" s="36"/>
      <c r="C355" s="36"/>
      <c r="D355" s="6"/>
      <c r="E355" s="36"/>
      <c r="F355" s="36"/>
      <c r="G355" s="6"/>
      <c r="H355" s="37"/>
      <c r="I355" s="36"/>
      <c r="J355" s="36"/>
      <c r="K355" s="60"/>
      <c r="M355" s="61"/>
      <c r="N355" s="61"/>
      <c r="O355" s="61"/>
      <c r="P355" s="61"/>
      <c r="Q355" s="61"/>
      <c r="R355" s="61"/>
      <c r="S355" s="62"/>
      <c r="T355" s="62"/>
      <c r="U355" s="62"/>
    </row>
    <row r="356" spans="2:21" ht="15.75" customHeight="1" x14ac:dyDescent="0.3">
      <c r="B356" s="36"/>
      <c r="C356" s="36"/>
      <c r="D356" s="6"/>
      <c r="E356" s="36"/>
      <c r="F356" s="36"/>
      <c r="G356" s="6"/>
      <c r="H356" s="37"/>
      <c r="I356" s="36"/>
      <c r="J356" s="36"/>
      <c r="K356" s="60"/>
      <c r="M356" s="61"/>
      <c r="N356" s="61"/>
      <c r="O356" s="61"/>
      <c r="P356" s="61"/>
      <c r="Q356" s="61"/>
      <c r="R356" s="61"/>
      <c r="S356" s="62"/>
      <c r="T356" s="62"/>
      <c r="U356" s="62"/>
    </row>
    <row r="357" spans="2:21" ht="15.75" customHeight="1" x14ac:dyDescent="0.3">
      <c r="B357" s="36"/>
      <c r="C357" s="36"/>
      <c r="D357" s="6"/>
      <c r="E357" s="36"/>
      <c r="F357" s="36"/>
      <c r="G357" s="6"/>
      <c r="H357" s="37"/>
      <c r="I357" s="36"/>
      <c r="J357" s="36"/>
      <c r="K357" s="60"/>
      <c r="M357" s="61"/>
      <c r="N357" s="61"/>
      <c r="O357" s="61"/>
      <c r="P357" s="61"/>
      <c r="Q357" s="61"/>
      <c r="R357" s="61"/>
      <c r="S357" s="62"/>
      <c r="T357" s="62"/>
      <c r="U357" s="62"/>
    </row>
    <row r="358" spans="2:21" ht="15.75" customHeight="1" x14ac:dyDescent="0.3">
      <c r="B358" s="36"/>
      <c r="C358" s="36"/>
      <c r="D358" s="6"/>
      <c r="E358" s="36"/>
      <c r="F358" s="36"/>
      <c r="G358" s="6"/>
      <c r="H358" s="37"/>
      <c r="I358" s="36"/>
      <c r="J358" s="36"/>
      <c r="K358" s="60"/>
      <c r="M358" s="61"/>
      <c r="N358" s="61"/>
      <c r="O358" s="61"/>
      <c r="P358" s="61"/>
      <c r="Q358" s="61"/>
      <c r="R358" s="61"/>
      <c r="S358" s="62"/>
      <c r="T358" s="62"/>
      <c r="U358" s="62"/>
    </row>
    <row r="359" spans="2:21" ht="15.75" customHeight="1" x14ac:dyDescent="0.3">
      <c r="B359" s="36"/>
      <c r="C359" s="36"/>
      <c r="D359" s="6"/>
      <c r="E359" s="36"/>
      <c r="F359" s="36"/>
      <c r="G359" s="6"/>
      <c r="H359" s="37"/>
      <c r="I359" s="36"/>
      <c r="J359" s="36"/>
      <c r="K359" s="60"/>
      <c r="M359" s="61"/>
      <c r="N359" s="61"/>
      <c r="O359" s="61"/>
      <c r="P359" s="61"/>
      <c r="Q359" s="61"/>
      <c r="R359" s="61"/>
      <c r="S359" s="62"/>
      <c r="T359" s="62"/>
      <c r="U359" s="62"/>
    </row>
    <row r="360" spans="2:21" ht="15.75" customHeight="1" x14ac:dyDescent="0.3">
      <c r="B360" s="36"/>
      <c r="C360" s="36"/>
      <c r="D360" s="6"/>
      <c r="E360" s="36"/>
      <c r="F360" s="36"/>
      <c r="G360" s="6"/>
      <c r="H360" s="37"/>
      <c r="I360" s="36"/>
      <c r="J360" s="36"/>
      <c r="K360" s="60"/>
      <c r="M360" s="61"/>
      <c r="N360" s="61"/>
      <c r="O360" s="61"/>
      <c r="P360" s="61"/>
      <c r="Q360" s="61"/>
      <c r="R360" s="61"/>
      <c r="S360" s="62"/>
      <c r="T360" s="62"/>
      <c r="U360" s="62"/>
    </row>
    <row r="361" spans="2:21" ht="15.75" customHeight="1" x14ac:dyDescent="0.3">
      <c r="B361" s="36"/>
      <c r="C361" s="36"/>
      <c r="D361" s="6"/>
      <c r="E361" s="36"/>
      <c r="F361" s="36"/>
      <c r="G361" s="6"/>
      <c r="H361" s="37"/>
      <c r="I361" s="36"/>
      <c r="J361" s="36"/>
      <c r="K361" s="60"/>
      <c r="M361" s="61"/>
      <c r="N361" s="61"/>
      <c r="O361" s="61"/>
      <c r="P361" s="61"/>
      <c r="Q361" s="61"/>
      <c r="R361" s="61"/>
      <c r="S361" s="62"/>
      <c r="T361" s="62"/>
      <c r="U361" s="62"/>
    </row>
    <row r="362" spans="2:21" ht="15.75" customHeight="1" x14ac:dyDescent="0.3">
      <c r="B362" s="36"/>
      <c r="C362" s="36"/>
      <c r="D362" s="6"/>
      <c r="E362" s="36"/>
      <c r="F362" s="36"/>
      <c r="G362" s="6"/>
      <c r="H362" s="37"/>
      <c r="I362" s="36"/>
      <c r="J362" s="36"/>
      <c r="K362" s="60"/>
      <c r="M362" s="61"/>
      <c r="N362" s="61"/>
      <c r="O362" s="61"/>
      <c r="P362" s="61"/>
      <c r="Q362" s="61"/>
      <c r="R362" s="61"/>
      <c r="S362" s="62"/>
      <c r="T362" s="62"/>
      <c r="U362" s="62"/>
    </row>
    <row r="363" spans="2:21" ht="15.75" customHeight="1" x14ac:dyDescent="0.3">
      <c r="B363" s="36"/>
      <c r="C363" s="36"/>
      <c r="D363" s="6"/>
      <c r="E363" s="36"/>
      <c r="F363" s="36"/>
      <c r="G363" s="6"/>
      <c r="H363" s="37"/>
      <c r="I363" s="36"/>
      <c r="J363" s="36"/>
      <c r="K363" s="60"/>
      <c r="M363" s="61"/>
      <c r="N363" s="61"/>
      <c r="O363" s="61"/>
      <c r="P363" s="61"/>
      <c r="Q363" s="61"/>
      <c r="R363" s="61"/>
      <c r="S363" s="62"/>
      <c r="T363" s="62"/>
      <c r="U363" s="62"/>
    </row>
    <row r="364" spans="2:21" ht="15.75" customHeight="1" x14ac:dyDescent="0.3">
      <c r="B364" s="36"/>
      <c r="C364" s="36"/>
      <c r="D364" s="6"/>
      <c r="E364" s="36"/>
      <c r="F364" s="36"/>
      <c r="G364" s="6"/>
      <c r="H364" s="37"/>
      <c r="I364" s="36"/>
      <c r="J364" s="36"/>
      <c r="K364" s="60"/>
      <c r="M364" s="61"/>
      <c r="N364" s="61"/>
      <c r="O364" s="61"/>
      <c r="P364" s="61"/>
      <c r="Q364" s="61"/>
      <c r="R364" s="61"/>
      <c r="S364" s="62"/>
      <c r="T364" s="62"/>
      <c r="U364" s="62"/>
    </row>
    <row r="365" spans="2:21" ht="15.75" customHeight="1" x14ac:dyDescent="0.3">
      <c r="B365" s="36"/>
      <c r="C365" s="36"/>
      <c r="D365" s="6"/>
      <c r="E365" s="36"/>
      <c r="F365" s="36"/>
      <c r="G365" s="6"/>
      <c r="H365" s="37"/>
      <c r="I365" s="36"/>
      <c r="J365" s="36"/>
      <c r="K365" s="60"/>
      <c r="M365" s="61"/>
      <c r="N365" s="61"/>
      <c r="O365" s="61"/>
      <c r="P365" s="61"/>
      <c r="Q365" s="61"/>
      <c r="R365" s="61"/>
      <c r="S365" s="62"/>
      <c r="T365" s="62"/>
      <c r="U365" s="62"/>
    </row>
    <row r="366" spans="2:21" ht="15.75" customHeight="1" x14ac:dyDescent="0.3">
      <c r="B366" s="36"/>
      <c r="C366" s="36"/>
      <c r="D366" s="6"/>
      <c r="E366" s="36"/>
      <c r="F366" s="36"/>
      <c r="G366" s="6"/>
      <c r="H366" s="37"/>
      <c r="I366" s="36"/>
      <c r="J366" s="36"/>
      <c r="K366" s="60"/>
      <c r="M366" s="61"/>
      <c r="N366" s="61"/>
      <c r="O366" s="61"/>
      <c r="P366" s="61"/>
      <c r="Q366" s="61"/>
      <c r="R366" s="61"/>
      <c r="S366" s="62"/>
      <c r="T366" s="62"/>
      <c r="U366" s="62"/>
    </row>
    <row r="367" spans="2:21" ht="15.75" customHeight="1" x14ac:dyDescent="0.3">
      <c r="B367" s="36"/>
      <c r="C367" s="36"/>
      <c r="D367" s="6"/>
      <c r="E367" s="36"/>
      <c r="F367" s="36"/>
      <c r="G367" s="6"/>
      <c r="H367" s="37"/>
      <c r="I367" s="36"/>
      <c r="J367" s="36"/>
      <c r="K367" s="60"/>
      <c r="M367" s="61"/>
      <c r="N367" s="61"/>
      <c r="O367" s="61"/>
      <c r="P367" s="61"/>
      <c r="Q367" s="61"/>
      <c r="R367" s="61"/>
      <c r="S367" s="62"/>
      <c r="T367" s="62"/>
      <c r="U367" s="62"/>
    </row>
    <row r="368" spans="2:21" ht="15.75" customHeight="1" x14ac:dyDescent="0.3">
      <c r="B368" s="36"/>
      <c r="C368" s="36"/>
      <c r="D368" s="6"/>
      <c r="E368" s="36"/>
      <c r="F368" s="36"/>
      <c r="G368" s="6"/>
      <c r="H368" s="37"/>
      <c r="I368" s="36"/>
      <c r="J368" s="36"/>
      <c r="K368" s="60"/>
      <c r="M368" s="61"/>
      <c r="N368" s="61"/>
      <c r="O368" s="61"/>
      <c r="P368" s="61"/>
      <c r="Q368" s="61"/>
      <c r="R368" s="61"/>
      <c r="S368" s="62"/>
      <c r="T368" s="62"/>
      <c r="U368" s="62"/>
    </row>
    <row r="369" spans="2:21" ht="15.75" customHeight="1" x14ac:dyDescent="0.3">
      <c r="B369" s="36"/>
      <c r="C369" s="36"/>
      <c r="D369" s="6"/>
      <c r="E369" s="36"/>
      <c r="F369" s="36"/>
      <c r="G369" s="6"/>
      <c r="H369" s="37"/>
      <c r="I369" s="36"/>
      <c r="J369" s="36"/>
      <c r="K369" s="60"/>
      <c r="M369" s="61"/>
      <c r="N369" s="61"/>
      <c r="O369" s="61"/>
      <c r="P369" s="61"/>
      <c r="Q369" s="61"/>
      <c r="R369" s="61"/>
      <c r="S369" s="62"/>
      <c r="T369" s="62"/>
      <c r="U369" s="62"/>
    </row>
    <row r="370" spans="2:21" ht="15.75" customHeight="1" x14ac:dyDescent="0.3">
      <c r="B370" s="36"/>
      <c r="C370" s="36"/>
      <c r="D370" s="6"/>
      <c r="E370" s="36"/>
      <c r="F370" s="36"/>
      <c r="G370" s="6"/>
      <c r="H370" s="37"/>
      <c r="I370" s="36"/>
      <c r="J370" s="36"/>
      <c r="K370" s="60"/>
      <c r="M370" s="61"/>
      <c r="N370" s="61"/>
      <c r="O370" s="61"/>
      <c r="P370" s="61"/>
      <c r="Q370" s="61"/>
      <c r="R370" s="61"/>
      <c r="S370" s="62"/>
      <c r="T370" s="62"/>
      <c r="U370" s="62"/>
    </row>
    <row r="371" spans="2:21" ht="15.75" customHeight="1" x14ac:dyDescent="0.3">
      <c r="B371" s="36"/>
      <c r="C371" s="36"/>
      <c r="D371" s="6"/>
      <c r="E371" s="36"/>
      <c r="F371" s="36"/>
      <c r="G371" s="6"/>
      <c r="H371" s="37"/>
      <c r="I371" s="36"/>
      <c r="J371" s="36"/>
      <c r="K371" s="60"/>
      <c r="M371" s="61"/>
      <c r="N371" s="61"/>
      <c r="O371" s="61"/>
      <c r="P371" s="61"/>
      <c r="Q371" s="61"/>
      <c r="R371" s="61"/>
      <c r="S371" s="62"/>
      <c r="T371" s="62"/>
      <c r="U371" s="62"/>
    </row>
    <row r="372" spans="2:21" ht="15.75" customHeight="1" x14ac:dyDescent="0.3">
      <c r="B372" s="36"/>
      <c r="C372" s="36"/>
      <c r="D372" s="6"/>
      <c r="E372" s="36"/>
      <c r="F372" s="36"/>
      <c r="G372" s="6"/>
      <c r="H372" s="37"/>
      <c r="I372" s="36"/>
      <c r="J372" s="36"/>
      <c r="K372" s="60"/>
      <c r="M372" s="61"/>
      <c r="N372" s="61"/>
      <c r="O372" s="61"/>
      <c r="P372" s="61"/>
      <c r="Q372" s="61"/>
      <c r="R372" s="61"/>
      <c r="S372" s="62"/>
      <c r="T372" s="62"/>
      <c r="U372" s="62"/>
    </row>
    <row r="373" spans="2:21" ht="15.75" customHeight="1" x14ac:dyDescent="0.3">
      <c r="B373" s="36"/>
      <c r="C373" s="36"/>
      <c r="D373" s="6"/>
      <c r="E373" s="36"/>
      <c r="F373" s="36"/>
      <c r="G373" s="6"/>
      <c r="H373" s="37"/>
      <c r="I373" s="36"/>
      <c r="J373" s="36"/>
      <c r="K373" s="60"/>
      <c r="M373" s="61"/>
      <c r="N373" s="61"/>
      <c r="O373" s="61"/>
      <c r="P373" s="61"/>
      <c r="Q373" s="61"/>
      <c r="R373" s="61"/>
      <c r="S373" s="62"/>
      <c r="T373" s="62"/>
      <c r="U373" s="62"/>
    </row>
    <row r="374" spans="2:21" ht="15.75" customHeight="1" x14ac:dyDescent="0.3">
      <c r="B374" s="36"/>
      <c r="C374" s="36"/>
      <c r="D374" s="6"/>
      <c r="E374" s="36"/>
      <c r="F374" s="36"/>
      <c r="G374" s="6"/>
      <c r="H374" s="37"/>
      <c r="I374" s="36"/>
      <c r="J374" s="36"/>
      <c r="K374" s="60"/>
      <c r="M374" s="61"/>
      <c r="N374" s="61"/>
      <c r="O374" s="61"/>
      <c r="P374" s="61"/>
      <c r="Q374" s="61"/>
      <c r="R374" s="61"/>
      <c r="S374" s="62"/>
      <c r="T374" s="62"/>
      <c r="U374" s="62"/>
    </row>
    <row r="375" spans="2:21" ht="15.75" customHeight="1" x14ac:dyDescent="0.3">
      <c r="B375" s="36"/>
      <c r="C375" s="36"/>
      <c r="D375" s="6"/>
      <c r="E375" s="36"/>
      <c r="F375" s="36"/>
      <c r="G375" s="6"/>
      <c r="H375" s="37"/>
      <c r="I375" s="36"/>
      <c r="J375" s="36"/>
      <c r="K375" s="60"/>
      <c r="M375" s="61"/>
      <c r="N375" s="61"/>
      <c r="O375" s="61"/>
      <c r="P375" s="61"/>
      <c r="Q375" s="61"/>
      <c r="R375" s="61"/>
      <c r="S375" s="62"/>
      <c r="T375" s="62"/>
      <c r="U375" s="62"/>
    </row>
    <row r="376" spans="2:21" ht="15.75" customHeight="1" x14ac:dyDescent="0.3">
      <c r="B376" s="36"/>
      <c r="C376" s="36"/>
      <c r="D376" s="6"/>
      <c r="E376" s="36"/>
      <c r="F376" s="36"/>
      <c r="G376" s="6"/>
      <c r="H376" s="37"/>
      <c r="I376" s="36"/>
      <c r="J376" s="36"/>
      <c r="K376" s="60"/>
      <c r="M376" s="61"/>
      <c r="N376" s="61"/>
      <c r="O376" s="61"/>
      <c r="P376" s="61"/>
      <c r="Q376" s="61"/>
      <c r="R376" s="61"/>
      <c r="S376" s="62"/>
      <c r="T376" s="62"/>
      <c r="U376" s="62"/>
    </row>
    <row r="377" spans="2:21" ht="15.75" customHeight="1" x14ac:dyDescent="0.3">
      <c r="B377" s="36"/>
      <c r="C377" s="36"/>
      <c r="D377" s="6"/>
      <c r="E377" s="36"/>
      <c r="F377" s="36"/>
      <c r="G377" s="6"/>
      <c r="H377" s="37"/>
      <c r="I377" s="36"/>
      <c r="J377" s="36"/>
      <c r="K377" s="60"/>
      <c r="M377" s="61"/>
      <c r="N377" s="61"/>
      <c r="O377" s="61"/>
      <c r="P377" s="61"/>
      <c r="Q377" s="61"/>
      <c r="R377" s="61"/>
      <c r="S377" s="62"/>
      <c r="T377" s="62"/>
      <c r="U377" s="62"/>
    </row>
    <row r="378" spans="2:21" ht="15.75" customHeight="1" x14ac:dyDescent="0.3">
      <c r="B378" s="36"/>
      <c r="C378" s="36"/>
      <c r="D378" s="6"/>
      <c r="E378" s="36"/>
      <c r="F378" s="36"/>
      <c r="G378" s="6"/>
      <c r="H378" s="37"/>
      <c r="I378" s="36"/>
      <c r="J378" s="36"/>
      <c r="K378" s="60"/>
      <c r="M378" s="61"/>
      <c r="N378" s="61"/>
      <c r="O378" s="61"/>
      <c r="P378" s="61"/>
      <c r="Q378" s="61"/>
      <c r="R378" s="61"/>
      <c r="S378" s="62"/>
      <c r="T378" s="62"/>
      <c r="U378" s="62"/>
    </row>
    <row r="379" spans="2:21" ht="15.75" customHeight="1" x14ac:dyDescent="0.3">
      <c r="B379" s="36"/>
      <c r="C379" s="36"/>
      <c r="D379" s="6"/>
      <c r="E379" s="36"/>
      <c r="F379" s="36"/>
      <c r="G379" s="6"/>
      <c r="H379" s="37"/>
      <c r="I379" s="36"/>
      <c r="J379" s="36"/>
      <c r="K379" s="60"/>
      <c r="M379" s="61"/>
      <c r="N379" s="61"/>
      <c r="O379" s="61"/>
      <c r="P379" s="61"/>
      <c r="Q379" s="61"/>
      <c r="R379" s="61"/>
      <c r="S379" s="62"/>
      <c r="T379" s="62"/>
      <c r="U379" s="62"/>
    </row>
    <row r="380" spans="2:21" ht="15.75" customHeight="1" x14ac:dyDescent="0.3">
      <c r="B380" s="36"/>
      <c r="C380" s="36"/>
      <c r="D380" s="6"/>
      <c r="E380" s="36"/>
      <c r="F380" s="36"/>
      <c r="G380" s="6"/>
      <c r="H380" s="37"/>
      <c r="I380" s="36"/>
      <c r="J380" s="36"/>
      <c r="K380" s="60"/>
      <c r="M380" s="61"/>
      <c r="N380" s="61"/>
      <c r="O380" s="61"/>
      <c r="P380" s="61"/>
      <c r="Q380" s="61"/>
      <c r="R380" s="61"/>
      <c r="S380" s="62"/>
      <c r="T380" s="62"/>
      <c r="U380" s="62"/>
    </row>
    <row r="381" spans="2:21" ht="15.75" customHeight="1" x14ac:dyDescent="0.3">
      <c r="B381" s="36"/>
      <c r="C381" s="36"/>
      <c r="D381" s="6"/>
      <c r="E381" s="36"/>
      <c r="F381" s="36"/>
      <c r="G381" s="6"/>
      <c r="H381" s="37"/>
      <c r="I381" s="36"/>
      <c r="J381" s="36"/>
      <c r="K381" s="60"/>
      <c r="M381" s="61"/>
      <c r="N381" s="61"/>
      <c r="O381" s="61"/>
      <c r="P381" s="61"/>
      <c r="Q381" s="61"/>
      <c r="R381" s="61"/>
      <c r="S381" s="62"/>
      <c r="T381" s="62"/>
      <c r="U381" s="62"/>
    </row>
    <row r="382" spans="2:21" ht="15.75" customHeight="1" x14ac:dyDescent="0.3">
      <c r="B382" s="36"/>
      <c r="C382" s="36"/>
      <c r="D382" s="6"/>
      <c r="E382" s="36"/>
      <c r="F382" s="36"/>
      <c r="G382" s="6"/>
      <c r="H382" s="37"/>
      <c r="I382" s="36"/>
      <c r="J382" s="36"/>
      <c r="K382" s="60"/>
      <c r="M382" s="61"/>
      <c r="N382" s="61"/>
      <c r="O382" s="61"/>
      <c r="P382" s="61"/>
      <c r="Q382" s="61"/>
      <c r="R382" s="61"/>
      <c r="S382" s="62"/>
      <c r="T382" s="62"/>
      <c r="U382" s="62"/>
    </row>
    <row r="383" spans="2:21" ht="15.75" customHeight="1" x14ac:dyDescent="0.3">
      <c r="B383" s="36"/>
      <c r="C383" s="36"/>
      <c r="D383" s="6"/>
      <c r="E383" s="36"/>
      <c r="F383" s="36"/>
      <c r="G383" s="6"/>
      <c r="H383" s="37"/>
      <c r="I383" s="36"/>
      <c r="J383" s="36"/>
      <c r="K383" s="60"/>
      <c r="M383" s="61"/>
      <c r="N383" s="61"/>
      <c r="O383" s="61"/>
      <c r="P383" s="61"/>
      <c r="Q383" s="61"/>
      <c r="R383" s="61"/>
      <c r="S383" s="62"/>
      <c r="T383" s="62"/>
      <c r="U383" s="62"/>
    </row>
    <row r="384" spans="2:21" ht="15.75" customHeight="1" x14ac:dyDescent="0.3">
      <c r="B384" s="36"/>
      <c r="C384" s="36"/>
      <c r="D384" s="6"/>
      <c r="E384" s="36"/>
      <c r="F384" s="36"/>
      <c r="G384" s="6"/>
      <c r="H384" s="37"/>
      <c r="I384" s="36"/>
      <c r="J384" s="36"/>
      <c r="K384" s="60"/>
      <c r="M384" s="61"/>
      <c r="N384" s="61"/>
      <c r="O384" s="61"/>
      <c r="P384" s="61"/>
      <c r="Q384" s="61"/>
      <c r="R384" s="61"/>
      <c r="S384" s="62"/>
      <c r="T384" s="62"/>
      <c r="U384" s="62"/>
    </row>
    <row r="385" spans="2:21" ht="15.75" customHeight="1" x14ac:dyDescent="0.3">
      <c r="B385" s="36"/>
      <c r="C385" s="36"/>
      <c r="D385" s="6"/>
      <c r="E385" s="36"/>
      <c r="F385" s="36"/>
      <c r="G385" s="6"/>
      <c r="H385" s="37"/>
      <c r="I385" s="36"/>
      <c r="J385" s="36"/>
      <c r="K385" s="60"/>
      <c r="M385" s="61"/>
      <c r="N385" s="61"/>
      <c r="O385" s="61"/>
      <c r="P385" s="61"/>
      <c r="Q385" s="61"/>
      <c r="R385" s="61"/>
      <c r="S385" s="62"/>
      <c r="T385" s="62"/>
      <c r="U385" s="62"/>
    </row>
    <row r="386" spans="2:21" ht="15.75" customHeight="1" x14ac:dyDescent="0.3">
      <c r="B386" s="36"/>
      <c r="C386" s="36"/>
      <c r="D386" s="6"/>
      <c r="E386" s="36"/>
      <c r="F386" s="36"/>
      <c r="G386" s="6"/>
      <c r="H386" s="37"/>
      <c r="I386" s="36"/>
      <c r="J386" s="36"/>
      <c r="K386" s="60"/>
      <c r="M386" s="61"/>
      <c r="N386" s="61"/>
      <c r="O386" s="61"/>
      <c r="P386" s="61"/>
      <c r="Q386" s="61"/>
      <c r="R386" s="61"/>
      <c r="S386" s="62"/>
      <c r="T386" s="62"/>
      <c r="U386" s="62"/>
    </row>
    <row r="387" spans="2:21" ht="15.75" customHeight="1" x14ac:dyDescent="0.3">
      <c r="B387" s="36"/>
      <c r="C387" s="36"/>
      <c r="D387" s="6"/>
      <c r="E387" s="36"/>
      <c r="F387" s="36"/>
      <c r="G387" s="6"/>
      <c r="H387" s="37"/>
      <c r="I387" s="36"/>
      <c r="J387" s="36"/>
      <c r="K387" s="60"/>
      <c r="M387" s="61"/>
      <c r="N387" s="61"/>
      <c r="O387" s="61"/>
      <c r="P387" s="61"/>
      <c r="Q387" s="61"/>
      <c r="R387" s="61"/>
      <c r="S387" s="62"/>
      <c r="T387" s="62"/>
      <c r="U387" s="62"/>
    </row>
    <row r="388" spans="2:21" ht="15.75" customHeight="1" x14ac:dyDescent="0.3">
      <c r="B388" s="36"/>
      <c r="C388" s="36"/>
      <c r="D388" s="6"/>
      <c r="E388" s="36"/>
      <c r="F388" s="36"/>
      <c r="G388" s="6"/>
      <c r="H388" s="37"/>
      <c r="I388" s="36"/>
      <c r="J388" s="36"/>
      <c r="K388" s="60"/>
      <c r="M388" s="61"/>
      <c r="N388" s="61"/>
      <c r="O388" s="61"/>
      <c r="P388" s="61"/>
      <c r="Q388" s="61"/>
      <c r="R388" s="61"/>
      <c r="S388" s="62"/>
      <c r="T388" s="62"/>
      <c r="U388" s="62"/>
    </row>
    <row r="389" spans="2:21" ht="15.75" customHeight="1" x14ac:dyDescent="0.3">
      <c r="B389" s="36"/>
      <c r="C389" s="36"/>
      <c r="D389" s="6"/>
      <c r="E389" s="36"/>
      <c r="F389" s="36"/>
      <c r="G389" s="6"/>
      <c r="H389" s="37"/>
      <c r="I389" s="36"/>
      <c r="J389" s="36"/>
      <c r="K389" s="60"/>
      <c r="M389" s="61"/>
      <c r="N389" s="61"/>
      <c r="O389" s="61"/>
      <c r="P389" s="61"/>
      <c r="Q389" s="61"/>
      <c r="R389" s="61"/>
      <c r="S389" s="62"/>
      <c r="T389" s="62"/>
      <c r="U389" s="62"/>
    </row>
    <row r="390" spans="2:21" ht="15.75" customHeight="1" x14ac:dyDescent="0.3">
      <c r="B390" s="36"/>
      <c r="C390" s="36"/>
      <c r="D390" s="6"/>
      <c r="E390" s="36"/>
      <c r="F390" s="36"/>
      <c r="G390" s="6"/>
      <c r="H390" s="37"/>
      <c r="I390" s="36"/>
      <c r="J390" s="36"/>
      <c r="K390" s="60"/>
      <c r="M390" s="61"/>
      <c r="N390" s="61"/>
      <c r="O390" s="61"/>
      <c r="P390" s="61"/>
      <c r="Q390" s="61"/>
      <c r="R390" s="61"/>
      <c r="S390" s="62"/>
      <c r="T390" s="62"/>
      <c r="U390" s="62"/>
    </row>
    <row r="391" spans="2:21" ht="15.75" customHeight="1" x14ac:dyDescent="0.3">
      <c r="B391" s="36"/>
      <c r="C391" s="36"/>
      <c r="D391" s="6"/>
      <c r="E391" s="36"/>
      <c r="F391" s="36"/>
      <c r="G391" s="6"/>
      <c r="H391" s="37"/>
      <c r="I391" s="36"/>
      <c r="J391" s="36"/>
      <c r="K391" s="60"/>
      <c r="M391" s="61"/>
      <c r="N391" s="61"/>
      <c r="O391" s="61"/>
      <c r="P391" s="61"/>
      <c r="Q391" s="61"/>
      <c r="R391" s="61"/>
      <c r="S391" s="62"/>
      <c r="T391" s="62"/>
      <c r="U391" s="62"/>
    </row>
    <row r="392" spans="2:21" ht="15.75" customHeight="1" x14ac:dyDescent="0.3">
      <c r="B392" s="36"/>
      <c r="C392" s="36"/>
      <c r="D392" s="6"/>
      <c r="E392" s="36"/>
      <c r="F392" s="36"/>
      <c r="G392" s="6"/>
      <c r="H392" s="37"/>
      <c r="I392" s="36"/>
      <c r="J392" s="36"/>
      <c r="K392" s="60"/>
      <c r="M392" s="61"/>
      <c r="N392" s="61"/>
      <c r="O392" s="61"/>
      <c r="P392" s="61"/>
      <c r="Q392" s="61"/>
      <c r="R392" s="61"/>
      <c r="S392" s="62"/>
      <c r="T392" s="62"/>
      <c r="U392" s="62"/>
    </row>
    <row r="393" spans="2:21" ht="15.75" customHeight="1" x14ac:dyDescent="0.3">
      <c r="B393" s="36"/>
      <c r="C393" s="36"/>
      <c r="D393" s="6"/>
      <c r="E393" s="36"/>
      <c r="F393" s="36"/>
      <c r="G393" s="6"/>
      <c r="H393" s="37"/>
      <c r="I393" s="36"/>
      <c r="J393" s="36"/>
      <c r="K393" s="60"/>
      <c r="M393" s="61"/>
      <c r="N393" s="61"/>
      <c r="O393" s="61"/>
      <c r="P393" s="61"/>
      <c r="Q393" s="61"/>
      <c r="R393" s="61"/>
      <c r="S393" s="62"/>
      <c r="T393" s="62"/>
      <c r="U393" s="62"/>
    </row>
    <row r="394" spans="2:21" ht="15.75" customHeight="1" x14ac:dyDescent="0.3">
      <c r="B394" s="36"/>
      <c r="C394" s="36"/>
      <c r="D394" s="6"/>
      <c r="E394" s="36"/>
      <c r="F394" s="36"/>
      <c r="G394" s="6"/>
      <c r="H394" s="37"/>
      <c r="I394" s="36"/>
      <c r="J394" s="36"/>
      <c r="K394" s="60"/>
      <c r="M394" s="61"/>
      <c r="N394" s="61"/>
      <c r="O394" s="61"/>
      <c r="P394" s="61"/>
      <c r="Q394" s="61"/>
      <c r="R394" s="61"/>
      <c r="S394" s="62"/>
      <c r="T394" s="62"/>
      <c r="U394" s="62"/>
    </row>
    <row r="395" spans="2:21" ht="15.75" customHeight="1" x14ac:dyDescent="0.3">
      <c r="B395" s="36"/>
      <c r="C395" s="36"/>
      <c r="D395" s="6"/>
      <c r="E395" s="36"/>
      <c r="F395" s="36"/>
      <c r="G395" s="6"/>
      <c r="H395" s="37"/>
      <c r="I395" s="36"/>
      <c r="J395" s="36"/>
      <c r="K395" s="60"/>
      <c r="M395" s="61"/>
      <c r="N395" s="61"/>
      <c r="O395" s="61"/>
      <c r="P395" s="61"/>
      <c r="Q395" s="61"/>
      <c r="R395" s="61"/>
      <c r="S395" s="62"/>
      <c r="T395" s="62"/>
      <c r="U395" s="62"/>
    </row>
    <row r="396" spans="2:21" ht="15.75" customHeight="1" x14ac:dyDescent="0.3">
      <c r="B396" s="36"/>
      <c r="C396" s="36"/>
      <c r="D396" s="6"/>
      <c r="E396" s="36"/>
      <c r="F396" s="36"/>
      <c r="G396" s="6"/>
      <c r="H396" s="37"/>
      <c r="I396" s="36"/>
      <c r="J396" s="36"/>
      <c r="K396" s="60"/>
      <c r="M396" s="61"/>
      <c r="N396" s="61"/>
      <c r="O396" s="61"/>
      <c r="P396" s="61"/>
      <c r="Q396" s="61"/>
      <c r="R396" s="61"/>
      <c r="S396" s="62"/>
      <c r="T396" s="62"/>
      <c r="U396" s="62"/>
    </row>
    <row r="397" spans="2:21" ht="15.75" customHeight="1" x14ac:dyDescent="0.3">
      <c r="B397" s="36"/>
      <c r="C397" s="36"/>
      <c r="D397" s="6"/>
      <c r="E397" s="36"/>
      <c r="F397" s="36"/>
      <c r="G397" s="6"/>
      <c r="H397" s="37"/>
      <c r="I397" s="36"/>
      <c r="J397" s="36"/>
      <c r="K397" s="60"/>
      <c r="M397" s="61"/>
      <c r="N397" s="61"/>
      <c r="O397" s="61"/>
      <c r="P397" s="61"/>
      <c r="Q397" s="61"/>
      <c r="R397" s="61"/>
      <c r="S397" s="62"/>
      <c r="T397" s="62"/>
      <c r="U397" s="62"/>
    </row>
    <row r="398" spans="2:21" ht="15.75" customHeight="1" x14ac:dyDescent="0.3">
      <c r="B398" s="36"/>
      <c r="C398" s="36"/>
      <c r="D398" s="6"/>
      <c r="E398" s="36"/>
      <c r="F398" s="36"/>
      <c r="G398" s="6"/>
      <c r="H398" s="37"/>
      <c r="I398" s="36"/>
      <c r="J398" s="36"/>
      <c r="K398" s="60"/>
      <c r="M398" s="61"/>
      <c r="N398" s="61"/>
      <c r="O398" s="61"/>
      <c r="P398" s="61"/>
      <c r="Q398" s="61"/>
      <c r="R398" s="61"/>
      <c r="S398" s="62"/>
      <c r="T398" s="62"/>
      <c r="U398" s="62"/>
    </row>
    <row r="399" spans="2:21" ht="15.75" customHeight="1" x14ac:dyDescent="0.3">
      <c r="B399" s="36"/>
      <c r="C399" s="36"/>
      <c r="D399" s="6"/>
      <c r="E399" s="36"/>
      <c r="F399" s="36"/>
      <c r="G399" s="6"/>
      <c r="H399" s="37"/>
      <c r="I399" s="36"/>
      <c r="J399" s="36"/>
      <c r="K399" s="60"/>
      <c r="M399" s="61"/>
      <c r="N399" s="61"/>
      <c r="O399" s="61"/>
      <c r="P399" s="61"/>
      <c r="Q399" s="61"/>
      <c r="R399" s="61"/>
      <c r="S399" s="62"/>
      <c r="T399" s="62"/>
      <c r="U399" s="62"/>
    </row>
    <row r="400" spans="2:21" ht="15.75" customHeight="1" x14ac:dyDescent="0.3">
      <c r="B400" s="36"/>
      <c r="C400" s="36"/>
      <c r="D400" s="6"/>
      <c r="E400" s="36"/>
      <c r="F400" s="36"/>
      <c r="G400" s="6"/>
      <c r="H400" s="37"/>
      <c r="I400" s="36"/>
      <c r="J400" s="36"/>
      <c r="K400" s="60"/>
      <c r="M400" s="61"/>
      <c r="N400" s="61"/>
      <c r="O400" s="61"/>
      <c r="P400" s="61"/>
      <c r="Q400" s="61"/>
      <c r="R400" s="61"/>
      <c r="S400" s="62"/>
      <c r="T400" s="62"/>
      <c r="U400" s="62"/>
    </row>
    <row r="401" spans="2:21" ht="15.75" customHeight="1" x14ac:dyDescent="0.3">
      <c r="B401" s="36"/>
      <c r="C401" s="36"/>
      <c r="D401" s="6"/>
      <c r="E401" s="36"/>
      <c r="F401" s="36"/>
      <c r="G401" s="6"/>
      <c r="H401" s="37"/>
      <c r="I401" s="36"/>
      <c r="J401" s="36"/>
      <c r="K401" s="60"/>
      <c r="M401" s="61"/>
      <c r="N401" s="61"/>
      <c r="O401" s="61"/>
      <c r="P401" s="61"/>
      <c r="Q401" s="61"/>
      <c r="R401" s="61"/>
      <c r="S401" s="62"/>
      <c r="T401" s="62"/>
      <c r="U401" s="62"/>
    </row>
    <row r="402" spans="2:21" ht="15.75" customHeight="1" x14ac:dyDescent="0.3">
      <c r="B402" s="36"/>
      <c r="C402" s="36"/>
      <c r="D402" s="6"/>
      <c r="E402" s="36"/>
      <c r="F402" s="36"/>
      <c r="G402" s="6"/>
      <c r="H402" s="37"/>
      <c r="I402" s="36"/>
      <c r="J402" s="36"/>
      <c r="K402" s="60"/>
      <c r="M402" s="61"/>
      <c r="N402" s="61"/>
      <c r="O402" s="61"/>
      <c r="P402" s="61"/>
      <c r="Q402" s="61"/>
      <c r="R402" s="61"/>
      <c r="S402" s="62"/>
      <c r="T402" s="62"/>
      <c r="U402" s="62"/>
    </row>
    <row r="403" spans="2:21" ht="15.75" customHeight="1" x14ac:dyDescent="0.3">
      <c r="B403" s="36"/>
      <c r="C403" s="36"/>
      <c r="D403" s="6"/>
      <c r="E403" s="36"/>
      <c r="F403" s="36"/>
      <c r="G403" s="6"/>
      <c r="H403" s="37"/>
      <c r="I403" s="36"/>
      <c r="J403" s="36"/>
      <c r="K403" s="60"/>
      <c r="M403" s="61"/>
      <c r="N403" s="61"/>
      <c r="O403" s="61"/>
      <c r="P403" s="61"/>
      <c r="Q403" s="61"/>
      <c r="R403" s="61"/>
      <c r="S403" s="62"/>
      <c r="T403" s="62"/>
      <c r="U403" s="62"/>
    </row>
    <row r="404" spans="2:21" ht="15.75" customHeight="1" x14ac:dyDescent="0.3">
      <c r="B404" s="36"/>
      <c r="C404" s="36"/>
      <c r="D404" s="6"/>
      <c r="E404" s="36"/>
      <c r="F404" s="36"/>
      <c r="G404" s="6"/>
      <c r="H404" s="37"/>
      <c r="I404" s="36"/>
      <c r="J404" s="36"/>
      <c r="K404" s="60"/>
      <c r="M404" s="61"/>
      <c r="N404" s="61"/>
      <c r="O404" s="61"/>
      <c r="P404" s="61"/>
      <c r="Q404" s="61"/>
      <c r="R404" s="61"/>
      <c r="S404" s="62"/>
      <c r="T404" s="62"/>
      <c r="U404" s="62"/>
    </row>
    <row r="405" spans="2:21" ht="15.75" customHeight="1" x14ac:dyDescent="0.3">
      <c r="B405" s="36"/>
      <c r="C405" s="36"/>
      <c r="D405" s="6"/>
      <c r="E405" s="36"/>
      <c r="F405" s="36"/>
      <c r="G405" s="6"/>
      <c r="H405" s="37"/>
      <c r="I405" s="36"/>
      <c r="J405" s="36"/>
      <c r="K405" s="60"/>
      <c r="M405" s="61"/>
      <c r="N405" s="61"/>
      <c r="O405" s="61"/>
      <c r="P405" s="61"/>
      <c r="Q405" s="61"/>
      <c r="R405" s="61"/>
      <c r="S405" s="62"/>
      <c r="T405" s="62"/>
      <c r="U405" s="62"/>
    </row>
    <row r="406" spans="2:21" ht="15.75" customHeight="1" x14ac:dyDescent="0.3">
      <c r="B406" s="36"/>
      <c r="C406" s="36"/>
      <c r="D406" s="6"/>
      <c r="E406" s="36"/>
      <c r="F406" s="36"/>
      <c r="G406" s="6"/>
      <c r="H406" s="37"/>
      <c r="I406" s="36"/>
      <c r="J406" s="36"/>
      <c r="K406" s="60"/>
      <c r="M406" s="61"/>
      <c r="N406" s="61"/>
      <c r="O406" s="61"/>
      <c r="P406" s="61"/>
      <c r="Q406" s="61"/>
      <c r="R406" s="61"/>
      <c r="S406" s="62"/>
      <c r="T406" s="62"/>
      <c r="U406" s="62"/>
    </row>
    <row r="407" spans="2:21" ht="15.75" customHeight="1" x14ac:dyDescent="0.3">
      <c r="B407" s="36"/>
      <c r="C407" s="36"/>
      <c r="D407" s="6"/>
      <c r="E407" s="36"/>
      <c r="F407" s="36"/>
      <c r="G407" s="6"/>
      <c r="H407" s="37"/>
      <c r="I407" s="36"/>
      <c r="J407" s="36"/>
      <c r="K407" s="60"/>
      <c r="M407" s="61"/>
      <c r="N407" s="61"/>
      <c r="O407" s="61"/>
      <c r="P407" s="61"/>
      <c r="Q407" s="61"/>
      <c r="R407" s="61"/>
      <c r="S407" s="62"/>
      <c r="T407" s="62"/>
      <c r="U407" s="62"/>
    </row>
    <row r="408" spans="2:21" ht="15.75" customHeight="1" x14ac:dyDescent="0.3">
      <c r="B408" s="36"/>
      <c r="C408" s="36"/>
      <c r="D408" s="6"/>
      <c r="E408" s="36"/>
      <c r="F408" s="36"/>
      <c r="G408" s="6"/>
      <c r="H408" s="37"/>
      <c r="I408" s="36"/>
      <c r="J408" s="36"/>
      <c r="K408" s="60"/>
      <c r="M408" s="61"/>
      <c r="N408" s="61"/>
      <c r="O408" s="61"/>
      <c r="P408" s="61"/>
      <c r="Q408" s="61"/>
      <c r="R408" s="61"/>
      <c r="S408" s="62"/>
      <c r="T408" s="62"/>
      <c r="U408" s="62"/>
    </row>
    <row r="409" spans="2:21" ht="15.75" customHeight="1" x14ac:dyDescent="0.3">
      <c r="B409" s="36"/>
      <c r="C409" s="36"/>
      <c r="D409" s="6"/>
      <c r="E409" s="36"/>
      <c r="F409" s="36"/>
      <c r="G409" s="6"/>
      <c r="H409" s="37"/>
      <c r="I409" s="36"/>
      <c r="J409" s="36"/>
      <c r="K409" s="60"/>
      <c r="M409" s="61"/>
      <c r="N409" s="61"/>
      <c r="O409" s="61"/>
      <c r="P409" s="61"/>
      <c r="Q409" s="61"/>
      <c r="R409" s="61"/>
      <c r="S409" s="62"/>
      <c r="T409" s="62"/>
      <c r="U409" s="62"/>
    </row>
    <row r="410" spans="2:21" ht="15.75" customHeight="1" x14ac:dyDescent="0.3">
      <c r="B410" s="36"/>
      <c r="C410" s="36"/>
      <c r="D410" s="6"/>
      <c r="E410" s="36"/>
      <c r="F410" s="36"/>
      <c r="G410" s="6"/>
      <c r="H410" s="37"/>
      <c r="I410" s="36"/>
      <c r="J410" s="36"/>
      <c r="K410" s="60"/>
      <c r="M410" s="61"/>
      <c r="N410" s="61"/>
      <c r="O410" s="61"/>
      <c r="P410" s="61"/>
      <c r="Q410" s="61"/>
      <c r="R410" s="61"/>
      <c r="S410" s="62"/>
      <c r="T410" s="62"/>
      <c r="U410" s="62"/>
    </row>
    <row r="411" spans="2:21" ht="15.75" customHeight="1" x14ac:dyDescent="0.3">
      <c r="B411" s="36"/>
      <c r="C411" s="36"/>
      <c r="D411" s="6"/>
      <c r="E411" s="36"/>
      <c r="F411" s="36"/>
      <c r="G411" s="6"/>
      <c r="H411" s="37"/>
      <c r="I411" s="36"/>
      <c r="J411" s="36"/>
      <c r="K411" s="60"/>
      <c r="M411" s="61"/>
      <c r="N411" s="61"/>
      <c r="O411" s="61"/>
      <c r="P411" s="61"/>
      <c r="Q411" s="61"/>
      <c r="R411" s="61"/>
      <c r="S411" s="62"/>
      <c r="T411" s="62"/>
      <c r="U411" s="62"/>
    </row>
    <row r="412" spans="2:21" ht="15.75" customHeight="1" x14ac:dyDescent="0.3">
      <c r="B412" s="36"/>
      <c r="C412" s="36"/>
      <c r="D412" s="6"/>
      <c r="E412" s="36"/>
      <c r="F412" s="36"/>
      <c r="G412" s="6"/>
      <c r="H412" s="37"/>
      <c r="I412" s="36"/>
      <c r="J412" s="36"/>
      <c r="K412" s="60"/>
      <c r="M412" s="61"/>
      <c r="N412" s="61"/>
      <c r="O412" s="61"/>
      <c r="P412" s="61"/>
      <c r="Q412" s="61"/>
      <c r="R412" s="61"/>
      <c r="S412" s="62"/>
      <c r="T412" s="62"/>
      <c r="U412" s="62"/>
    </row>
    <row r="413" spans="2:21" ht="15.75" customHeight="1" x14ac:dyDescent="0.3">
      <c r="B413" s="36"/>
      <c r="C413" s="36"/>
      <c r="D413" s="6"/>
      <c r="E413" s="36"/>
      <c r="F413" s="36"/>
      <c r="G413" s="6"/>
      <c r="H413" s="37"/>
      <c r="I413" s="36"/>
      <c r="J413" s="36"/>
      <c r="K413" s="60"/>
      <c r="M413" s="61"/>
      <c r="N413" s="61"/>
      <c r="O413" s="61"/>
      <c r="P413" s="61"/>
      <c r="Q413" s="61"/>
      <c r="R413" s="61"/>
      <c r="S413" s="62"/>
      <c r="T413" s="62"/>
      <c r="U413" s="62"/>
    </row>
    <row r="414" spans="2:21" ht="15.75" customHeight="1" x14ac:dyDescent="0.3">
      <c r="B414" s="36"/>
      <c r="C414" s="36"/>
      <c r="D414" s="6"/>
      <c r="E414" s="36"/>
      <c r="F414" s="36"/>
      <c r="G414" s="6"/>
      <c r="H414" s="37"/>
      <c r="I414" s="36"/>
      <c r="J414" s="36"/>
      <c r="K414" s="60"/>
      <c r="M414" s="61"/>
      <c r="N414" s="61"/>
      <c r="O414" s="61"/>
      <c r="P414" s="61"/>
      <c r="Q414" s="61"/>
      <c r="R414" s="61"/>
      <c r="S414" s="62"/>
      <c r="T414" s="62"/>
      <c r="U414" s="62"/>
    </row>
    <row r="415" spans="2:21" ht="15.75" customHeight="1" x14ac:dyDescent="0.3">
      <c r="B415" s="36"/>
      <c r="C415" s="36"/>
      <c r="D415" s="6"/>
      <c r="E415" s="36"/>
      <c r="F415" s="36"/>
      <c r="G415" s="6"/>
      <c r="H415" s="37"/>
      <c r="I415" s="36"/>
      <c r="J415" s="36"/>
      <c r="K415" s="60"/>
      <c r="M415" s="61"/>
      <c r="N415" s="61"/>
      <c r="O415" s="61"/>
      <c r="P415" s="61"/>
      <c r="Q415" s="61"/>
      <c r="R415" s="61"/>
      <c r="S415" s="62"/>
      <c r="T415" s="62"/>
      <c r="U415" s="62"/>
    </row>
    <row r="416" spans="2:21" ht="15.75" customHeight="1" x14ac:dyDescent="0.3">
      <c r="B416" s="36"/>
      <c r="C416" s="36"/>
      <c r="D416" s="6"/>
      <c r="E416" s="36"/>
      <c r="F416" s="36"/>
      <c r="G416" s="6"/>
      <c r="H416" s="37"/>
      <c r="I416" s="36"/>
      <c r="J416" s="36"/>
      <c r="K416" s="60"/>
      <c r="M416" s="61"/>
      <c r="N416" s="61"/>
      <c r="O416" s="61"/>
      <c r="P416" s="61"/>
      <c r="Q416" s="61"/>
      <c r="R416" s="61"/>
      <c r="S416" s="62"/>
      <c r="T416" s="62"/>
      <c r="U416" s="62"/>
    </row>
    <row r="417" spans="2:21" ht="15.75" customHeight="1" x14ac:dyDescent="0.3">
      <c r="B417" s="36"/>
      <c r="C417" s="36"/>
      <c r="D417" s="6"/>
      <c r="E417" s="36"/>
      <c r="F417" s="36"/>
      <c r="G417" s="6"/>
      <c r="H417" s="37"/>
      <c r="I417" s="36"/>
      <c r="J417" s="36"/>
      <c r="K417" s="60"/>
      <c r="M417" s="61"/>
      <c r="N417" s="61"/>
      <c r="O417" s="61"/>
      <c r="P417" s="61"/>
      <c r="Q417" s="61"/>
      <c r="R417" s="61"/>
      <c r="S417" s="62"/>
      <c r="T417" s="62"/>
      <c r="U417" s="62"/>
    </row>
    <row r="418" spans="2:21" ht="15.75" customHeight="1" x14ac:dyDescent="0.3">
      <c r="B418" s="36"/>
      <c r="C418" s="36"/>
      <c r="D418" s="6"/>
      <c r="E418" s="36"/>
      <c r="F418" s="36"/>
      <c r="G418" s="6"/>
      <c r="H418" s="37"/>
      <c r="I418" s="36"/>
      <c r="J418" s="36"/>
      <c r="K418" s="60"/>
      <c r="M418" s="61"/>
      <c r="N418" s="61"/>
      <c r="O418" s="61"/>
      <c r="P418" s="61"/>
      <c r="Q418" s="61"/>
      <c r="R418" s="61"/>
      <c r="S418" s="62"/>
      <c r="T418" s="62"/>
      <c r="U418" s="62"/>
    </row>
    <row r="419" spans="2:21" ht="15.75" customHeight="1" x14ac:dyDescent="0.3">
      <c r="B419" s="36"/>
      <c r="C419" s="36"/>
      <c r="D419" s="6"/>
      <c r="E419" s="36"/>
      <c r="F419" s="36"/>
      <c r="G419" s="6"/>
      <c r="H419" s="37"/>
      <c r="I419" s="36"/>
      <c r="J419" s="36"/>
      <c r="K419" s="60"/>
      <c r="M419" s="61"/>
      <c r="N419" s="61"/>
      <c r="O419" s="61"/>
      <c r="P419" s="61"/>
      <c r="Q419" s="61"/>
      <c r="R419" s="61"/>
      <c r="S419" s="62"/>
      <c r="T419" s="62"/>
      <c r="U419" s="62"/>
    </row>
    <row r="420" spans="2:21" ht="15.75" customHeight="1" x14ac:dyDescent="0.3">
      <c r="B420" s="36"/>
      <c r="C420" s="36"/>
      <c r="D420" s="6"/>
      <c r="E420" s="36"/>
      <c r="F420" s="36"/>
      <c r="G420" s="6"/>
      <c r="H420" s="37"/>
      <c r="I420" s="36"/>
      <c r="J420" s="36"/>
      <c r="K420" s="60"/>
      <c r="M420" s="61"/>
      <c r="N420" s="61"/>
      <c r="O420" s="61"/>
      <c r="P420" s="61"/>
      <c r="Q420" s="61"/>
      <c r="R420" s="61"/>
      <c r="S420" s="62"/>
      <c r="T420" s="62"/>
      <c r="U420" s="62"/>
    </row>
    <row r="421" spans="2:21" ht="15.75" customHeight="1" x14ac:dyDescent="0.3">
      <c r="B421" s="36"/>
      <c r="C421" s="36"/>
      <c r="D421" s="6"/>
      <c r="E421" s="36"/>
      <c r="F421" s="36"/>
      <c r="G421" s="6"/>
      <c r="H421" s="37"/>
      <c r="I421" s="36"/>
      <c r="J421" s="36"/>
      <c r="K421" s="60"/>
      <c r="M421" s="61"/>
      <c r="N421" s="61"/>
      <c r="O421" s="61"/>
      <c r="P421" s="61"/>
      <c r="Q421" s="61"/>
      <c r="R421" s="61"/>
      <c r="S421" s="62"/>
      <c r="T421" s="62"/>
      <c r="U421" s="62"/>
    </row>
    <row r="422" spans="2:21" ht="15.75" customHeight="1" x14ac:dyDescent="0.3">
      <c r="B422" s="36"/>
      <c r="C422" s="36"/>
      <c r="D422" s="6"/>
      <c r="E422" s="36"/>
      <c r="F422" s="36"/>
      <c r="G422" s="6"/>
      <c r="H422" s="37"/>
      <c r="I422" s="36"/>
      <c r="J422" s="36"/>
      <c r="K422" s="60"/>
      <c r="M422" s="61"/>
      <c r="N422" s="61"/>
      <c r="O422" s="61"/>
      <c r="P422" s="61"/>
      <c r="Q422" s="61"/>
      <c r="R422" s="61"/>
      <c r="S422" s="62"/>
      <c r="T422" s="62"/>
      <c r="U422" s="62"/>
    </row>
    <row r="423" spans="2:21" ht="15.75" customHeight="1" x14ac:dyDescent="0.3">
      <c r="B423" s="36"/>
      <c r="C423" s="36"/>
      <c r="D423" s="6"/>
      <c r="E423" s="36"/>
      <c r="F423" s="36"/>
      <c r="G423" s="6"/>
      <c r="H423" s="37"/>
      <c r="I423" s="36"/>
      <c r="J423" s="36"/>
      <c r="K423" s="60"/>
      <c r="M423" s="61"/>
      <c r="N423" s="61"/>
      <c r="O423" s="61"/>
      <c r="P423" s="61"/>
      <c r="Q423" s="61"/>
      <c r="R423" s="61"/>
      <c r="S423" s="62"/>
      <c r="T423" s="62"/>
      <c r="U423" s="62"/>
    </row>
    <row r="424" spans="2:21" ht="15.75" customHeight="1" x14ac:dyDescent="0.3">
      <c r="B424" s="36"/>
      <c r="C424" s="36"/>
      <c r="D424" s="6"/>
      <c r="E424" s="36"/>
      <c r="F424" s="36"/>
      <c r="G424" s="6"/>
      <c r="H424" s="37"/>
      <c r="I424" s="36"/>
      <c r="J424" s="36"/>
      <c r="K424" s="60"/>
      <c r="M424" s="61"/>
      <c r="N424" s="61"/>
      <c r="O424" s="61"/>
      <c r="P424" s="61"/>
      <c r="Q424" s="61"/>
      <c r="R424" s="61"/>
      <c r="S424" s="62"/>
      <c r="T424" s="62"/>
      <c r="U424" s="62"/>
    </row>
    <row r="425" spans="2:21" ht="15.75" customHeight="1" x14ac:dyDescent="0.3">
      <c r="B425" s="36"/>
      <c r="C425" s="36"/>
      <c r="D425" s="6"/>
      <c r="E425" s="36"/>
      <c r="F425" s="36"/>
      <c r="G425" s="6"/>
      <c r="H425" s="37"/>
      <c r="I425" s="36"/>
      <c r="J425" s="36"/>
      <c r="K425" s="60"/>
      <c r="M425" s="61"/>
      <c r="N425" s="61"/>
      <c r="O425" s="61"/>
      <c r="P425" s="61"/>
      <c r="Q425" s="61"/>
      <c r="R425" s="61"/>
      <c r="S425" s="62"/>
      <c r="T425" s="62"/>
      <c r="U425" s="62"/>
    </row>
    <row r="426" spans="2:21" ht="15.75" customHeight="1" x14ac:dyDescent="0.3">
      <c r="B426" s="36"/>
      <c r="C426" s="36"/>
      <c r="D426" s="6"/>
      <c r="E426" s="36"/>
      <c r="F426" s="36"/>
      <c r="G426" s="6"/>
      <c r="H426" s="37"/>
      <c r="I426" s="36"/>
      <c r="J426" s="36"/>
      <c r="K426" s="60"/>
      <c r="M426" s="61"/>
      <c r="N426" s="61"/>
      <c r="O426" s="61"/>
      <c r="P426" s="61"/>
      <c r="Q426" s="61"/>
      <c r="R426" s="61"/>
      <c r="S426" s="62"/>
      <c r="T426" s="62"/>
      <c r="U426" s="62"/>
    </row>
    <row r="427" spans="2:21" ht="15.75" customHeight="1" x14ac:dyDescent="0.3">
      <c r="B427" s="36"/>
      <c r="C427" s="36"/>
      <c r="D427" s="6"/>
      <c r="E427" s="36"/>
      <c r="F427" s="36"/>
      <c r="G427" s="6"/>
      <c r="H427" s="37"/>
      <c r="I427" s="36"/>
      <c r="J427" s="36"/>
      <c r="K427" s="60"/>
      <c r="M427" s="61"/>
      <c r="N427" s="61"/>
      <c r="O427" s="61"/>
      <c r="P427" s="61"/>
      <c r="Q427" s="61"/>
      <c r="R427" s="61"/>
      <c r="S427" s="62"/>
      <c r="T427" s="62"/>
      <c r="U427" s="62"/>
    </row>
    <row r="428" spans="2:21" ht="15.75" customHeight="1" x14ac:dyDescent="0.3">
      <c r="B428" s="36"/>
      <c r="C428" s="36"/>
      <c r="D428" s="6"/>
      <c r="E428" s="36"/>
      <c r="F428" s="36"/>
      <c r="G428" s="6"/>
      <c r="H428" s="37"/>
      <c r="I428" s="36"/>
      <c r="J428" s="36"/>
      <c r="K428" s="60"/>
      <c r="M428" s="61"/>
      <c r="N428" s="61"/>
      <c r="O428" s="61"/>
      <c r="P428" s="61"/>
      <c r="Q428" s="61"/>
      <c r="R428" s="61"/>
      <c r="S428" s="62"/>
      <c r="T428" s="62"/>
      <c r="U428" s="62"/>
    </row>
    <row r="429" spans="2:21" ht="15.75" customHeight="1" x14ac:dyDescent="0.3">
      <c r="B429" s="36"/>
      <c r="C429" s="36"/>
      <c r="D429" s="6"/>
      <c r="E429" s="36"/>
      <c r="F429" s="36"/>
      <c r="G429" s="6"/>
      <c r="H429" s="37"/>
      <c r="I429" s="36"/>
      <c r="J429" s="36"/>
      <c r="K429" s="60"/>
      <c r="M429" s="61"/>
      <c r="N429" s="61"/>
      <c r="O429" s="61"/>
      <c r="P429" s="61"/>
      <c r="Q429" s="61"/>
      <c r="R429" s="61"/>
      <c r="S429" s="62"/>
      <c r="T429" s="62"/>
      <c r="U429" s="62"/>
    </row>
    <row r="430" spans="2:21" ht="15.75" customHeight="1" x14ac:dyDescent="0.3">
      <c r="B430" s="36"/>
      <c r="C430" s="36"/>
      <c r="D430" s="6"/>
      <c r="E430" s="36"/>
      <c r="F430" s="36"/>
      <c r="G430" s="6"/>
      <c r="H430" s="37"/>
      <c r="I430" s="36"/>
      <c r="J430" s="36"/>
      <c r="K430" s="60"/>
      <c r="M430" s="61"/>
      <c r="N430" s="61"/>
      <c r="O430" s="61"/>
      <c r="P430" s="61"/>
      <c r="Q430" s="61"/>
      <c r="R430" s="61"/>
      <c r="S430" s="62"/>
      <c r="T430" s="62"/>
      <c r="U430" s="62"/>
    </row>
    <row r="431" spans="2:21" ht="15.75" customHeight="1" x14ac:dyDescent="0.3">
      <c r="B431" s="36"/>
      <c r="C431" s="36"/>
      <c r="D431" s="6"/>
      <c r="E431" s="36"/>
      <c r="F431" s="36"/>
      <c r="G431" s="6"/>
      <c r="H431" s="37"/>
      <c r="I431" s="36"/>
      <c r="J431" s="36"/>
      <c r="K431" s="60"/>
      <c r="M431" s="61"/>
      <c r="N431" s="61"/>
      <c r="O431" s="61"/>
      <c r="P431" s="61"/>
      <c r="Q431" s="61"/>
      <c r="R431" s="61"/>
      <c r="S431" s="62"/>
      <c r="T431" s="62"/>
      <c r="U431" s="62"/>
    </row>
    <row r="432" spans="2:21" ht="15.75" customHeight="1" x14ac:dyDescent="0.3">
      <c r="B432" s="36"/>
      <c r="C432" s="36"/>
      <c r="D432" s="6"/>
      <c r="E432" s="36"/>
      <c r="F432" s="36"/>
      <c r="G432" s="6"/>
      <c r="H432" s="37"/>
      <c r="I432" s="36"/>
      <c r="J432" s="36"/>
      <c r="K432" s="60"/>
      <c r="M432" s="61"/>
      <c r="N432" s="61"/>
      <c r="O432" s="61"/>
      <c r="P432" s="61"/>
      <c r="Q432" s="61"/>
      <c r="R432" s="61"/>
      <c r="S432" s="62"/>
      <c r="T432" s="62"/>
      <c r="U432" s="62"/>
    </row>
    <row r="433" spans="2:21" ht="15.75" customHeight="1" x14ac:dyDescent="0.3">
      <c r="B433" s="36"/>
      <c r="C433" s="36"/>
      <c r="D433" s="6"/>
      <c r="E433" s="36"/>
      <c r="F433" s="36"/>
      <c r="G433" s="6"/>
      <c r="H433" s="37"/>
      <c r="I433" s="36"/>
      <c r="J433" s="36"/>
      <c r="K433" s="60"/>
      <c r="M433" s="61"/>
      <c r="N433" s="61"/>
      <c r="O433" s="61"/>
      <c r="P433" s="61"/>
      <c r="Q433" s="61"/>
      <c r="R433" s="61"/>
      <c r="S433" s="62"/>
      <c r="T433" s="62"/>
      <c r="U433" s="62"/>
    </row>
    <row r="434" spans="2:21" ht="15.75" customHeight="1" x14ac:dyDescent="0.3">
      <c r="B434" s="36"/>
      <c r="C434" s="36"/>
      <c r="D434" s="6"/>
      <c r="E434" s="36"/>
      <c r="F434" s="36"/>
      <c r="G434" s="6"/>
      <c r="H434" s="37"/>
      <c r="I434" s="36"/>
      <c r="J434" s="36"/>
      <c r="K434" s="60"/>
      <c r="M434" s="61"/>
      <c r="N434" s="61"/>
      <c r="O434" s="61"/>
      <c r="P434" s="61"/>
      <c r="Q434" s="61"/>
      <c r="R434" s="61"/>
      <c r="S434" s="62"/>
      <c r="T434" s="62"/>
      <c r="U434" s="62"/>
    </row>
    <row r="435" spans="2:21" ht="15.75" customHeight="1" x14ac:dyDescent="0.3">
      <c r="B435" s="36"/>
      <c r="C435" s="36"/>
      <c r="D435" s="6"/>
      <c r="E435" s="36"/>
      <c r="F435" s="36"/>
      <c r="G435" s="6"/>
      <c r="H435" s="37"/>
      <c r="I435" s="36"/>
      <c r="J435" s="36"/>
      <c r="K435" s="60"/>
      <c r="M435" s="61"/>
      <c r="N435" s="61"/>
      <c r="O435" s="61"/>
      <c r="P435" s="61"/>
      <c r="Q435" s="61"/>
      <c r="R435" s="61"/>
      <c r="S435" s="62"/>
      <c r="T435" s="62"/>
      <c r="U435" s="62"/>
    </row>
    <row r="436" spans="2:21" ht="15.75" customHeight="1" x14ac:dyDescent="0.3">
      <c r="B436" s="36"/>
      <c r="C436" s="36"/>
      <c r="D436" s="6"/>
      <c r="E436" s="36"/>
      <c r="F436" s="36"/>
      <c r="G436" s="6"/>
      <c r="H436" s="37"/>
      <c r="I436" s="36"/>
      <c r="J436" s="36"/>
      <c r="K436" s="60"/>
      <c r="M436" s="61"/>
      <c r="N436" s="61"/>
      <c r="O436" s="61"/>
      <c r="P436" s="61"/>
      <c r="Q436" s="61"/>
      <c r="R436" s="61"/>
      <c r="S436" s="62"/>
      <c r="T436" s="62"/>
      <c r="U436" s="62"/>
    </row>
    <row r="437" spans="2:21" ht="15.75" customHeight="1" x14ac:dyDescent="0.3">
      <c r="B437" s="36"/>
      <c r="C437" s="36"/>
      <c r="D437" s="6"/>
      <c r="E437" s="36"/>
      <c r="F437" s="36"/>
      <c r="G437" s="6"/>
      <c r="H437" s="37"/>
      <c r="I437" s="36"/>
      <c r="J437" s="36"/>
      <c r="K437" s="60"/>
      <c r="M437" s="61"/>
      <c r="N437" s="61"/>
      <c r="O437" s="61"/>
      <c r="P437" s="61"/>
      <c r="Q437" s="61"/>
      <c r="R437" s="61"/>
      <c r="S437" s="62"/>
      <c r="T437" s="62"/>
      <c r="U437" s="62"/>
    </row>
    <row r="438" spans="2:21" ht="15.75" customHeight="1" x14ac:dyDescent="0.3">
      <c r="B438" s="36"/>
      <c r="C438" s="36"/>
      <c r="D438" s="6"/>
      <c r="E438" s="36"/>
      <c r="F438" s="36"/>
      <c r="G438" s="6"/>
      <c r="H438" s="37"/>
      <c r="I438" s="36"/>
      <c r="J438" s="36"/>
      <c r="K438" s="60"/>
      <c r="M438" s="61"/>
      <c r="N438" s="61"/>
      <c r="O438" s="61"/>
      <c r="P438" s="61"/>
      <c r="Q438" s="61"/>
      <c r="R438" s="61"/>
      <c r="S438" s="62"/>
      <c r="T438" s="62"/>
      <c r="U438" s="62"/>
    </row>
    <row r="439" spans="2:21" ht="15.75" customHeight="1" x14ac:dyDescent="0.3">
      <c r="B439" s="36"/>
      <c r="C439" s="36"/>
      <c r="D439" s="6"/>
      <c r="E439" s="36"/>
      <c r="F439" s="36"/>
      <c r="G439" s="6"/>
      <c r="H439" s="37"/>
      <c r="I439" s="36"/>
      <c r="J439" s="36"/>
      <c r="K439" s="60"/>
      <c r="M439" s="61"/>
      <c r="N439" s="61"/>
      <c r="O439" s="61"/>
      <c r="P439" s="61"/>
      <c r="Q439" s="61"/>
      <c r="R439" s="61"/>
      <c r="S439" s="62"/>
      <c r="T439" s="62"/>
      <c r="U439" s="62"/>
    </row>
    <row r="440" spans="2:21" ht="15.75" customHeight="1" x14ac:dyDescent="0.3">
      <c r="B440" s="36"/>
      <c r="C440" s="36"/>
      <c r="D440" s="6"/>
      <c r="E440" s="36"/>
      <c r="F440" s="36"/>
      <c r="G440" s="6"/>
      <c r="H440" s="37"/>
      <c r="I440" s="36"/>
      <c r="J440" s="36"/>
      <c r="K440" s="60"/>
      <c r="M440" s="61"/>
      <c r="N440" s="61"/>
      <c r="O440" s="61"/>
      <c r="P440" s="61"/>
      <c r="Q440" s="61"/>
      <c r="R440" s="61"/>
      <c r="S440" s="62"/>
      <c r="T440" s="62"/>
      <c r="U440" s="62"/>
    </row>
    <row r="441" spans="2:21" ht="15.75" customHeight="1" x14ac:dyDescent="0.3">
      <c r="B441" s="36"/>
      <c r="C441" s="36"/>
      <c r="D441" s="6"/>
      <c r="E441" s="36"/>
      <c r="F441" s="36"/>
      <c r="G441" s="6"/>
      <c r="H441" s="37"/>
      <c r="I441" s="36"/>
      <c r="J441" s="36"/>
      <c r="K441" s="60"/>
      <c r="M441" s="61"/>
      <c r="N441" s="61"/>
      <c r="O441" s="61"/>
      <c r="P441" s="61"/>
      <c r="Q441" s="61"/>
      <c r="R441" s="61"/>
      <c r="S441" s="62"/>
      <c r="T441" s="62"/>
      <c r="U441" s="62"/>
    </row>
    <row r="442" spans="2:21" ht="15.75" customHeight="1" x14ac:dyDescent="0.3">
      <c r="B442" s="36"/>
      <c r="C442" s="36"/>
      <c r="D442" s="6"/>
      <c r="E442" s="36"/>
      <c r="F442" s="36"/>
      <c r="G442" s="6"/>
      <c r="H442" s="37"/>
      <c r="I442" s="36"/>
      <c r="J442" s="36"/>
      <c r="K442" s="60"/>
      <c r="M442" s="61"/>
      <c r="N442" s="61"/>
      <c r="O442" s="61"/>
      <c r="P442" s="61"/>
      <c r="Q442" s="61"/>
      <c r="R442" s="61"/>
      <c r="S442" s="62"/>
      <c r="T442" s="62"/>
      <c r="U442" s="62"/>
    </row>
    <row r="443" spans="2:21" ht="15.75" customHeight="1" x14ac:dyDescent="0.3">
      <c r="B443" s="36"/>
      <c r="C443" s="36"/>
      <c r="D443" s="6"/>
      <c r="E443" s="36"/>
      <c r="F443" s="36"/>
      <c r="G443" s="6"/>
      <c r="H443" s="37"/>
      <c r="I443" s="36"/>
      <c r="J443" s="36"/>
      <c r="K443" s="60"/>
      <c r="M443" s="61"/>
      <c r="N443" s="61"/>
      <c r="O443" s="61"/>
      <c r="P443" s="61"/>
      <c r="Q443" s="61"/>
      <c r="R443" s="61"/>
      <c r="S443" s="62"/>
      <c r="T443" s="62"/>
      <c r="U443" s="62"/>
    </row>
    <row r="444" spans="2:21" ht="15.75" customHeight="1" x14ac:dyDescent="0.3">
      <c r="B444" s="36"/>
      <c r="C444" s="36"/>
      <c r="D444" s="6"/>
      <c r="E444" s="36"/>
      <c r="F444" s="36"/>
      <c r="G444" s="6"/>
      <c r="H444" s="37"/>
      <c r="I444" s="36"/>
      <c r="J444" s="36"/>
      <c r="K444" s="60"/>
      <c r="M444" s="61"/>
      <c r="N444" s="61"/>
      <c r="O444" s="61"/>
      <c r="P444" s="61"/>
      <c r="Q444" s="61"/>
      <c r="R444" s="61"/>
      <c r="S444" s="62"/>
      <c r="T444" s="62"/>
      <c r="U444" s="62"/>
    </row>
    <row r="445" spans="2:21" ht="15.75" customHeight="1" x14ac:dyDescent="0.3">
      <c r="B445" s="36"/>
      <c r="C445" s="36"/>
      <c r="D445" s="6"/>
      <c r="E445" s="36"/>
      <c r="F445" s="36"/>
      <c r="G445" s="6"/>
      <c r="H445" s="37"/>
      <c r="I445" s="36"/>
      <c r="J445" s="36"/>
      <c r="K445" s="60"/>
      <c r="M445" s="61"/>
      <c r="N445" s="61"/>
      <c r="O445" s="61"/>
      <c r="P445" s="61"/>
      <c r="Q445" s="61"/>
      <c r="R445" s="61"/>
      <c r="S445" s="62"/>
      <c r="T445" s="62"/>
      <c r="U445" s="62"/>
    </row>
    <row r="446" spans="2:21" ht="15.75" customHeight="1" x14ac:dyDescent="0.3">
      <c r="B446" s="36"/>
      <c r="C446" s="36"/>
      <c r="D446" s="6"/>
      <c r="E446" s="36"/>
      <c r="F446" s="36"/>
      <c r="G446" s="6"/>
      <c r="H446" s="37"/>
      <c r="I446" s="36"/>
      <c r="J446" s="36"/>
      <c r="K446" s="60"/>
      <c r="M446" s="61"/>
      <c r="N446" s="61"/>
      <c r="O446" s="61"/>
      <c r="P446" s="61"/>
      <c r="Q446" s="61"/>
      <c r="R446" s="61"/>
      <c r="S446" s="62"/>
      <c r="T446" s="62"/>
      <c r="U446" s="62"/>
    </row>
    <row r="447" spans="2:21" ht="15.75" customHeight="1" x14ac:dyDescent="0.3">
      <c r="B447" s="36"/>
      <c r="C447" s="36"/>
      <c r="D447" s="6"/>
      <c r="E447" s="36"/>
      <c r="F447" s="36"/>
      <c r="G447" s="6"/>
      <c r="H447" s="37"/>
      <c r="I447" s="36"/>
      <c r="J447" s="36"/>
      <c r="K447" s="60"/>
      <c r="M447" s="61"/>
      <c r="N447" s="61"/>
      <c r="O447" s="61"/>
      <c r="P447" s="61"/>
      <c r="Q447" s="61"/>
      <c r="R447" s="61"/>
      <c r="S447" s="62"/>
      <c r="T447" s="62"/>
      <c r="U447" s="62"/>
    </row>
    <row r="448" spans="2:21" ht="15.75" customHeight="1" x14ac:dyDescent="0.3">
      <c r="B448" s="36"/>
      <c r="C448" s="36"/>
      <c r="D448" s="6"/>
      <c r="E448" s="36"/>
      <c r="F448" s="36"/>
      <c r="G448" s="6"/>
      <c r="H448" s="37"/>
      <c r="I448" s="36"/>
      <c r="J448" s="36"/>
      <c r="K448" s="60"/>
      <c r="M448" s="61"/>
      <c r="N448" s="61"/>
      <c r="O448" s="61"/>
      <c r="P448" s="61"/>
      <c r="Q448" s="61"/>
      <c r="R448" s="61"/>
      <c r="S448" s="62"/>
      <c r="T448" s="62"/>
      <c r="U448" s="62"/>
    </row>
    <row r="449" spans="2:21" ht="15.75" customHeight="1" x14ac:dyDescent="0.3">
      <c r="B449" s="36"/>
      <c r="C449" s="36"/>
      <c r="D449" s="6"/>
      <c r="E449" s="36"/>
      <c r="F449" s="36"/>
      <c r="G449" s="6"/>
      <c r="H449" s="37"/>
      <c r="I449" s="36"/>
      <c r="J449" s="36"/>
      <c r="K449" s="60"/>
      <c r="M449" s="61"/>
      <c r="N449" s="61"/>
      <c r="O449" s="61"/>
      <c r="P449" s="61"/>
      <c r="Q449" s="61"/>
      <c r="R449" s="61"/>
      <c r="S449" s="62"/>
      <c r="T449" s="62"/>
      <c r="U449" s="62"/>
    </row>
    <row r="450" spans="2:21" ht="15.75" customHeight="1" x14ac:dyDescent="0.3">
      <c r="B450" s="36"/>
      <c r="C450" s="36"/>
      <c r="D450" s="6"/>
      <c r="E450" s="36"/>
      <c r="F450" s="36"/>
      <c r="G450" s="6"/>
      <c r="H450" s="37"/>
      <c r="I450" s="36"/>
      <c r="J450" s="36"/>
      <c r="K450" s="60"/>
      <c r="M450" s="61"/>
      <c r="N450" s="61"/>
      <c r="O450" s="61"/>
      <c r="P450" s="61"/>
      <c r="Q450" s="61"/>
      <c r="R450" s="61"/>
      <c r="S450" s="62"/>
      <c r="T450" s="62"/>
      <c r="U450" s="62"/>
    </row>
    <row r="451" spans="2:21" ht="15.75" customHeight="1" x14ac:dyDescent="0.3">
      <c r="B451" s="36"/>
      <c r="C451" s="36"/>
      <c r="D451" s="6"/>
      <c r="E451" s="36"/>
      <c r="F451" s="36"/>
      <c r="G451" s="6"/>
      <c r="H451" s="37"/>
      <c r="I451" s="36"/>
      <c r="J451" s="36"/>
      <c r="K451" s="60"/>
      <c r="M451" s="61"/>
      <c r="N451" s="61"/>
      <c r="O451" s="61"/>
      <c r="P451" s="61"/>
      <c r="Q451" s="61"/>
      <c r="R451" s="61"/>
      <c r="S451" s="62"/>
      <c r="T451" s="62"/>
      <c r="U451" s="62"/>
    </row>
    <row r="452" spans="2:21" ht="15.75" customHeight="1" x14ac:dyDescent="0.3">
      <c r="B452" s="36"/>
      <c r="C452" s="36"/>
      <c r="D452" s="6"/>
      <c r="E452" s="36"/>
      <c r="F452" s="36"/>
      <c r="G452" s="6"/>
      <c r="H452" s="37"/>
      <c r="I452" s="36"/>
      <c r="J452" s="36"/>
      <c r="K452" s="60"/>
      <c r="M452" s="61"/>
      <c r="N452" s="61"/>
      <c r="O452" s="61"/>
      <c r="P452" s="61"/>
      <c r="Q452" s="61"/>
      <c r="R452" s="61"/>
      <c r="S452" s="62"/>
      <c r="T452" s="62"/>
      <c r="U452" s="62"/>
    </row>
    <row r="453" spans="2:21" ht="15.75" customHeight="1" x14ac:dyDescent="0.3">
      <c r="B453" s="36"/>
      <c r="C453" s="36"/>
      <c r="D453" s="6"/>
      <c r="E453" s="36"/>
      <c r="F453" s="36"/>
      <c r="G453" s="6"/>
      <c r="H453" s="37"/>
      <c r="I453" s="36"/>
      <c r="J453" s="36"/>
      <c r="K453" s="60"/>
      <c r="M453" s="61"/>
      <c r="N453" s="61"/>
      <c r="O453" s="61"/>
      <c r="P453" s="61"/>
      <c r="Q453" s="61"/>
      <c r="R453" s="61"/>
      <c r="S453" s="62"/>
      <c r="T453" s="62"/>
      <c r="U453" s="62"/>
    </row>
    <row r="454" spans="2:21" ht="15.75" customHeight="1" x14ac:dyDescent="0.3">
      <c r="B454" s="36"/>
      <c r="C454" s="36"/>
      <c r="D454" s="6"/>
      <c r="E454" s="36"/>
      <c r="F454" s="36"/>
      <c r="G454" s="6"/>
      <c r="H454" s="37"/>
      <c r="I454" s="36"/>
      <c r="J454" s="36"/>
      <c r="K454" s="60"/>
      <c r="M454" s="61"/>
      <c r="N454" s="61"/>
      <c r="O454" s="61"/>
      <c r="P454" s="61"/>
      <c r="Q454" s="61"/>
      <c r="R454" s="61"/>
      <c r="S454" s="62"/>
      <c r="T454" s="62"/>
      <c r="U454" s="62"/>
    </row>
    <row r="455" spans="2:21" ht="15.75" customHeight="1" x14ac:dyDescent="0.3">
      <c r="B455" s="36"/>
      <c r="C455" s="36"/>
      <c r="D455" s="6"/>
      <c r="E455" s="36"/>
      <c r="F455" s="36"/>
      <c r="G455" s="6"/>
      <c r="H455" s="37"/>
      <c r="I455" s="36"/>
      <c r="J455" s="36"/>
      <c r="K455" s="60"/>
      <c r="M455" s="61"/>
      <c r="N455" s="61"/>
      <c r="O455" s="61"/>
      <c r="P455" s="61"/>
      <c r="Q455" s="61"/>
      <c r="R455" s="61"/>
      <c r="S455" s="62"/>
      <c r="T455" s="62"/>
      <c r="U455" s="62"/>
    </row>
    <row r="456" spans="2:21" ht="15.75" customHeight="1" x14ac:dyDescent="0.3">
      <c r="B456" s="36"/>
      <c r="C456" s="36"/>
      <c r="D456" s="6"/>
      <c r="E456" s="36"/>
      <c r="F456" s="36"/>
      <c r="G456" s="6"/>
      <c r="H456" s="37"/>
      <c r="I456" s="36"/>
      <c r="J456" s="36"/>
      <c r="K456" s="60"/>
      <c r="M456" s="61"/>
      <c r="N456" s="61"/>
      <c r="O456" s="61"/>
      <c r="P456" s="61"/>
      <c r="Q456" s="61"/>
      <c r="R456" s="61"/>
      <c r="S456" s="62"/>
      <c r="T456" s="62"/>
      <c r="U456" s="62"/>
    </row>
    <row r="457" spans="2:21" ht="15.75" customHeight="1" x14ac:dyDescent="0.3">
      <c r="B457" s="36"/>
      <c r="C457" s="36"/>
      <c r="D457" s="6"/>
      <c r="E457" s="36"/>
      <c r="F457" s="36"/>
      <c r="G457" s="6"/>
      <c r="H457" s="37"/>
      <c r="I457" s="36"/>
      <c r="J457" s="36"/>
      <c r="K457" s="60"/>
      <c r="M457" s="61"/>
      <c r="N457" s="61"/>
      <c r="O457" s="61"/>
      <c r="P457" s="61"/>
      <c r="Q457" s="61"/>
      <c r="R457" s="61"/>
      <c r="S457" s="62"/>
      <c r="T457" s="62"/>
      <c r="U457" s="62"/>
    </row>
    <row r="458" spans="2:21" ht="15.75" customHeight="1" x14ac:dyDescent="0.3">
      <c r="B458" s="36"/>
      <c r="C458" s="36"/>
      <c r="D458" s="6"/>
      <c r="E458" s="36"/>
      <c r="F458" s="36"/>
      <c r="G458" s="6"/>
      <c r="H458" s="37"/>
      <c r="I458" s="36"/>
      <c r="J458" s="36"/>
      <c r="K458" s="60"/>
      <c r="M458" s="61"/>
      <c r="N458" s="61"/>
      <c r="O458" s="61"/>
      <c r="P458" s="61"/>
      <c r="Q458" s="61"/>
      <c r="R458" s="61"/>
      <c r="S458" s="62"/>
      <c r="T458" s="62"/>
      <c r="U458" s="62"/>
    </row>
    <row r="459" spans="2:21" ht="15.75" customHeight="1" x14ac:dyDescent="0.3">
      <c r="B459" s="36"/>
      <c r="C459" s="36"/>
      <c r="D459" s="6"/>
      <c r="E459" s="36"/>
      <c r="F459" s="36"/>
      <c r="G459" s="6"/>
      <c r="H459" s="37"/>
      <c r="I459" s="36"/>
      <c r="J459" s="36"/>
      <c r="K459" s="60"/>
      <c r="M459" s="61"/>
      <c r="N459" s="61"/>
      <c r="O459" s="61"/>
      <c r="P459" s="61"/>
      <c r="Q459" s="61"/>
      <c r="R459" s="61"/>
      <c r="S459" s="62"/>
      <c r="T459" s="62"/>
      <c r="U459" s="62"/>
    </row>
    <row r="460" spans="2:21" ht="15.75" customHeight="1" x14ac:dyDescent="0.3">
      <c r="B460" s="36"/>
      <c r="C460" s="36"/>
      <c r="D460" s="6"/>
      <c r="E460" s="36"/>
      <c r="F460" s="36"/>
      <c r="G460" s="6"/>
      <c r="H460" s="37"/>
      <c r="I460" s="36"/>
      <c r="J460" s="36"/>
      <c r="K460" s="60"/>
      <c r="M460" s="61"/>
      <c r="N460" s="61"/>
      <c r="O460" s="61"/>
      <c r="P460" s="61"/>
      <c r="Q460" s="61"/>
      <c r="R460" s="61"/>
      <c r="S460" s="62"/>
      <c r="T460" s="62"/>
      <c r="U460" s="62"/>
    </row>
    <row r="461" spans="2:21" ht="15.75" customHeight="1" x14ac:dyDescent="0.3">
      <c r="B461" s="36"/>
      <c r="C461" s="36"/>
      <c r="D461" s="6"/>
      <c r="E461" s="36"/>
      <c r="F461" s="36"/>
      <c r="G461" s="6"/>
      <c r="H461" s="37"/>
      <c r="I461" s="36"/>
      <c r="J461" s="36"/>
      <c r="K461" s="60"/>
      <c r="M461" s="61"/>
      <c r="N461" s="61"/>
      <c r="O461" s="61"/>
      <c r="P461" s="61"/>
      <c r="Q461" s="61"/>
      <c r="R461" s="61"/>
      <c r="S461" s="62"/>
      <c r="T461" s="62"/>
      <c r="U461" s="62"/>
    </row>
    <row r="462" spans="2:21" ht="15.75" customHeight="1" x14ac:dyDescent="0.3">
      <c r="B462" s="36"/>
      <c r="C462" s="36"/>
      <c r="D462" s="6"/>
      <c r="E462" s="36"/>
      <c r="F462" s="36"/>
      <c r="G462" s="6"/>
      <c r="H462" s="37"/>
      <c r="I462" s="36"/>
      <c r="J462" s="36"/>
      <c r="K462" s="60"/>
      <c r="M462" s="61"/>
      <c r="N462" s="61"/>
      <c r="O462" s="61"/>
      <c r="P462" s="61"/>
      <c r="Q462" s="61"/>
      <c r="R462" s="61"/>
      <c r="S462" s="62"/>
      <c r="T462" s="62"/>
      <c r="U462" s="62"/>
    </row>
    <row r="463" spans="2:21" ht="15.75" customHeight="1" x14ac:dyDescent="0.3">
      <c r="B463" s="36"/>
      <c r="C463" s="36"/>
      <c r="D463" s="6"/>
      <c r="E463" s="36"/>
      <c r="F463" s="36"/>
      <c r="G463" s="6"/>
      <c r="H463" s="37"/>
      <c r="I463" s="36"/>
      <c r="J463" s="36"/>
      <c r="K463" s="60"/>
      <c r="M463" s="61"/>
      <c r="N463" s="61"/>
      <c r="O463" s="61"/>
      <c r="P463" s="61"/>
      <c r="Q463" s="61"/>
      <c r="R463" s="61"/>
      <c r="S463" s="62"/>
      <c r="T463" s="62"/>
      <c r="U463" s="62"/>
    </row>
    <row r="464" spans="2:21" ht="15.75" customHeight="1" x14ac:dyDescent="0.3">
      <c r="B464" s="36"/>
      <c r="C464" s="36"/>
      <c r="D464" s="6"/>
      <c r="E464" s="36"/>
      <c r="F464" s="36"/>
      <c r="G464" s="6"/>
      <c r="H464" s="37"/>
      <c r="I464" s="36"/>
      <c r="J464" s="36"/>
      <c r="K464" s="60"/>
      <c r="M464" s="61"/>
      <c r="N464" s="61"/>
      <c r="O464" s="61"/>
      <c r="P464" s="61"/>
      <c r="Q464" s="61"/>
      <c r="R464" s="61"/>
      <c r="S464" s="62"/>
      <c r="T464" s="62"/>
      <c r="U464" s="62"/>
    </row>
    <row r="465" spans="2:21" ht="15.75" customHeight="1" x14ac:dyDescent="0.3">
      <c r="B465" s="36"/>
      <c r="C465" s="36"/>
      <c r="D465" s="6"/>
      <c r="E465" s="36"/>
      <c r="F465" s="36"/>
      <c r="G465" s="6"/>
      <c r="H465" s="37"/>
      <c r="I465" s="36"/>
      <c r="J465" s="36"/>
      <c r="K465" s="60"/>
      <c r="M465" s="61"/>
      <c r="N465" s="61"/>
      <c r="O465" s="61"/>
      <c r="P465" s="61"/>
      <c r="Q465" s="61"/>
      <c r="R465" s="61"/>
      <c r="S465" s="62"/>
      <c r="T465" s="62"/>
      <c r="U465" s="62"/>
    </row>
    <row r="466" spans="2:21" ht="15.75" customHeight="1" x14ac:dyDescent="0.3">
      <c r="B466" s="36"/>
      <c r="C466" s="36"/>
      <c r="D466" s="6"/>
      <c r="E466" s="36"/>
      <c r="F466" s="36"/>
      <c r="G466" s="6"/>
      <c r="H466" s="37"/>
      <c r="I466" s="36"/>
      <c r="J466" s="36"/>
      <c r="K466" s="60"/>
      <c r="M466" s="61"/>
      <c r="N466" s="61"/>
      <c r="O466" s="61"/>
      <c r="P466" s="61"/>
      <c r="Q466" s="61"/>
      <c r="R466" s="61"/>
      <c r="S466" s="62"/>
      <c r="T466" s="62"/>
      <c r="U466" s="62"/>
    </row>
    <row r="467" spans="2:21" ht="15.75" customHeight="1" x14ac:dyDescent="0.3">
      <c r="B467" s="36"/>
      <c r="C467" s="36"/>
      <c r="D467" s="6"/>
      <c r="E467" s="36"/>
      <c r="F467" s="36"/>
      <c r="G467" s="6"/>
      <c r="H467" s="37"/>
      <c r="I467" s="36"/>
      <c r="J467" s="36"/>
      <c r="K467" s="60"/>
      <c r="M467" s="61"/>
      <c r="N467" s="61"/>
      <c r="O467" s="61"/>
      <c r="P467" s="61"/>
      <c r="Q467" s="61"/>
      <c r="R467" s="61"/>
      <c r="S467" s="62"/>
      <c r="T467" s="62"/>
      <c r="U467" s="62"/>
    </row>
    <row r="468" spans="2:21" ht="15.75" customHeight="1" x14ac:dyDescent="0.3">
      <c r="B468" s="36"/>
      <c r="C468" s="36"/>
      <c r="D468" s="6"/>
      <c r="E468" s="36"/>
      <c r="F468" s="36"/>
      <c r="G468" s="6"/>
      <c r="H468" s="37"/>
      <c r="I468" s="36"/>
      <c r="J468" s="36"/>
      <c r="K468" s="60"/>
      <c r="M468" s="61"/>
      <c r="N468" s="61"/>
      <c r="O468" s="61"/>
      <c r="P468" s="61"/>
      <c r="Q468" s="61"/>
      <c r="R468" s="61"/>
      <c r="S468" s="62"/>
      <c r="T468" s="62"/>
      <c r="U468" s="62"/>
    </row>
    <row r="469" spans="2:21" ht="15.75" customHeight="1" x14ac:dyDescent="0.3">
      <c r="B469" s="36"/>
      <c r="C469" s="36"/>
      <c r="D469" s="6"/>
      <c r="E469" s="36"/>
      <c r="F469" s="36"/>
      <c r="G469" s="6"/>
      <c r="H469" s="37"/>
      <c r="I469" s="36"/>
      <c r="J469" s="36"/>
      <c r="K469" s="60"/>
      <c r="M469" s="61"/>
      <c r="N469" s="61"/>
      <c r="O469" s="61"/>
      <c r="P469" s="61"/>
      <c r="Q469" s="61"/>
      <c r="R469" s="61"/>
      <c r="S469" s="62"/>
      <c r="T469" s="62"/>
      <c r="U469" s="62"/>
    </row>
    <row r="470" spans="2:21" ht="15.75" customHeight="1" x14ac:dyDescent="0.3">
      <c r="B470" s="36"/>
      <c r="C470" s="36"/>
      <c r="D470" s="6"/>
      <c r="E470" s="36"/>
      <c r="F470" s="36"/>
      <c r="G470" s="6"/>
      <c r="H470" s="37"/>
      <c r="I470" s="36"/>
      <c r="J470" s="36"/>
      <c r="K470" s="60"/>
      <c r="M470" s="61"/>
      <c r="N470" s="61"/>
      <c r="O470" s="61"/>
      <c r="P470" s="61"/>
      <c r="Q470" s="61"/>
      <c r="R470" s="61"/>
      <c r="S470" s="62"/>
      <c r="T470" s="62"/>
      <c r="U470" s="62"/>
    </row>
    <row r="471" spans="2:21" ht="15.75" customHeight="1" x14ac:dyDescent="0.3">
      <c r="B471" s="36"/>
      <c r="C471" s="36"/>
      <c r="D471" s="6"/>
      <c r="E471" s="36"/>
      <c r="F471" s="36"/>
      <c r="G471" s="6"/>
      <c r="H471" s="37"/>
      <c r="I471" s="36"/>
      <c r="J471" s="36"/>
      <c r="K471" s="60"/>
      <c r="M471" s="61"/>
      <c r="N471" s="61"/>
      <c r="O471" s="61"/>
      <c r="P471" s="61"/>
      <c r="Q471" s="61"/>
      <c r="R471" s="61"/>
      <c r="S471" s="62"/>
      <c r="T471" s="62"/>
      <c r="U471" s="62"/>
    </row>
    <row r="472" spans="2:21" ht="15.75" customHeight="1" x14ac:dyDescent="0.3">
      <c r="B472" s="36"/>
      <c r="C472" s="36"/>
      <c r="D472" s="6"/>
      <c r="E472" s="36"/>
      <c r="F472" s="36"/>
      <c r="G472" s="6"/>
      <c r="H472" s="37"/>
      <c r="I472" s="36"/>
      <c r="J472" s="36"/>
      <c r="K472" s="60"/>
      <c r="M472" s="61"/>
      <c r="N472" s="61"/>
      <c r="O472" s="61"/>
      <c r="P472" s="61"/>
      <c r="Q472" s="61"/>
      <c r="R472" s="61"/>
      <c r="S472" s="62"/>
      <c r="T472" s="62"/>
      <c r="U472" s="62"/>
    </row>
    <row r="473" spans="2:21" ht="15.75" customHeight="1" x14ac:dyDescent="0.3">
      <c r="B473" s="36"/>
      <c r="C473" s="36"/>
      <c r="D473" s="6"/>
      <c r="E473" s="36"/>
      <c r="F473" s="36"/>
      <c r="G473" s="6"/>
      <c r="H473" s="37"/>
      <c r="I473" s="36"/>
      <c r="J473" s="36"/>
      <c r="K473" s="60"/>
      <c r="M473" s="61"/>
      <c r="N473" s="61"/>
      <c r="O473" s="61"/>
      <c r="P473" s="61"/>
      <c r="Q473" s="61"/>
      <c r="R473" s="61"/>
      <c r="S473" s="62"/>
      <c r="T473" s="62"/>
      <c r="U473" s="62"/>
    </row>
    <row r="474" spans="2:21" ht="15.75" customHeight="1" x14ac:dyDescent="0.3">
      <c r="B474" s="36"/>
      <c r="C474" s="36"/>
      <c r="D474" s="6"/>
      <c r="E474" s="36"/>
      <c r="F474" s="36"/>
      <c r="G474" s="6"/>
      <c r="H474" s="37"/>
      <c r="I474" s="36"/>
      <c r="J474" s="36"/>
      <c r="K474" s="60"/>
      <c r="M474" s="61"/>
      <c r="N474" s="61"/>
      <c r="O474" s="61"/>
      <c r="P474" s="61"/>
      <c r="Q474" s="61"/>
      <c r="R474" s="61"/>
      <c r="S474" s="62"/>
      <c r="T474" s="62"/>
      <c r="U474" s="62"/>
    </row>
    <row r="475" spans="2:21" ht="15.75" customHeight="1" x14ac:dyDescent="0.3">
      <c r="B475" s="36"/>
      <c r="C475" s="36"/>
      <c r="D475" s="6"/>
      <c r="E475" s="36"/>
      <c r="F475" s="36"/>
      <c r="G475" s="6"/>
      <c r="H475" s="37"/>
      <c r="I475" s="36"/>
      <c r="J475" s="36"/>
      <c r="K475" s="60"/>
      <c r="M475" s="61"/>
      <c r="N475" s="61"/>
      <c r="O475" s="61"/>
      <c r="P475" s="61"/>
      <c r="Q475" s="61"/>
      <c r="R475" s="61"/>
      <c r="S475" s="62"/>
      <c r="T475" s="62"/>
      <c r="U475" s="62"/>
    </row>
    <row r="476" spans="2:21" ht="15.75" customHeight="1" x14ac:dyDescent="0.3">
      <c r="B476" s="36"/>
      <c r="C476" s="36"/>
      <c r="D476" s="6"/>
      <c r="E476" s="36"/>
      <c r="F476" s="36"/>
      <c r="G476" s="6"/>
      <c r="H476" s="37"/>
      <c r="I476" s="36"/>
      <c r="J476" s="36"/>
      <c r="K476" s="60"/>
      <c r="M476" s="61"/>
      <c r="N476" s="61"/>
      <c r="O476" s="61"/>
      <c r="P476" s="61"/>
      <c r="Q476" s="61"/>
      <c r="R476" s="61"/>
      <c r="S476" s="62"/>
      <c r="T476" s="62"/>
      <c r="U476" s="62"/>
    </row>
    <row r="477" spans="2:21" ht="15.75" customHeight="1" x14ac:dyDescent="0.3">
      <c r="B477" s="36"/>
      <c r="C477" s="36"/>
      <c r="D477" s="6"/>
      <c r="E477" s="36"/>
      <c r="F477" s="36"/>
      <c r="G477" s="6"/>
      <c r="H477" s="37"/>
      <c r="I477" s="36"/>
      <c r="J477" s="36"/>
      <c r="K477" s="60"/>
      <c r="M477" s="61"/>
      <c r="N477" s="61"/>
      <c r="O477" s="61"/>
      <c r="P477" s="61"/>
      <c r="Q477" s="61"/>
      <c r="R477" s="61"/>
      <c r="S477" s="62"/>
      <c r="T477" s="62"/>
      <c r="U477" s="62"/>
    </row>
    <row r="478" spans="2:21" ht="15.75" customHeight="1" x14ac:dyDescent="0.3">
      <c r="B478" s="36"/>
      <c r="C478" s="36"/>
      <c r="D478" s="6"/>
      <c r="E478" s="36"/>
      <c r="F478" s="36"/>
      <c r="G478" s="6"/>
      <c r="H478" s="37"/>
      <c r="I478" s="36"/>
      <c r="J478" s="36"/>
      <c r="K478" s="60"/>
      <c r="M478" s="61"/>
      <c r="N478" s="61"/>
      <c r="O478" s="61"/>
      <c r="P478" s="61"/>
      <c r="Q478" s="61"/>
      <c r="R478" s="61"/>
      <c r="S478" s="62"/>
      <c r="T478" s="62"/>
      <c r="U478" s="62"/>
    </row>
    <row r="479" spans="2:21" ht="15.75" customHeight="1" x14ac:dyDescent="0.3">
      <c r="B479" s="36"/>
      <c r="C479" s="36"/>
      <c r="D479" s="6"/>
      <c r="E479" s="36"/>
      <c r="F479" s="36"/>
      <c r="G479" s="6"/>
      <c r="H479" s="37"/>
      <c r="I479" s="36"/>
      <c r="J479" s="36"/>
      <c r="K479" s="60"/>
      <c r="M479" s="61"/>
      <c r="N479" s="61"/>
      <c r="O479" s="61"/>
      <c r="P479" s="61"/>
      <c r="Q479" s="61"/>
      <c r="R479" s="61"/>
      <c r="S479" s="62"/>
      <c r="T479" s="62"/>
      <c r="U479" s="62"/>
    </row>
    <row r="480" spans="2:21" ht="15.75" customHeight="1" x14ac:dyDescent="0.3">
      <c r="B480" s="36"/>
      <c r="C480" s="36"/>
      <c r="D480" s="6"/>
      <c r="E480" s="36"/>
      <c r="F480" s="36"/>
      <c r="G480" s="6"/>
      <c r="H480" s="37"/>
      <c r="I480" s="36"/>
      <c r="J480" s="36"/>
      <c r="K480" s="60"/>
      <c r="M480" s="61"/>
      <c r="N480" s="61"/>
      <c r="O480" s="61"/>
      <c r="P480" s="61"/>
      <c r="Q480" s="61"/>
      <c r="R480" s="61"/>
      <c r="S480" s="62"/>
      <c r="T480" s="62"/>
      <c r="U480" s="62"/>
    </row>
    <row r="481" spans="2:21" ht="15.75" customHeight="1" x14ac:dyDescent="0.3">
      <c r="B481" s="36"/>
      <c r="C481" s="36"/>
      <c r="D481" s="6"/>
      <c r="E481" s="36"/>
      <c r="F481" s="36"/>
      <c r="G481" s="6"/>
      <c r="H481" s="37"/>
      <c r="I481" s="36"/>
      <c r="J481" s="36"/>
      <c r="K481" s="60"/>
      <c r="M481" s="61"/>
      <c r="N481" s="61"/>
      <c r="O481" s="61"/>
      <c r="P481" s="61"/>
      <c r="Q481" s="61"/>
      <c r="R481" s="61"/>
      <c r="S481" s="62"/>
      <c r="T481" s="62"/>
      <c r="U481" s="62"/>
    </row>
    <row r="482" spans="2:21" ht="15.75" customHeight="1" x14ac:dyDescent="0.3">
      <c r="B482" s="36"/>
      <c r="C482" s="36"/>
      <c r="D482" s="6"/>
      <c r="E482" s="36"/>
      <c r="F482" s="36"/>
      <c r="G482" s="6"/>
      <c r="H482" s="37"/>
      <c r="I482" s="36"/>
      <c r="J482" s="36"/>
      <c r="K482" s="60"/>
      <c r="M482" s="61"/>
      <c r="N482" s="61"/>
      <c r="O482" s="61"/>
      <c r="P482" s="61"/>
      <c r="Q482" s="61"/>
      <c r="R482" s="61"/>
      <c r="S482" s="62"/>
      <c r="T482" s="62"/>
      <c r="U482" s="62"/>
    </row>
    <row r="483" spans="2:21" ht="15.75" customHeight="1" x14ac:dyDescent="0.3">
      <c r="B483" s="36"/>
      <c r="C483" s="36"/>
      <c r="D483" s="6"/>
      <c r="E483" s="36"/>
      <c r="F483" s="36"/>
      <c r="G483" s="6"/>
      <c r="H483" s="37"/>
      <c r="I483" s="36"/>
      <c r="J483" s="36"/>
      <c r="K483" s="60"/>
      <c r="M483" s="61"/>
      <c r="N483" s="61"/>
      <c r="O483" s="61"/>
      <c r="P483" s="61"/>
      <c r="Q483" s="61"/>
      <c r="R483" s="61"/>
      <c r="S483" s="62"/>
      <c r="T483" s="62"/>
      <c r="U483" s="62"/>
    </row>
    <row r="484" spans="2:21" ht="15.75" customHeight="1" x14ac:dyDescent="0.3">
      <c r="B484" s="36"/>
      <c r="C484" s="36"/>
      <c r="D484" s="6"/>
      <c r="E484" s="36"/>
      <c r="F484" s="36"/>
      <c r="G484" s="6"/>
      <c r="H484" s="37"/>
      <c r="I484" s="36"/>
      <c r="J484" s="36"/>
      <c r="K484" s="60"/>
      <c r="M484" s="61"/>
      <c r="N484" s="61"/>
      <c r="O484" s="61"/>
      <c r="P484" s="61"/>
      <c r="Q484" s="61"/>
      <c r="R484" s="61"/>
      <c r="S484" s="62"/>
      <c r="T484" s="62"/>
      <c r="U484" s="62"/>
    </row>
    <row r="485" spans="2:21" ht="15.75" customHeight="1" x14ac:dyDescent="0.3">
      <c r="B485" s="36"/>
      <c r="C485" s="36"/>
      <c r="D485" s="6"/>
      <c r="E485" s="36"/>
      <c r="F485" s="36"/>
      <c r="G485" s="6"/>
      <c r="H485" s="37"/>
      <c r="I485" s="36"/>
      <c r="J485" s="36"/>
      <c r="K485" s="60"/>
      <c r="M485" s="61"/>
      <c r="N485" s="61"/>
      <c r="O485" s="61"/>
      <c r="P485" s="61"/>
      <c r="Q485" s="61"/>
      <c r="R485" s="61"/>
      <c r="S485" s="62"/>
      <c r="T485" s="62"/>
      <c r="U485" s="62"/>
    </row>
    <row r="486" spans="2:21" ht="15.75" customHeight="1" x14ac:dyDescent="0.3">
      <c r="B486" s="36"/>
      <c r="C486" s="36"/>
      <c r="D486" s="6"/>
      <c r="E486" s="36"/>
      <c r="F486" s="36"/>
      <c r="G486" s="6"/>
      <c r="H486" s="37"/>
      <c r="I486" s="36"/>
      <c r="J486" s="36"/>
      <c r="K486" s="60"/>
      <c r="M486" s="61"/>
      <c r="N486" s="61"/>
      <c r="O486" s="61"/>
      <c r="P486" s="61"/>
      <c r="Q486" s="61"/>
      <c r="R486" s="61"/>
      <c r="S486" s="62"/>
      <c r="T486" s="62"/>
      <c r="U486" s="62"/>
    </row>
    <row r="487" spans="2:21" ht="15.75" customHeight="1" x14ac:dyDescent="0.3">
      <c r="B487" s="36"/>
      <c r="C487" s="36"/>
      <c r="D487" s="6"/>
      <c r="E487" s="36"/>
      <c r="F487" s="36"/>
      <c r="G487" s="6"/>
      <c r="H487" s="37"/>
      <c r="I487" s="36"/>
      <c r="J487" s="36"/>
      <c r="K487" s="60"/>
      <c r="M487" s="61"/>
      <c r="N487" s="61"/>
      <c r="O487" s="61"/>
      <c r="P487" s="61"/>
      <c r="Q487" s="61"/>
      <c r="R487" s="61"/>
      <c r="S487" s="62"/>
      <c r="T487" s="62"/>
      <c r="U487" s="62"/>
    </row>
    <row r="488" spans="2:21" ht="15.75" customHeight="1" x14ac:dyDescent="0.3">
      <c r="B488" s="36"/>
      <c r="C488" s="36"/>
      <c r="D488" s="6"/>
      <c r="E488" s="36"/>
      <c r="F488" s="36"/>
      <c r="G488" s="6"/>
      <c r="H488" s="37"/>
      <c r="I488" s="36"/>
      <c r="J488" s="36"/>
      <c r="K488" s="60"/>
      <c r="M488" s="61"/>
      <c r="N488" s="61"/>
      <c r="O488" s="61"/>
      <c r="P488" s="61"/>
      <c r="Q488" s="61"/>
      <c r="R488" s="61"/>
      <c r="S488" s="62"/>
      <c r="T488" s="62"/>
      <c r="U488" s="62"/>
    </row>
    <row r="489" spans="2:21" ht="15.75" customHeight="1" x14ac:dyDescent="0.3">
      <c r="B489" s="36"/>
      <c r="C489" s="36"/>
      <c r="D489" s="6"/>
      <c r="E489" s="36"/>
      <c r="F489" s="36"/>
      <c r="G489" s="6"/>
      <c r="H489" s="37"/>
      <c r="I489" s="36"/>
      <c r="J489" s="36"/>
      <c r="K489" s="60"/>
      <c r="M489" s="61"/>
      <c r="N489" s="61"/>
      <c r="O489" s="61"/>
      <c r="P489" s="61"/>
      <c r="Q489" s="61"/>
      <c r="R489" s="61"/>
      <c r="S489" s="62"/>
      <c r="T489" s="62"/>
      <c r="U489" s="62"/>
    </row>
    <row r="490" spans="2:21" ht="15.75" customHeight="1" x14ac:dyDescent="0.3">
      <c r="B490" s="36"/>
      <c r="C490" s="36"/>
      <c r="D490" s="6"/>
      <c r="E490" s="36"/>
      <c r="F490" s="36"/>
      <c r="G490" s="6"/>
      <c r="H490" s="37"/>
      <c r="I490" s="36"/>
      <c r="J490" s="36"/>
      <c r="K490" s="60"/>
      <c r="M490" s="61"/>
      <c r="N490" s="61"/>
      <c r="O490" s="61"/>
      <c r="P490" s="61"/>
      <c r="Q490" s="61"/>
      <c r="R490" s="61"/>
      <c r="S490" s="62"/>
      <c r="T490" s="62"/>
      <c r="U490" s="62"/>
    </row>
    <row r="491" spans="2:21" ht="15.75" customHeight="1" x14ac:dyDescent="0.3">
      <c r="B491" s="36"/>
      <c r="C491" s="36"/>
      <c r="D491" s="6"/>
      <c r="E491" s="36"/>
      <c r="F491" s="36"/>
      <c r="G491" s="6"/>
      <c r="H491" s="37"/>
      <c r="I491" s="36"/>
      <c r="J491" s="36"/>
      <c r="K491" s="60"/>
      <c r="M491" s="61"/>
      <c r="N491" s="61"/>
      <c r="O491" s="61"/>
      <c r="P491" s="61"/>
      <c r="Q491" s="61"/>
      <c r="R491" s="61"/>
      <c r="S491" s="62"/>
      <c r="T491" s="62"/>
      <c r="U491" s="62"/>
    </row>
    <row r="492" spans="2:21" ht="15.75" customHeight="1" x14ac:dyDescent="0.3">
      <c r="B492" s="36"/>
      <c r="C492" s="36"/>
      <c r="D492" s="6"/>
      <c r="E492" s="36"/>
      <c r="F492" s="36"/>
      <c r="G492" s="6"/>
      <c r="H492" s="37"/>
      <c r="I492" s="36"/>
      <c r="J492" s="36"/>
      <c r="K492" s="60"/>
      <c r="M492" s="61"/>
      <c r="N492" s="61"/>
      <c r="O492" s="61"/>
      <c r="P492" s="61"/>
      <c r="Q492" s="61"/>
      <c r="R492" s="61"/>
      <c r="S492" s="62"/>
      <c r="T492" s="62"/>
      <c r="U492" s="62"/>
    </row>
    <row r="493" spans="2:21" ht="15.75" customHeight="1" x14ac:dyDescent="0.3">
      <c r="B493" s="36"/>
      <c r="C493" s="36"/>
      <c r="D493" s="6"/>
      <c r="E493" s="36"/>
      <c r="F493" s="36"/>
      <c r="G493" s="6"/>
      <c r="H493" s="37"/>
      <c r="I493" s="36"/>
      <c r="J493" s="36"/>
      <c r="K493" s="60"/>
      <c r="M493" s="61"/>
      <c r="N493" s="61"/>
      <c r="O493" s="61"/>
      <c r="P493" s="61"/>
      <c r="Q493" s="61"/>
      <c r="R493" s="61"/>
      <c r="S493" s="62"/>
      <c r="T493" s="62"/>
      <c r="U493" s="62"/>
    </row>
    <row r="494" spans="2:21" ht="15.75" customHeight="1" x14ac:dyDescent="0.3">
      <c r="B494" s="36"/>
      <c r="C494" s="36"/>
      <c r="D494" s="6"/>
      <c r="E494" s="36"/>
      <c r="F494" s="36"/>
      <c r="G494" s="6"/>
      <c r="H494" s="37"/>
      <c r="I494" s="36"/>
      <c r="J494" s="36"/>
      <c r="K494" s="60"/>
      <c r="M494" s="61"/>
      <c r="N494" s="61"/>
      <c r="O494" s="61"/>
      <c r="P494" s="61"/>
      <c r="Q494" s="61"/>
      <c r="R494" s="61"/>
      <c r="S494" s="62"/>
      <c r="T494" s="62"/>
      <c r="U494" s="62"/>
    </row>
    <row r="495" spans="2:21" ht="15.75" customHeight="1" x14ac:dyDescent="0.3">
      <c r="B495" s="36"/>
      <c r="C495" s="36"/>
      <c r="D495" s="6"/>
      <c r="E495" s="36"/>
      <c r="F495" s="36"/>
      <c r="G495" s="6"/>
      <c r="H495" s="37"/>
      <c r="I495" s="36"/>
      <c r="J495" s="36"/>
      <c r="K495" s="60"/>
      <c r="M495" s="61"/>
      <c r="N495" s="61"/>
      <c r="O495" s="61"/>
      <c r="P495" s="61"/>
      <c r="Q495" s="61"/>
      <c r="R495" s="61"/>
      <c r="S495" s="62"/>
      <c r="T495" s="62"/>
      <c r="U495" s="62"/>
    </row>
    <row r="496" spans="2:21" ht="15.75" customHeight="1" x14ac:dyDescent="0.3">
      <c r="B496" s="36"/>
      <c r="C496" s="36"/>
      <c r="D496" s="6"/>
      <c r="E496" s="36"/>
      <c r="F496" s="36"/>
      <c r="G496" s="6"/>
      <c r="H496" s="37"/>
      <c r="I496" s="36"/>
      <c r="J496" s="36"/>
      <c r="K496" s="60"/>
      <c r="M496" s="61"/>
      <c r="N496" s="61"/>
      <c r="O496" s="61"/>
      <c r="P496" s="61"/>
      <c r="Q496" s="61"/>
      <c r="R496" s="61"/>
      <c r="S496" s="62"/>
      <c r="T496" s="62"/>
      <c r="U496" s="62"/>
    </row>
    <row r="497" spans="2:21" ht="15.75" customHeight="1" x14ac:dyDescent="0.3">
      <c r="B497" s="36"/>
      <c r="C497" s="36"/>
      <c r="D497" s="6"/>
      <c r="E497" s="36"/>
      <c r="F497" s="36"/>
      <c r="G497" s="6"/>
      <c r="H497" s="37"/>
      <c r="I497" s="36"/>
      <c r="J497" s="36"/>
      <c r="K497" s="60"/>
      <c r="M497" s="61"/>
      <c r="N497" s="61"/>
      <c r="O497" s="61"/>
      <c r="P497" s="61"/>
      <c r="Q497" s="61"/>
      <c r="R497" s="61"/>
      <c r="S497" s="62"/>
      <c r="T497" s="62"/>
      <c r="U497" s="62"/>
    </row>
    <row r="498" spans="2:21" ht="15.75" customHeight="1" x14ac:dyDescent="0.3">
      <c r="B498" s="36"/>
      <c r="C498" s="36"/>
      <c r="D498" s="6"/>
      <c r="E498" s="36"/>
      <c r="F498" s="36"/>
      <c r="G498" s="6"/>
      <c r="H498" s="37"/>
      <c r="I498" s="36"/>
      <c r="J498" s="36"/>
      <c r="K498" s="60"/>
      <c r="M498" s="61"/>
      <c r="N498" s="61"/>
      <c r="O498" s="61"/>
      <c r="P498" s="61"/>
      <c r="Q498" s="61"/>
      <c r="R498" s="61"/>
      <c r="S498" s="62"/>
      <c r="T498" s="62"/>
      <c r="U498" s="62"/>
    </row>
    <row r="499" spans="2:21" ht="15.75" customHeight="1" x14ac:dyDescent="0.3">
      <c r="B499" s="36"/>
      <c r="C499" s="36"/>
      <c r="D499" s="6"/>
      <c r="E499" s="36"/>
      <c r="F499" s="36"/>
      <c r="G499" s="6"/>
      <c r="H499" s="37"/>
      <c r="I499" s="36"/>
      <c r="J499" s="36"/>
      <c r="K499" s="60"/>
      <c r="M499" s="61"/>
      <c r="N499" s="61"/>
      <c r="O499" s="61"/>
      <c r="P499" s="61"/>
      <c r="Q499" s="61"/>
      <c r="R499" s="61"/>
      <c r="S499" s="62"/>
      <c r="T499" s="62"/>
      <c r="U499" s="62"/>
    </row>
    <row r="500" spans="2:21" ht="15.75" customHeight="1" x14ac:dyDescent="0.3">
      <c r="B500" s="36"/>
      <c r="C500" s="36"/>
      <c r="D500" s="6"/>
      <c r="E500" s="36"/>
      <c r="F500" s="36"/>
      <c r="G500" s="6"/>
      <c r="H500" s="37"/>
      <c r="I500" s="36"/>
      <c r="J500" s="36"/>
      <c r="K500" s="60"/>
      <c r="M500" s="61"/>
      <c r="N500" s="61"/>
      <c r="O500" s="61"/>
      <c r="P500" s="61"/>
      <c r="Q500" s="61"/>
      <c r="R500" s="61"/>
      <c r="S500" s="62"/>
      <c r="T500" s="62"/>
      <c r="U500" s="62"/>
    </row>
    <row r="501" spans="2:21" ht="15.75" customHeight="1" x14ac:dyDescent="0.3">
      <c r="B501" s="36"/>
      <c r="C501" s="36"/>
      <c r="D501" s="6"/>
      <c r="E501" s="36"/>
      <c r="F501" s="36"/>
      <c r="G501" s="6"/>
      <c r="H501" s="37"/>
      <c r="I501" s="36"/>
      <c r="J501" s="36"/>
      <c r="K501" s="60"/>
      <c r="M501" s="61"/>
      <c r="N501" s="61"/>
      <c r="O501" s="61"/>
      <c r="P501" s="61"/>
      <c r="Q501" s="61"/>
      <c r="R501" s="61"/>
      <c r="S501" s="62"/>
      <c r="T501" s="62"/>
      <c r="U501" s="62"/>
    </row>
    <row r="502" spans="2:21" ht="15.75" customHeight="1" x14ac:dyDescent="0.3">
      <c r="B502" s="36"/>
      <c r="C502" s="36"/>
      <c r="D502" s="6"/>
      <c r="E502" s="36"/>
      <c r="F502" s="36"/>
      <c r="G502" s="6"/>
      <c r="H502" s="37"/>
      <c r="I502" s="36"/>
      <c r="J502" s="36"/>
      <c r="K502" s="60"/>
      <c r="M502" s="61"/>
      <c r="N502" s="61"/>
      <c r="O502" s="61"/>
      <c r="P502" s="61"/>
      <c r="Q502" s="61"/>
      <c r="R502" s="61"/>
      <c r="S502" s="62"/>
      <c r="T502" s="62"/>
      <c r="U502" s="62"/>
    </row>
    <row r="503" spans="2:21" ht="15.75" customHeight="1" x14ac:dyDescent="0.3">
      <c r="B503" s="36"/>
      <c r="C503" s="36"/>
      <c r="D503" s="6"/>
      <c r="E503" s="36"/>
      <c r="F503" s="36"/>
      <c r="G503" s="6"/>
      <c r="H503" s="37"/>
      <c r="I503" s="36"/>
      <c r="J503" s="36"/>
      <c r="K503" s="60"/>
      <c r="M503" s="61"/>
      <c r="N503" s="61"/>
      <c r="O503" s="61"/>
      <c r="P503" s="61"/>
      <c r="Q503" s="61"/>
      <c r="R503" s="61"/>
      <c r="S503" s="62"/>
      <c r="T503" s="62"/>
      <c r="U503" s="62"/>
    </row>
    <row r="504" spans="2:21" ht="15.75" customHeight="1" x14ac:dyDescent="0.3">
      <c r="B504" s="36"/>
      <c r="C504" s="36"/>
      <c r="D504" s="6"/>
      <c r="E504" s="36"/>
      <c r="F504" s="36"/>
      <c r="G504" s="6"/>
      <c r="H504" s="37"/>
      <c r="I504" s="36"/>
      <c r="J504" s="36"/>
      <c r="K504" s="60"/>
      <c r="M504" s="61"/>
      <c r="N504" s="61"/>
      <c r="O504" s="61"/>
      <c r="P504" s="61"/>
      <c r="Q504" s="61"/>
      <c r="R504" s="61"/>
      <c r="S504" s="62"/>
      <c r="T504" s="62"/>
      <c r="U504" s="62"/>
    </row>
    <row r="505" spans="2:21" ht="15.75" customHeight="1" x14ac:dyDescent="0.3">
      <c r="B505" s="36"/>
      <c r="C505" s="36"/>
      <c r="D505" s="6"/>
      <c r="E505" s="36"/>
      <c r="F505" s="36"/>
      <c r="G505" s="6"/>
      <c r="H505" s="37"/>
      <c r="I505" s="36"/>
      <c r="J505" s="36"/>
      <c r="K505" s="60"/>
      <c r="M505" s="61"/>
      <c r="N505" s="61"/>
      <c r="O505" s="61"/>
      <c r="P505" s="61"/>
      <c r="Q505" s="61"/>
      <c r="R505" s="61"/>
      <c r="S505" s="62"/>
      <c r="T505" s="62"/>
      <c r="U505" s="62"/>
    </row>
    <row r="506" spans="2:21" ht="15.75" customHeight="1" x14ac:dyDescent="0.3">
      <c r="B506" s="36"/>
      <c r="C506" s="36"/>
      <c r="D506" s="6"/>
      <c r="E506" s="36"/>
      <c r="F506" s="36"/>
      <c r="G506" s="6"/>
      <c r="H506" s="37"/>
      <c r="I506" s="36"/>
      <c r="J506" s="36"/>
      <c r="K506" s="60"/>
      <c r="M506" s="61"/>
      <c r="N506" s="61"/>
      <c r="O506" s="61"/>
      <c r="P506" s="61"/>
      <c r="Q506" s="61"/>
      <c r="R506" s="61"/>
      <c r="S506" s="62"/>
      <c r="T506" s="62"/>
      <c r="U506" s="62"/>
    </row>
    <row r="507" spans="2:21" ht="15.75" customHeight="1" x14ac:dyDescent="0.3">
      <c r="B507" s="36"/>
      <c r="C507" s="36"/>
      <c r="D507" s="6"/>
      <c r="E507" s="36"/>
      <c r="F507" s="36"/>
      <c r="G507" s="6"/>
      <c r="H507" s="37"/>
      <c r="I507" s="36"/>
      <c r="J507" s="36"/>
      <c r="K507" s="60"/>
      <c r="M507" s="61"/>
      <c r="N507" s="61"/>
      <c r="O507" s="61"/>
      <c r="P507" s="61"/>
      <c r="Q507" s="61"/>
      <c r="R507" s="61"/>
      <c r="S507" s="62"/>
      <c r="T507" s="62"/>
      <c r="U507" s="62"/>
    </row>
    <row r="508" spans="2:21" ht="15.75" customHeight="1" x14ac:dyDescent="0.3">
      <c r="B508" s="36"/>
      <c r="C508" s="36"/>
      <c r="D508" s="6"/>
      <c r="E508" s="36"/>
      <c r="F508" s="36"/>
      <c r="G508" s="6"/>
      <c r="H508" s="37"/>
      <c r="I508" s="36"/>
      <c r="J508" s="36"/>
      <c r="K508" s="60"/>
      <c r="M508" s="61"/>
      <c r="N508" s="61"/>
      <c r="O508" s="61"/>
      <c r="P508" s="61"/>
      <c r="Q508" s="61"/>
      <c r="R508" s="61"/>
      <c r="S508" s="62"/>
      <c r="T508" s="62"/>
      <c r="U508" s="62"/>
    </row>
    <row r="509" spans="2:21" ht="15.75" customHeight="1" x14ac:dyDescent="0.3">
      <c r="B509" s="36"/>
      <c r="C509" s="36"/>
      <c r="D509" s="6"/>
      <c r="E509" s="36"/>
      <c r="F509" s="36"/>
      <c r="G509" s="6"/>
      <c r="H509" s="37"/>
      <c r="I509" s="36"/>
      <c r="J509" s="36"/>
      <c r="K509" s="60"/>
      <c r="M509" s="61"/>
      <c r="N509" s="61"/>
      <c r="O509" s="61"/>
      <c r="P509" s="61"/>
      <c r="Q509" s="61"/>
      <c r="R509" s="61"/>
      <c r="S509" s="62"/>
      <c r="T509" s="62"/>
      <c r="U509" s="62"/>
    </row>
    <row r="510" spans="2:21" ht="15.75" customHeight="1" x14ac:dyDescent="0.3">
      <c r="B510" s="36"/>
      <c r="C510" s="36"/>
      <c r="D510" s="6"/>
      <c r="E510" s="36"/>
      <c r="F510" s="36"/>
      <c r="G510" s="6"/>
      <c r="H510" s="37"/>
      <c r="I510" s="36"/>
      <c r="J510" s="36"/>
      <c r="K510" s="60"/>
      <c r="M510" s="61"/>
      <c r="N510" s="61"/>
      <c r="O510" s="61"/>
      <c r="P510" s="61"/>
      <c r="Q510" s="61"/>
      <c r="R510" s="61"/>
      <c r="S510" s="62"/>
      <c r="T510" s="62"/>
      <c r="U510" s="62"/>
    </row>
    <row r="511" spans="2:21" ht="15.75" customHeight="1" x14ac:dyDescent="0.3">
      <c r="B511" s="36"/>
      <c r="C511" s="36"/>
      <c r="D511" s="6"/>
      <c r="E511" s="36"/>
      <c r="F511" s="36"/>
      <c r="G511" s="6"/>
      <c r="H511" s="37"/>
      <c r="I511" s="36"/>
      <c r="J511" s="36"/>
      <c r="K511" s="60"/>
      <c r="M511" s="61"/>
      <c r="N511" s="61"/>
      <c r="O511" s="61"/>
      <c r="P511" s="61"/>
      <c r="Q511" s="61"/>
      <c r="R511" s="61"/>
      <c r="S511" s="62"/>
      <c r="T511" s="62"/>
      <c r="U511" s="62"/>
    </row>
    <row r="512" spans="2:21" ht="15.75" customHeight="1" x14ac:dyDescent="0.3">
      <c r="B512" s="36"/>
      <c r="C512" s="36"/>
      <c r="D512" s="6"/>
      <c r="E512" s="36"/>
      <c r="F512" s="36"/>
      <c r="G512" s="6"/>
      <c r="H512" s="37"/>
      <c r="I512" s="36"/>
      <c r="J512" s="36"/>
      <c r="K512" s="60"/>
      <c r="M512" s="61"/>
      <c r="N512" s="61"/>
      <c r="O512" s="61"/>
      <c r="P512" s="61"/>
      <c r="Q512" s="61"/>
      <c r="R512" s="61"/>
      <c r="S512" s="62"/>
      <c r="T512" s="62"/>
      <c r="U512" s="62"/>
    </row>
    <row r="513" spans="2:21" ht="15.75" customHeight="1" x14ac:dyDescent="0.3">
      <c r="B513" s="36"/>
      <c r="C513" s="36"/>
      <c r="D513" s="6"/>
      <c r="E513" s="36"/>
      <c r="F513" s="36"/>
      <c r="G513" s="6"/>
      <c r="H513" s="37"/>
      <c r="I513" s="36"/>
      <c r="J513" s="36"/>
      <c r="K513" s="60"/>
      <c r="M513" s="61"/>
      <c r="N513" s="61"/>
      <c r="O513" s="61"/>
      <c r="P513" s="61"/>
      <c r="Q513" s="61"/>
      <c r="R513" s="61"/>
      <c r="S513" s="62"/>
      <c r="T513" s="62"/>
      <c r="U513" s="62"/>
    </row>
    <row r="514" spans="2:21" ht="15.75" customHeight="1" x14ac:dyDescent="0.3">
      <c r="B514" s="36"/>
      <c r="C514" s="36"/>
      <c r="D514" s="6"/>
      <c r="E514" s="36"/>
      <c r="F514" s="36"/>
      <c r="G514" s="6"/>
      <c r="H514" s="37"/>
      <c r="I514" s="36"/>
      <c r="J514" s="36"/>
      <c r="K514" s="60"/>
      <c r="M514" s="61"/>
      <c r="N514" s="61"/>
      <c r="O514" s="61"/>
      <c r="P514" s="61"/>
      <c r="Q514" s="61"/>
      <c r="R514" s="61"/>
      <c r="S514" s="62"/>
      <c r="T514" s="62"/>
      <c r="U514" s="62"/>
    </row>
    <row r="515" spans="2:21" ht="15.75" customHeight="1" x14ac:dyDescent="0.3">
      <c r="B515" s="36"/>
      <c r="C515" s="36"/>
      <c r="D515" s="6"/>
      <c r="E515" s="36"/>
      <c r="F515" s="36"/>
      <c r="G515" s="6"/>
      <c r="H515" s="37"/>
      <c r="I515" s="36"/>
      <c r="J515" s="36"/>
      <c r="K515" s="60"/>
      <c r="M515" s="61"/>
      <c r="N515" s="61"/>
      <c r="O515" s="61"/>
      <c r="P515" s="61"/>
      <c r="Q515" s="61"/>
      <c r="R515" s="61"/>
      <c r="S515" s="62"/>
      <c r="T515" s="62"/>
      <c r="U515" s="62"/>
    </row>
    <row r="516" spans="2:21" ht="15.75" customHeight="1" x14ac:dyDescent="0.3">
      <c r="B516" s="36"/>
      <c r="C516" s="36"/>
      <c r="D516" s="6"/>
      <c r="E516" s="36"/>
      <c r="F516" s="36"/>
      <c r="G516" s="6"/>
      <c r="H516" s="37"/>
      <c r="I516" s="36"/>
      <c r="J516" s="36"/>
      <c r="K516" s="60"/>
      <c r="M516" s="61"/>
      <c r="N516" s="61"/>
      <c r="O516" s="61"/>
      <c r="P516" s="61"/>
      <c r="Q516" s="61"/>
      <c r="R516" s="61"/>
      <c r="S516" s="62"/>
      <c r="T516" s="62"/>
      <c r="U516" s="62"/>
    </row>
    <row r="517" spans="2:21" ht="15.75" customHeight="1" x14ac:dyDescent="0.3">
      <c r="B517" s="36"/>
      <c r="C517" s="36"/>
      <c r="D517" s="6"/>
      <c r="E517" s="36"/>
      <c r="F517" s="36"/>
      <c r="G517" s="6"/>
      <c r="H517" s="37"/>
      <c r="I517" s="36"/>
      <c r="J517" s="36"/>
      <c r="K517" s="60"/>
      <c r="M517" s="61"/>
      <c r="N517" s="61"/>
      <c r="O517" s="61"/>
      <c r="P517" s="61"/>
      <c r="Q517" s="61"/>
      <c r="R517" s="61"/>
      <c r="S517" s="62"/>
      <c r="T517" s="62"/>
      <c r="U517" s="62"/>
    </row>
    <row r="518" spans="2:21" ht="15.75" customHeight="1" x14ac:dyDescent="0.3">
      <c r="B518" s="36"/>
      <c r="C518" s="36"/>
      <c r="D518" s="6"/>
      <c r="E518" s="36"/>
      <c r="F518" s="36"/>
      <c r="G518" s="6"/>
      <c r="H518" s="37"/>
      <c r="I518" s="36"/>
      <c r="J518" s="36"/>
      <c r="K518" s="60"/>
      <c r="M518" s="61"/>
      <c r="N518" s="61"/>
      <c r="O518" s="61"/>
      <c r="P518" s="61"/>
      <c r="Q518" s="61"/>
      <c r="R518" s="61"/>
      <c r="S518" s="62"/>
      <c r="T518" s="62"/>
      <c r="U518" s="62"/>
    </row>
    <row r="519" spans="2:21" ht="15.75" customHeight="1" x14ac:dyDescent="0.3">
      <c r="B519" s="36"/>
      <c r="C519" s="36"/>
      <c r="D519" s="6"/>
      <c r="E519" s="36"/>
      <c r="F519" s="36"/>
      <c r="G519" s="6"/>
      <c r="H519" s="37"/>
      <c r="I519" s="36"/>
      <c r="J519" s="36"/>
      <c r="K519" s="60"/>
      <c r="M519" s="61"/>
      <c r="N519" s="61"/>
      <c r="O519" s="61"/>
      <c r="P519" s="61"/>
      <c r="Q519" s="61"/>
      <c r="R519" s="61"/>
      <c r="S519" s="62"/>
      <c r="T519" s="62"/>
      <c r="U519" s="62"/>
    </row>
    <row r="520" spans="2:21" ht="15.75" customHeight="1" x14ac:dyDescent="0.3">
      <c r="B520" s="36"/>
      <c r="C520" s="36"/>
      <c r="D520" s="6"/>
      <c r="E520" s="36"/>
      <c r="F520" s="36"/>
      <c r="G520" s="6"/>
      <c r="H520" s="37"/>
      <c r="I520" s="36"/>
      <c r="J520" s="36"/>
      <c r="K520" s="60"/>
      <c r="M520" s="61"/>
      <c r="N520" s="61"/>
      <c r="O520" s="61"/>
      <c r="P520" s="61"/>
      <c r="Q520" s="61"/>
      <c r="R520" s="61"/>
      <c r="S520" s="62"/>
      <c r="T520" s="62"/>
      <c r="U520" s="62"/>
    </row>
    <row r="521" spans="2:21" ht="15.75" customHeight="1" x14ac:dyDescent="0.3">
      <c r="B521" s="36"/>
      <c r="C521" s="36"/>
      <c r="D521" s="6"/>
      <c r="E521" s="36"/>
      <c r="F521" s="36"/>
      <c r="G521" s="6"/>
      <c r="H521" s="37"/>
      <c r="I521" s="36"/>
      <c r="J521" s="36"/>
      <c r="K521" s="60"/>
      <c r="M521" s="61"/>
      <c r="N521" s="61"/>
      <c r="O521" s="61"/>
      <c r="P521" s="61"/>
      <c r="Q521" s="61"/>
      <c r="R521" s="61"/>
      <c r="S521" s="62"/>
      <c r="T521" s="62"/>
      <c r="U521" s="62"/>
    </row>
    <row r="522" spans="2:21" ht="15.75" customHeight="1" x14ac:dyDescent="0.3">
      <c r="B522" s="36"/>
      <c r="C522" s="36"/>
      <c r="D522" s="6"/>
      <c r="E522" s="36"/>
      <c r="F522" s="36"/>
      <c r="G522" s="6"/>
      <c r="H522" s="37"/>
      <c r="I522" s="36"/>
      <c r="J522" s="36"/>
      <c r="K522" s="60"/>
      <c r="M522" s="61"/>
      <c r="N522" s="61"/>
      <c r="O522" s="61"/>
      <c r="P522" s="61"/>
      <c r="Q522" s="61"/>
      <c r="R522" s="61"/>
      <c r="S522" s="62"/>
      <c r="T522" s="62"/>
      <c r="U522" s="62"/>
    </row>
    <row r="523" spans="2:21" ht="15.75" customHeight="1" x14ac:dyDescent="0.3">
      <c r="B523" s="36"/>
      <c r="C523" s="36"/>
      <c r="D523" s="6"/>
      <c r="E523" s="36"/>
      <c r="F523" s="36"/>
      <c r="G523" s="6"/>
      <c r="H523" s="37"/>
      <c r="I523" s="36"/>
      <c r="J523" s="36"/>
      <c r="K523" s="60"/>
      <c r="M523" s="61"/>
      <c r="N523" s="61"/>
      <c r="O523" s="61"/>
      <c r="P523" s="61"/>
      <c r="Q523" s="61"/>
      <c r="R523" s="61"/>
      <c r="S523" s="62"/>
      <c r="T523" s="62"/>
      <c r="U523" s="62"/>
    </row>
    <row r="524" spans="2:21" ht="15.75" customHeight="1" x14ac:dyDescent="0.3">
      <c r="B524" s="36"/>
      <c r="C524" s="36"/>
      <c r="D524" s="6"/>
      <c r="E524" s="36"/>
      <c r="F524" s="36"/>
      <c r="G524" s="6"/>
      <c r="H524" s="37"/>
      <c r="I524" s="36"/>
      <c r="J524" s="36"/>
      <c r="K524" s="60"/>
      <c r="M524" s="61"/>
      <c r="N524" s="61"/>
      <c r="O524" s="61"/>
      <c r="P524" s="61"/>
      <c r="Q524" s="61"/>
      <c r="R524" s="61"/>
      <c r="S524" s="62"/>
      <c r="T524" s="62"/>
      <c r="U524" s="62"/>
    </row>
    <row r="525" spans="2:21" ht="15.75" customHeight="1" x14ac:dyDescent="0.3">
      <c r="B525" s="36"/>
      <c r="C525" s="36"/>
      <c r="D525" s="6"/>
      <c r="E525" s="36"/>
      <c r="F525" s="36"/>
      <c r="G525" s="6"/>
      <c r="H525" s="37"/>
      <c r="I525" s="36"/>
      <c r="J525" s="36"/>
      <c r="K525" s="60"/>
      <c r="M525" s="61"/>
      <c r="N525" s="61"/>
      <c r="O525" s="61"/>
      <c r="P525" s="61"/>
      <c r="Q525" s="61"/>
      <c r="R525" s="61"/>
      <c r="S525" s="62"/>
      <c r="T525" s="62"/>
      <c r="U525" s="62"/>
    </row>
    <row r="526" spans="2:21" ht="15.75" customHeight="1" x14ac:dyDescent="0.3">
      <c r="B526" s="36"/>
      <c r="C526" s="36"/>
      <c r="D526" s="6"/>
      <c r="E526" s="36"/>
      <c r="F526" s="36"/>
      <c r="G526" s="6"/>
      <c r="H526" s="37"/>
      <c r="I526" s="36"/>
      <c r="J526" s="36"/>
      <c r="K526" s="60"/>
      <c r="M526" s="61"/>
      <c r="N526" s="61"/>
      <c r="O526" s="61"/>
      <c r="P526" s="61"/>
      <c r="Q526" s="61"/>
      <c r="R526" s="61"/>
      <c r="S526" s="62"/>
      <c r="T526" s="62"/>
      <c r="U526" s="62"/>
    </row>
    <row r="527" spans="2:21" ht="15.75" customHeight="1" x14ac:dyDescent="0.3">
      <c r="B527" s="36"/>
      <c r="C527" s="36"/>
      <c r="D527" s="6"/>
      <c r="E527" s="36"/>
      <c r="F527" s="36"/>
      <c r="G527" s="6"/>
      <c r="H527" s="37"/>
      <c r="I527" s="36"/>
      <c r="J527" s="36"/>
      <c r="K527" s="60"/>
      <c r="M527" s="61"/>
      <c r="N527" s="61"/>
      <c r="O527" s="61"/>
      <c r="P527" s="61"/>
      <c r="Q527" s="61"/>
      <c r="R527" s="61"/>
      <c r="S527" s="62"/>
      <c r="T527" s="62"/>
      <c r="U527" s="62"/>
    </row>
    <row r="528" spans="2:21" ht="15.75" customHeight="1" x14ac:dyDescent="0.3">
      <c r="B528" s="36"/>
      <c r="C528" s="36"/>
      <c r="D528" s="6"/>
      <c r="E528" s="36"/>
      <c r="F528" s="36"/>
      <c r="G528" s="6"/>
      <c r="H528" s="37"/>
      <c r="I528" s="36"/>
      <c r="J528" s="36"/>
      <c r="K528" s="60"/>
      <c r="M528" s="61"/>
      <c r="N528" s="61"/>
      <c r="O528" s="61"/>
      <c r="P528" s="61"/>
      <c r="Q528" s="61"/>
      <c r="R528" s="61"/>
      <c r="S528" s="62"/>
      <c r="T528" s="62"/>
      <c r="U528" s="62"/>
    </row>
    <row r="529" spans="2:21" ht="15.75" customHeight="1" x14ac:dyDescent="0.3">
      <c r="B529" s="36"/>
      <c r="C529" s="36"/>
      <c r="D529" s="6"/>
      <c r="E529" s="36"/>
      <c r="F529" s="36"/>
      <c r="G529" s="6"/>
      <c r="H529" s="37"/>
      <c r="I529" s="36"/>
      <c r="J529" s="36"/>
      <c r="K529" s="60"/>
      <c r="M529" s="61"/>
      <c r="N529" s="61"/>
      <c r="O529" s="61"/>
      <c r="P529" s="61"/>
      <c r="Q529" s="61"/>
      <c r="R529" s="61"/>
      <c r="S529" s="62"/>
      <c r="T529" s="62"/>
      <c r="U529" s="62"/>
    </row>
    <row r="530" spans="2:21" ht="15.75" customHeight="1" x14ac:dyDescent="0.3">
      <c r="B530" s="36"/>
      <c r="C530" s="36"/>
      <c r="D530" s="6"/>
      <c r="E530" s="36"/>
      <c r="F530" s="36"/>
      <c r="G530" s="6"/>
      <c r="H530" s="37"/>
      <c r="I530" s="36"/>
      <c r="J530" s="36"/>
      <c r="K530" s="60"/>
      <c r="M530" s="61"/>
      <c r="N530" s="61"/>
      <c r="O530" s="61"/>
      <c r="P530" s="61"/>
      <c r="Q530" s="61"/>
      <c r="R530" s="61"/>
      <c r="S530" s="62"/>
      <c r="T530" s="62"/>
      <c r="U530" s="62"/>
    </row>
    <row r="531" spans="2:21" ht="15.75" customHeight="1" x14ac:dyDescent="0.3">
      <c r="B531" s="36"/>
      <c r="C531" s="36"/>
      <c r="D531" s="6"/>
      <c r="E531" s="36"/>
      <c r="F531" s="36"/>
      <c r="G531" s="6"/>
      <c r="H531" s="37"/>
      <c r="I531" s="36"/>
      <c r="J531" s="36"/>
      <c r="K531" s="60"/>
      <c r="M531" s="61"/>
      <c r="N531" s="61"/>
      <c r="O531" s="61"/>
      <c r="P531" s="61"/>
      <c r="Q531" s="61"/>
      <c r="R531" s="61"/>
      <c r="S531" s="62"/>
      <c r="T531" s="62"/>
      <c r="U531" s="62"/>
    </row>
    <row r="532" spans="2:21" ht="15.75" customHeight="1" x14ac:dyDescent="0.3">
      <c r="B532" s="36"/>
      <c r="C532" s="36"/>
      <c r="D532" s="6"/>
      <c r="E532" s="36"/>
      <c r="F532" s="36"/>
      <c r="G532" s="6"/>
      <c r="H532" s="37"/>
      <c r="I532" s="36"/>
      <c r="J532" s="36"/>
      <c r="K532" s="60"/>
      <c r="M532" s="61"/>
      <c r="N532" s="61"/>
      <c r="O532" s="61"/>
      <c r="P532" s="61"/>
      <c r="Q532" s="61"/>
      <c r="R532" s="61"/>
      <c r="S532" s="62"/>
      <c r="T532" s="62"/>
      <c r="U532" s="62"/>
    </row>
    <row r="533" spans="2:21" ht="15.75" customHeight="1" x14ac:dyDescent="0.3">
      <c r="B533" s="36"/>
      <c r="C533" s="36"/>
      <c r="D533" s="6"/>
      <c r="E533" s="36"/>
      <c r="F533" s="36"/>
      <c r="G533" s="6"/>
      <c r="H533" s="37"/>
      <c r="I533" s="36"/>
      <c r="J533" s="36"/>
      <c r="K533" s="60"/>
      <c r="M533" s="61"/>
      <c r="N533" s="61"/>
      <c r="O533" s="61"/>
      <c r="P533" s="61"/>
      <c r="Q533" s="61"/>
      <c r="R533" s="61"/>
      <c r="S533" s="62"/>
      <c r="T533" s="62"/>
      <c r="U533" s="62"/>
    </row>
    <row r="534" spans="2:21" ht="15.75" customHeight="1" x14ac:dyDescent="0.3">
      <c r="B534" s="36"/>
      <c r="C534" s="36"/>
      <c r="D534" s="6"/>
      <c r="E534" s="36"/>
      <c r="F534" s="36"/>
      <c r="G534" s="6"/>
      <c r="H534" s="37"/>
      <c r="I534" s="36"/>
      <c r="J534" s="36"/>
      <c r="K534" s="60"/>
      <c r="M534" s="61"/>
      <c r="N534" s="61"/>
      <c r="O534" s="61"/>
      <c r="P534" s="61"/>
      <c r="Q534" s="61"/>
      <c r="R534" s="61"/>
      <c r="S534" s="62"/>
      <c r="T534" s="62"/>
      <c r="U534" s="62"/>
    </row>
    <row r="535" spans="2:21" ht="15.75" customHeight="1" x14ac:dyDescent="0.3">
      <c r="B535" s="36"/>
      <c r="C535" s="36"/>
      <c r="D535" s="6"/>
      <c r="E535" s="36"/>
      <c r="F535" s="36"/>
      <c r="G535" s="6"/>
      <c r="H535" s="37"/>
      <c r="I535" s="36"/>
      <c r="J535" s="36"/>
      <c r="K535" s="60"/>
      <c r="M535" s="61"/>
      <c r="N535" s="61"/>
      <c r="O535" s="61"/>
      <c r="P535" s="61"/>
      <c r="Q535" s="61"/>
      <c r="R535" s="61"/>
      <c r="S535" s="62"/>
      <c r="T535" s="62"/>
      <c r="U535" s="62"/>
    </row>
    <row r="536" spans="2:21" ht="15.75" customHeight="1" x14ac:dyDescent="0.3">
      <c r="B536" s="36"/>
      <c r="C536" s="36"/>
      <c r="D536" s="6"/>
      <c r="E536" s="36"/>
      <c r="F536" s="36"/>
      <c r="G536" s="6"/>
      <c r="H536" s="37"/>
      <c r="I536" s="36"/>
      <c r="J536" s="36"/>
      <c r="K536" s="60"/>
      <c r="M536" s="61"/>
      <c r="N536" s="61"/>
      <c r="O536" s="61"/>
      <c r="P536" s="61"/>
      <c r="Q536" s="61"/>
      <c r="R536" s="61"/>
      <c r="S536" s="62"/>
      <c r="T536" s="62"/>
      <c r="U536" s="62"/>
    </row>
    <row r="537" spans="2:21" ht="15.75" customHeight="1" x14ac:dyDescent="0.3">
      <c r="B537" s="36"/>
      <c r="C537" s="36"/>
      <c r="D537" s="6"/>
      <c r="E537" s="36"/>
      <c r="F537" s="36"/>
      <c r="G537" s="6"/>
      <c r="H537" s="37"/>
      <c r="I537" s="36"/>
      <c r="J537" s="36"/>
      <c r="K537" s="60"/>
      <c r="M537" s="61"/>
      <c r="N537" s="61"/>
      <c r="O537" s="61"/>
      <c r="P537" s="61"/>
      <c r="Q537" s="61"/>
      <c r="R537" s="61"/>
      <c r="S537" s="62"/>
      <c r="T537" s="62"/>
      <c r="U537" s="62"/>
    </row>
    <row r="538" spans="2:21" ht="15.75" customHeight="1" x14ac:dyDescent="0.3">
      <c r="B538" s="36"/>
      <c r="C538" s="36"/>
      <c r="D538" s="6"/>
      <c r="E538" s="36"/>
      <c r="F538" s="36"/>
      <c r="G538" s="6"/>
      <c r="H538" s="37"/>
      <c r="I538" s="36"/>
      <c r="J538" s="36"/>
      <c r="K538" s="60"/>
      <c r="M538" s="61"/>
      <c r="N538" s="61"/>
      <c r="O538" s="61"/>
      <c r="P538" s="61"/>
      <c r="Q538" s="61"/>
      <c r="R538" s="61"/>
      <c r="S538" s="62"/>
      <c r="T538" s="62"/>
      <c r="U538" s="62"/>
    </row>
    <row r="539" spans="2:21" ht="15.75" customHeight="1" x14ac:dyDescent="0.3">
      <c r="B539" s="36"/>
      <c r="C539" s="36"/>
      <c r="D539" s="6"/>
      <c r="E539" s="36"/>
      <c r="F539" s="36"/>
      <c r="G539" s="6"/>
      <c r="H539" s="37"/>
      <c r="I539" s="36"/>
      <c r="J539" s="36"/>
      <c r="K539" s="60"/>
      <c r="M539" s="61"/>
      <c r="N539" s="61"/>
      <c r="O539" s="61"/>
      <c r="P539" s="61"/>
      <c r="Q539" s="61"/>
      <c r="R539" s="61"/>
      <c r="S539" s="62"/>
      <c r="T539" s="62"/>
      <c r="U539" s="62"/>
    </row>
    <row r="540" spans="2:21" ht="15.75" customHeight="1" x14ac:dyDescent="0.3">
      <c r="B540" s="36"/>
      <c r="C540" s="36"/>
      <c r="D540" s="6"/>
      <c r="E540" s="36"/>
      <c r="F540" s="36"/>
      <c r="G540" s="6"/>
      <c r="H540" s="37"/>
      <c r="I540" s="36"/>
      <c r="J540" s="36"/>
      <c r="K540" s="60"/>
      <c r="M540" s="61"/>
      <c r="N540" s="61"/>
      <c r="O540" s="61"/>
      <c r="P540" s="61"/>
      <c r="Q540" s="61"/>
      <c r="R540" s="61"/>
      <c r="S540" s="62"/>
      <c r="T540" s="62"/>
      <c r="U540" s="62"/>
    </row>
    <row r="541" spans="2:21" ht="15.75" customHeight="1" x14ac:dyDescent="0.3">
      <c r="B541" s="36"/>
      <c r="C541" s="36"/>
      <c r="D541" s="6"/>
      <c r="E541" s="36"/>
      <c r="F541" s="36"/>
      <c r="G541" s="6"/>
      <c r="H541" s="37"/>
      <c r="I541" s="36"/>
      <c r="J541" s="36"/>
      <c r="K541" s="60"/>
      <c r="M541" s="61"/>
      <c r="N541" s="61"/>
      <c r="O541" s="61"/>
      <c r="P541" s="61"/>
      <c r="Q541" s="61"/>
      <c r="R541" s="61"/>
      <c r="S541" s="62"/>
      <c r="T541" s="62"/>
      <c r="U541" s="62"/>
    </row>
    <row r="542" spans="2:21" ht="15.75" customHeight="1" x14ac:dyDescent="0.3">
      <c r="B542" s="36"/>
      <c r="C542" s="36"/>
      <c r="D542" s="6"/>
      <c r="E542" s="36"/>
      <c r="F542" s="36"/>
      <c r="G542" s="6"/>
      <c r="H542" s="37"/>
      <c r="I542" s="36"/>
      <c r="J542" s="36"/>
      <c r="K542" s="60"/>
      <c r="M542" s="61"/>
      <c r="N542" s="61"/>
      <c r="O542" s="61"/>
      <c r="P542" s="61"/>
      <c r="Q542" s="61"/>
      <c r="R542" s="61"/>
      <c r="S542" s="62"/>
      <c r="T542" s="62"/>
      <c r="U542" s="62"/>
    </row>
    <row r="543" spans="2:21" ht="15.75" customHeight="1" x14ac:dyDescent="0.3">
      <c r="B543" s="36"/>
      <c r="C543" s="36"/>
      <c r="D543" s="6"/>
      <c r="E543" s="36"/>
      <c r="F543" s="36"/>
      <c r="G543" s="6"/>
      <c r="H543" s="37"/>
      <c r="I543" s="36"/>
      <c r="J543" s="36"/>
      <c r="K543" s="60"/>
      <c r="M543" s="61"/>
      <c r="N543" s="61"/>
      <c r="O543" s="61"/>
      <c r="P543" s="61"/>
      <c r="Q543" s="61"/>
      <c r="R543" s="61"/>
      <c r="S543" s="62"/>
      <c r="T543" s="62"/>
      <c r="U543" s="62"/>
    </row>
    <row r="544" spans="2:21" ht="15.75" customHeight="1" x14ac:dyDescent="0.3">
      <c r="B544" s="36"/>
      <c r="C544" s="36"/>
      <c r="D544" s="6"/>
      <c r="E544" s="36"/>
      <c r="F544" s="36"/>
      <c r="G544" s="6"/>
      <c r="H544" s="37"/>
      <c r="I544" s="36"/>
      <c r="J544" s="36"/>
      <c r="K544" s="60"/>
      <c r="M544" s="61"/>
      <c r="N544" s="61"/>
      <c r="O544" s="61"/>
      <c r="P544" s="61"/>
      <c r="Q544" s="61"/>
      <c r="R544" s="61"/>
      <c r="S544" s="62"/>
      <c r="T544" s="62"/>
      <c r="U544" s="62"/>
    </row>
    <row r="545" spans="2:21" ht="15.75" customHeight="1" x14ac:dyDescent="0.3">
      <c r="B545" s="36"/>
      <c r="C545" s="36"/>
      <c r="D545" s="6"/>
      <c r="E545" s="36"/>
      <c r="F545" s="36"/>
      <c r="G545" s="6"/>
      <c r="H545" s="37"/>
      <c r="I545" s="36"/>
      <c r="J545" s="36"/>
      <c r="K545" s="60"/>
      <c r="M545" s="61"/>
      <c r="N545" s="61"/>
      <c r="O545" s="61"/>
      <c r="P545" s="61"/>
      <c r="Q545" s="61"/>
      <c r="R545" s="61"/>
      <c r="S545" s="62"/>
      <c r="T545" s="62"/>
      <c r="U545" s="62"/>
    </row>
    <row r="546" spans="2:21" ht="15.75" customHeight="1" x14ac:dyDescent="0.3">
      <c r="B546" s="36"/>
      <c r="C546" s="36"/>
      <c r="D546" s="6"/>
      <c r="E546" s="36"/>
      <c r="F546" s="36"/>
      <c r="G546" s="6"/>
      <c r="H546" s="37"/>
      <c r="I546" s="36"/>
      <c r="J546" s="36"/>
      <c r="K546" s="60"/>
      <c r="M546" s="61"/>
      <c r="N546" s="61"/>
      <c r="O546" s="61"/>
      <c r="P546" s="61"/>
      <c r="Q546" s="61"/>
      <c r="R546" s="61"/>
      <c r="S546" s="62"/>
      <c r="T546" s="62"/>
      <c r="U546" s="62"/>
    </row>
    <row r="547" spans="2:21" ht="15.75" customHeight="1" x14ac:dyDescent="0.3">
      <c r="B547" s="36"/>
      <c r="C547" s="36"/>
      <c r="D547" s="6"/>
      <c r="E547" s="36"/>
      <c r="F547" s="36"/>
      <c r="G547" s="6"/>
      <c r="H547" s="37"/>
      <c r="I547" s="36"/>
      <c r="J547" s="36"/>
      <c r="K547" s="60"/>
      <c r="M547" s="61"/>
      <c r="N547" s="61"/>
      <c r="O547" s="61"/>
      <c r="P547" s="61"/>
      <c r="Q547" s="61"/>
      <c r="R547" s="61"/>
      <c r="S547" s="62"/>
      <c r="T547" s="62"/>
      <c r="U547" s="62"/>
    </row>
    <row r="548" spans="2:21" ht="15.75" customHeight="1" x14ac:dyDescent="0.3">
      <c r="B548" s="36"/>
      <c r="C548" s="36"/>
      <c r="D548" s="6"/>
      <c r="E548" s="36"/>
      <c r="F548" s="36"/>
      <c r="G548" s="6"/>
      <c r="H548" s="37"/>
      <c r="I548" s="36"/>
      <c r="J548" s="36"/>
      <c r="K548" s="60"/>
      <c r="M548" s="61"/>
      <c r="N548" s="61"/>
      <c r="O548" s="61"/>
      <c r="P548" s="61"/>
      <c r="Q548" s="61"/>
      <c r="R548" s="61"/>
      <c r="S548" s="62"/>
      <c r="T548" s="62"/>
      <c r="U548" s="62"/>
    </row>
    <row r="549" spans="2:21" ht="15.75" customHeight="1" x14ac:dyDescent="0.3">
      <c r="B549" s="36"/>
      <c r="C549" s="36"/>
      <c r="D549" s="6"/>
      <c r="E549" s="36"/>
      <c r="F549" s="36"/>
      <c r="G549" s="6"/>
      <c r="H549" s="37"/>
      <c r="I549" s="36"/>
      <c r="J549" s="36"/>
      <c r="K549" s="60"/>
      <c r="M549" s="61"/>
      <c r="N549" s="61"/>
      <c r="O549" s="61"/>
      <c r="P549" s="61"/>
      <c r="Q549" s="61"/>
      <c r="R549" s="61"/>
      <c r="S549" s="62"/>
      <c r="T549" s="62"/>
      <c r="U549" s="62"/>
    </row>
    <row r="550" spans="2:21" ht="15.75" customHeight="1" x14ac:dyDescent="0.3">
      <c r="B550" s="36"/>
      <c r="C550" s="36"/>
      <c r="D550" s="6"/>
      <c r="E550" s="36"/>
      <c r="F550" s="36"/>
      <c r="G550" s="6"/>
      <c r="H550" s="37"/>
      <c r="I550" s="36"/>
      <c r="J550" s="36"/>
      <c r="K550" s="60"/>
      <c r="M550" s="61"/>
      <c r="N550" s="61"/>
      <c r="O550" s="61"/>
      <c r="P550" s="61"/>
      <c r="Q550" s="61"/>
      <c r="R550" s="61"/>
      <c r="S550" s="62"/>
      <c r="T550" s="62"/>
      <c r="U550" s="62"/>
    </row>
    <row r="551" spans="2:21" ht="15.75" customHeight="1" x14ac:dyDescent="0.3">
      <c r="B551" s="36"/>
      <c r="C551" s="36"/>
      <c r="D551" s="6"/>
      <c r="E551" s="36"/>
      <c r="F551" s="36"/>
      <c r="G551" s="6"/>
      <c r="H551" s="37"/>
      <c r="I551" s="36"/>
      <c r="J551" s="36"/>
      <c r="K551" s="60"/>
      <c r="M551" s="61"/>
      <c r="N551" s="61"/>
      <c r="O551" s="61"/>
      <c r="P551" s="61"/>
      <c r="Q551" s="61"/>
      <c r="R551" s="61"/>
      <c r="S551" s="62"/>
      <c r="T551" s="62"/>
      <c r="U551" s="62"/>
    </row>
    <row r="552" spans="2:21" ht="15.75" customHeight="1" x14ac:dyDescent="0.3">
      <c r="B552" s="36"/>
      <c r="C552" s="36"/>
      <c r="D552" s="6"/>
      <c r="E552" s="36"/>
      <c r="F552" s="36"/>
      <c r="G552" s="6"/>
      <c r="H552" s="37"/>
      <c r="I552" s="36"/>
      <c r="J552" s="36"/>
      <c r="K552" s="60"/>
      <c r="M552" s="61"/>
      <c r="N552" s="61"/>
      <c r="O552" s="61"/>
      <c r="P552" s="61"/>
      <c r="Q552" s="61"/>
      <c r="R552" s="61"/>
      <c r="S552" s="62"/>
      <c r="T552" s="62"/>
      <c r="U552" s="62"/>
    </row>
    <row r="553" spans="2:21" ht="15.75" customHeight="1" x14ac:dyDescent="0.3">
      <c r="B553" s="36"/>
      <c r="C553" s="36"/>
      <c r="D553" s="6"/>
      <c r="E553" s="36"/>
      <c r="F553" s="36"/>
      <c r="G553" s="6"/>
      <c r="H553" s="37"/>
      <c r="I553" s="36"/>
      <c r="J553" s="36"/>
      <c r="K553" s="60"/>
      <c r="M553" s="61"/>
      <c r="N553" s="61"/>
      <c r="O553" s="61"/>
      <c r="P553" s="61"/>
      <c r="Q553" s="61"/>
      <c r="R553" s="61"/>
      <c r="S553" s="62"/>
      <c r="T553" s="62"/>
      <c r="U553" s="62"/>
    </row>
    <row r="554" spans="2:21" ht="15.75" customHeight="1" x14ac:dyDescent="0.3">
      <c r="B554" s="36"/>
      <c r="C554" s="36"/>
      <c r="D554" s="6"/>
      <c r="E554" s="36"/>
      <c r="F554" s="36"/>
      <c r="G554" s="6"/>
      <c r="H554" s="37"/>
      <c r="I554" s="36"/>
      <c r="J554" s="36"/>
      <c r="K554" s="60"/>
      <c r="M554" s="61"/>
      <c r="N554" s="61"/>
      <c r="O554" s="61"/>
      <c r="P554" s="61"/>
      <c r="Q554" s="61"/>
      <c r="R554" s="61"/>
      <c r="S554" s="62"/>
      <c r="T554" s="62"/>
      <c r="U554" s="62"/>
    </row>
    <row r="555" spans="2:21" ht="15.75" customHeight="1" x14ac:dyDescent="0.3">
      <c r="B555" s="36"/>
      <c r="C555" s="36"/>
      <c r="D555" s="6"/>
      <c r="E555" s="36"/>
      <c r="F555" s="36"/>
      <c r="G555" s="6"/>
      <c r="H555" s="37"/>
      <c r="I555" s="36"/>
      <c r="J555" s="36"/>
      <c r="K555" s="60"/>
      <c r="M555" s="61"/>
      <c r="N555" s="61"/>
      <c r="O555" s="61"/>
      <c r="P555" s="61"/>
      <c r="Q555" s="61"/>
      <c r="R555" s="61"/>
      <c r="S555" s="62"/>
      <c r="T555" s="62"/>
      <c r="U555" s="62"/>
    </row>
    <row r="556" spans="2:21" ht="15.75" customHeight="1" x14ac:dyDescent="0.3">
      <c r="B556" s="36"/>
      <c r="C556" s="36"/>
      <c r="D556" s="6"/>
      <c r="E556" s="36"/>
      <c r="F556" s="36"/>
      <c r="G556" s="6"/>
      <c r="H556" s="37"/>
      <c r="I556" s="36"/>
      <c r="J556" s="36"/>
      <c r="K556" s="60"/>
      <c r="M556" s="61"/>
      <c r="N556" s="61"/>
      <c r="O556" s="61"/>
      <c r="P556" s="61"/>
      <c r="Q556" s="61"/>
      <c r="R556" s="61"/>
      <c r="S556" s="62"/>
      <c r="T556" s="62"/>
      <c r="U556" s="62"/>
    </row>
    <row r="557" spans="2:21" ht="15.75" customHeight="1" x14ac:dyDescent="0.3">
      <c r="B557" s="36"/>
      <c r="C557" s="36"/>
      <c r="D557" s="6"/>
      <c r="E557" s="36"/>
      <c r="F557" s="36"/>
      <c r="G557" s="6"/>
      <c r="H557" s="37"/>
      <c r="I557" s="36"/>
      <c r="J557" s="36"/>
      <c r="K557" s="60"/>
      <c r="M557" s="61"/>
      <c r="N557" s="61"/>
      <c r="O557" s="61"/>
      <c r="P557" s="61"/>
      <c r="Q557" s="61"/>
      <c r="R557" s="61"/>
      <c r="S557" s="62"/>
      <c r="T557" s="62"/>
      <c r="U557" s="62"/>
    </row>
    <row r="558" spans="2:21" ht="15.75" customHeight="1" x14ac:dyDescent="0.3">
      <c r="B558" s="36"/>
      <c r="C558" s="36"/>
      <c r="D558" s="6"/>
      <c r="E558" s="36"/>
      <c r="F558" s="36"/>
      <c r="G558" s="6"/>
      <c r="H558" s="37"/>
      <c r="I558" s="36"/>
      <c r="J558" s="36"/>
      <c r="K558" s="60"/>
      <c r="M558" s="61"/>
      <c r="N558" s="61"/>
      <c r="O558" s="61"/>
      <c r="P558" s="61"/>
      <c r="Q558" s="61"/>
      <c r="R558" s="61"/>
      <c r="S558" s="62"/>
      <c r="T558" s="62"/>
      <c r="U558" s="62"/>
    </row>
    <row r="559" spans="2:21" ht="15.75" customHeight="1" x14ac:dyDescent="0.3">
      <c r="B559" s="36"/>
      <c r="C559" s="36"/>
      <c r="D559" s="6"/>
      <c r="E559" s="36"/>
      <c r="F559" s="36"/>
      <c r="G559" s="6"/>
      <c r="H559" s="37"/>
      <c r="I559" s="36"/>
      <c r="J559" s="36"/>
      <c r="K559" s="60"/>
      <c r="M559" s="61"/>
      <c r="N559" s="61"/>
      <c r="O559" s="61"/>
      <c r="P559" s="61"/>
      <c r="Q559" s="61"/>
      <c r="R559" s="61"/>
      <c r="S559" s="62"/>
      <c r="T559" s="62"/>
      <c r="U559" s="62"/>
    </row>
    <row r="560" spans="2:21" ht="15.75" customHeight="1" x14ac:dyDescent="0.3">
      <c r="B560" s="36"/>
      <c r="C560" s="36"/>
      <c r="D560" s="6"/>
      <c r="E560" s="36"/>
      <c r="F560" s="36"/>
      <c r="G560" s="6"/>
      <c r="H560" s="37"/>
      <c r="I560" s="36"/>
      <c r="J560" s="36"/>
      <c r="K560" s="60"/>
      <c r="M560" s="61"/>
      <c r="N560" s="61"/>
      <c r="O560" s="61"/>
      <c r="P560" s="61"/>
      <c r="Q560" s="61"/>
      <c r="R560" s="61"/>
      <c r="S560" s="62"/>
      <c r="T560" s="62"/>
      <c r="U560" s="62"/>
    </row>
    <row r="561" spans="2:21" ht="15.75" customHeight="1" x14ac:dyDescent="0.3">
      <c r="B561" s="36"/>
      <c r="C561" s="36"/>
      <c r="D561" s="6"/>
      <c r="E561" s="36"/>
      <c r="F561" s="36"/>
      <c r="G561" s="6"/>
      <c r="H561" s="37"/>
      <c r="I561" s="36"/>
      <c r="J561" s="36"/>
      <c r="K561" s="60"/>
      <c r="M561" s="61"/>
      <c r="N561" s="61"/>
      <c r="O561" s="61"/>
      <c r="P561" s="61"/>
      <c r="Q561" s="61"/>
      <c r="R561" s="61"/>
      <c r="S561" s="62"/>
      <c r="T561" s="62"/>
      <c r="U561" s="62"/>
    </row>
    <row r="562" spans="2:21" ht="15.75" customHeight="1" x14ac:dyDescent="0.3">
      <c r="B562" s="36"/>
      <c r="C562" s="36"/>
      <c r="D562" s="6"/>
      <c r="E562" s="36"/>
      <c r="F562" s="36"/>
      <c r="G562" s="6"/>
      <c r="H562" s="37"/>
      <c r="I562" s="36"/>
      <c r="J562" s="36"/>
      <c r="K562" s="60"/>
      <c r="M562" s="61"/>
      <c r="N562" s="61"/>
      <c r="O562" s="61"/>
      <c r="P562" s="61"/>
      <c r="Q562" s="61"/>
      <c r="R562" s="61"/>
      <c r="S562" s="62"/>
      <c r="T562" s="62"/>
      <c r="U562" s="62"/>
    </row>
    <row r="563" spans="2:21" ht="15.75" customHeight="1" x14ac:dyDescent="0.3">
      <c r="B563" s="36"/>
      <c r="C563" s="36"/>
      <c r="D563" s="6"/>
      <c r="E563" s="36"/>
      <c r="F563" s="36"/>
      <c r="G563" s="6"/>
      <c r="H563" s="37"/>
      <c r="I563" s="36"/>
      <c r="J563" s="36"/>
      <c r="K563" s="60"/>
      <c r="M563" s="61"/>
      <c r="N563" s="61"/>
      <c r="O563" s="61"/>
      <c r="P563" s="61"/>
      <c r="Q563" s="61"/>
      <c r="R563" s="61"/>
      <c r="S563" s="62"/>
      <c r="T563" s="62"/>
      <c r="U563" s="62"/>
    </row>
    <row r="564" spans="2:21" ht="15.75" customHeight="1" x14ac:dyDescent="0.3">
      <c r="B564" s="36"/>
      <c r="C564" s="36"/>
      <c r="D564" s="6"/>
      <c r="E564" s="36"/>
      <c r="F564" s="36"/>
      <c r="G564" s="6"/>
      <c r="H564" s="37"/>
      <c r="I564" s="36"/>
      <c r="J564" s="36"/>
      <c r="K564" s="60"/>
      <c r="M564" s="61"/>
      <c r="N564" s="61"/>
      <c r="O564" s="61"/>
      <c r="P564" s="61"/>
      <c r="Q564" s="61"/>
      <c r="R564" s="61"/>
      <c r="S564" s="62"/>
      <c r="T564" s="62"/>
      <c r="U564" s="62"/>
    </row>
    <row r="565" spans="2:21" ht="15.75" customHeight="1" x14ac:dyDescent="0.3">
      <c r="B565" s="36"/>
      <c r="C565" s="36"/>
      <c r="D565" s="6"/>
      <c r="E565" s="36"/>
      <c r="F565" s="36"/>
      <c r="G565" s="6"/>
      <c r="H565" s="37"/>
      <c r="I565" s="36"/>
      <c r="J565" s="36"/>
      <c r="K565" s="60"/>
      <c r="M565" s="61"/>
      <c r="N565" s="61"/>
      <c r="O565" s="61"/>
      <c r="P565" s="61"/>
      <c r="Q565" s="61"/>
      <c r="R565" s="61"/>
      <c r="S565" s="62"/>
      <c r="T565" s="62"/>
      <c r="U565" s="62"/>
    </row>
    <row r="566" spans="2:21" ht="15.75" customHeight="1" x14ac:dyDescent="0.3">
      <c r="B566" s="36"/>
      <c r="C566" s="36"/>
      <c r="D566" s="6"/>
      <c r="E566" s="36"/>
      <c r="F566" s="36"/>
      <c r="G566" s="6"/>
      <c r="H566" s="37"/>
      <c r="I566" s="36"/>
      <c r="J566" s="36"/>
      <c r="K566" s="60"/>
      <c r="M566" s="61"/>
      <c r="N566" s="61"/>
      <c r="O566" s="61"/>
      <c r="P566" s="61"/>
      <c r="Q566" s="61"/>
      <c r="R566" s="61"/>
      <c r="S566" s="62"/>
      <c r="T566" s="62"/>
      <c r="U566" s="62"/>
    </row>
    <row r="567" spans="2:21" ht="15.75" customHeight="1" x14ac:dyDescent="0.3">
      <c r="B567" s="36"/>
      <c r="C567" s="36"/>
      <c r="D567" s="6"/>
      <c r="E567" s="36"/>
      <c r="F567" s="36"/>
      <c r="G567" s="6"/>
      <c r="H567" s="37"/>
      <c r="I567" s="36"/>
      <c r="J567" s="36"/>
      <c r="K567" s="60"/>
      <c r="M567" s="61"/>
      <c r="N567" s="61"/>
      <c r="O567" s="61"/>
      <c r="P567" s="61"/>
      <c r="Q567" s="61"/>
      <c r="R567" s="61"/>
      <c r="S567" s="62"/>
      <c r="T567" s="62"/>
      <c r="U567" s="62"/>
    </row>
    <row r="568" spans="2:21" ht="15.75" customHeight="1" x14ac:dyDescent="0.3">
      <c r="B568" s="36"/>
      <c r="C568" s="36"/>
      <c r="D568" s="6"/>
      <c r="E568" s="36"/>
      <c r="F568" s="36"/>
      <c r="G568" s="6"/>
      <c r="H568" s="37"/>
      <c r="I568" s="36"/>
      <c r="J568" s="36"/>
      <c r="K568" s="60"/>
      <c r="M568" s="61"/>
      <c r="N568" s="61"/>
      <c r="O568" s="61"/>
      <c r="P568" s="61"/>
      <c r="Q568" s="61"/>
      <c r="R568" s="61"/>
      <c r="S568" s="62"/>
      <c r="T568" s="62"/>
      <c r="U568" s="62"/>
    </row>
    <row r="569" spans="2:21" ht="15.75" customHeight="1" x14ac:dyDescent="0.3">
      <c r="B569" s="36"/>
      <c r="C569" s="36"/>
      <c r="D569" s="6"/>
      <c r="E569" s="36"/>
      <c r="F569" s="36"/>
      <c r="G569" s="6"/>
      <c r="H569" s="37"/>
      <c r="I569" s="36"/>
      <c r="J569" s="36"/>
      <c r="K569" s="60"/>
      <c r="M569" s="61"/>
      <c r="N569" s="61"/>
      <c r="O569" s="61"/>
      <c r="P569" s="61"/>
      <c r="Q569" s="61"/>
      <c r="R569" s="61"/>
      <c r="S569" s="62"/>
      <c r="T569" s="62"/>
      <c r="U569" s="62"/>
    </row>
    <row r="570" spans="2:21" ht="15.75" customHeight="1" x14ac:dyDescent="0.3">
      <c r="B570" s="36"/>
      <c r="C570" s="36"/>
      <c r="D570" s="6"/>
      <c r="E570" s="36"/>
      <c r="F570" s="36"/>
      <c r="G570" s="6"/>
      <c r="H570" s="37"/>
      <c r="I570" s="36"/>
      <c r="J570" s="36"/>
      <c r="K570" s="60"/>
      <c r="M570" s="61"/>
      <c r="N570" s="61"/>
      <c r="O570" s="61"/>
      <c r="P570" s="61"/>
      <c r="Q570" s="61"/>
      <c r="R570" s="61"/>
      <c r="S570" s="62"/>
      <c r="T570" s="62"/>
      <c r="U570" s="62"/>
    </row>
    <row r="571" spans="2:21" ht="15.75" customHeight="1" x14ac:dyDescent="0.3">
      <c r="B571" s="36"/>
      <c r="C571" s="36"/>
      <c r="D571" s="6"/>
      <c r="E571" s="36"/>
      <c r="F571" s="36"/>
      <c r="G571" s="6"/>
      <c r="H571" s="37"/>
      <c r="I571" s="36"/>
      <c r="J571" s="36"/>
      <c r="K571" s="60"/>
      <c r="M571" s="61"/>
      <c r="N571" s="61"/>
      <c r="O571" s="61"/>
      <c r="P571" s="61"/>
      <c r="Q571" s="61"/>
      <c r="R571" s="61"/>
      <c r="S571" s="62"/>
      <c r="T571" s="62"/>
      <c r="U571" s="62"/>
    </row>
    <row r="572" spans="2:21" ht="15.75" customHeight="1" x14ac:dyDescent="0.3">
      <c r="B572" s="36"/>
      <c r="C572" s="36"/>
      <c r="D572" s="6"/>
      <c r="E572" s="36"/>
      <c r="F572" s="36"/>
      <c r="G572" s="6"/>
      <c r="H572" s="37"/>
      <c r="I572" s="36"/>
      <c r="J572" s="36"/>
      <c r="K572" s="60"/>
      <c r="M572" s="61"/>
      <c r="N572" s="61"/>
      <c r="O572" s="61"/>
      <c r="P572" s="61"/>
      <c r="Q572" s="61"/>
      <c r="R572" s="61"/>
      <c r="S572" s="62"/>
      <c r="T572" s="62"/>
      <c r="U572" s="62"/>
    </row>
    <row r="573" spans="2:21" ht="15.75" customHeight="1" x14ac:dyDescent="0.3">
      <c r="B573" s="36"/>
      <c r="C573" s="36"/>
      <c r="D573" s="6"/>
      <c r="E573" s="36"/>
      <c r="F573" s="36"/>
      <c r="G573" s="6"/>
      <c r="H573" s="37"/>
      <c r="I573" s="36"/>
      <c r="J573" s="36"/>
      <c r="K573" s="60"/>
      <c r="M573" s="61"/>
      <c r="N573" s="61"/>
      <c r="O573" s="61"/>
      <c r="P573" s="61"/>
      <c r="Q573" s="61"/>
      <c r="R573" s="61"/>
      <c r="S573" s="62"/>
      <c r="T573" s="62"/>
      <c r="U573" s="62"/>
    </row>
    <row r="574" spans="2:21" ht="15.75" customHeight="1" x14ac:dyDescent="0.3">
      <c r="B574" s="36"/>
      <c r="C574" s="36"/>
      <c r="D574" s="6"/>
      <c r="E574" s="36"/>
      <c r="F574" s="36"/>
      <c r="G574" s="6"/>
      <c r="H574" s="37"/>
      <c r="I574" s="36"/>
      <c r="J574" s="36"/>
      <c r="K574" s="60"/>
      <c r="M574" s="61"/>
      <c r="N574" s="61"/>
      <c r="O574" s="61"/>
      <c r="P574" s="61"/>
      <c r="Q574" s="61"/>
      <c r="R574" s="61"/>
      <c r="S574" s="62"/>
      <c r="T574" s="62"/>
      <c r="U574" s="62"/>
    </row>
    <row r="575" spans="2:21" ht="15.75" customHeight="1" x14ac:dyDescent="0.3">
      <c r="B575" s="36"/>
      <c r="C575" s="36"/>
      <c r="D575" s="6"/>
      <c r="E575" s="36"/>
      <c r="F575" s="36"/>
      <c r="G575" s="6"/>
      <c r="H575" s="37"/>
      <c r="I575" s="36"/>
      <c r="J575" s="36"/>
      <c r="K575" s="60"/>
      <c r="M575" s="61"/>
      <c r="N575" s="61"/>
      <c r="O575" s="61"/>
      <c r="P575" s="61"/>
      <c r="Q575" s="61"/>
      <c r="R575" s="61"/>
      <c r="S575" s="62"/>
      <c r="T575" s="62"/>
      <c r="U575" s="62"/>
    </row>
    <row r="576" spans="2:21" ht="15.75" customHeight="1" x14ac:dyDescent="0.3">
      <c r="B576" s="36"/>
      <c r="C576" s="36"/>
      <c r="D576" s="6"/>
      <c r="E576" s="36"/>
      <c r="F576" s="36"/>
      <c r="G576" s="6"/>
      <c r="H576" s="37"/>
      <c r="I576" s="36"/>
      <c r="J576" s="36"/>
      <c r="K576" s="60"/>
      <c r="M576" s="61"/>
      <c r="N576" s="61"/>
      <c r="O576" s="61"/>
      <c r="P576" s="61"/>
      <c r="Q576" s="61"/>
      <c r="R576" s="61"/>
      <c r="S576" s="62"/>
      <c r="T576" s="62"/>
      <c r="U576" s="62"/>
    </row>
    <row r="577" spans="2:21" ht="15.75" customHeight="1" x14ac:dyDescent="0.3">
      <c r="B577" s="36"/>
      <c r="C577" s="36"/>
      <c r="D577" s="6"/>
      <c r="E577" s="36"/>
      <c r="F577" s="36"/>
      <c r="G577" s="6"/>
      <c r="H577" s="37"/>
      <c r="I577" s="36"/>
      <c r="J577" s="36"/>
      <c r="K577" s="60"/>
      <c r="M577" s="61"/>
      <c r="N577" s="61"/>
      <c r="O577" s="61"/>
      <c r="P577" s="61"/>
      <c r="Q577" s="61"/>
      <c r="R577" s="61"/>
      <c r="S577" s="62"/>
      <c r="T577" s="62"/>
      <c r="U577" s="62"/>
    </row>
    <row r="578" spans="2:21" ht="15.75" customHeight="1" x14ac:dyDescent="0.3">
      <c r="B578" s="36"/>
      <c r="C578" s="36"/>
      <c r="D578" s="6"/>
      <c r="E578" s="36"/>
      <c r="F578" s="36"/>
      <c r="G578" s="6"/>
      <c r="H578" s="37"/>
      <c r="I578" s="36"/>
      <c r="J578" s="36"/>
      <c r="K578" s="60"/>
      <c r="M578" s="61"/>
      <c r="N578" s="61"/>
      <c r="O578" s="61"/>
      <c r="P578" s="61"/>
      <c r="Q578" s="61"/>
      <c r="R578" s="61"/>
      <c r="S578" s="62"/>
      <c r="T578" s="62"/>
      <c r="U578" s="62"/>
    </row>
    <row r="579" spans="2:21" ht="15.75" customHeight="1" x14ac:dyDescent="0.3">
      <c r="B579" s="36"/>
      <c r="C579" s="36"/>
      <c r="D579" s="6"/>
      <c r="E579" s="36"/>
      <c r="F579" s="36"/>
      <c r="G579" s="6"/>
      <c r="H579" s="37"/>
      <c r="I579" s="36"/>
      <c r="J579" s="36"/>
      <c r="K579" s="60"/>
      <c r="M579" s="61"/>
      <c r="N579" s="61"/>
      <c r="O579" s="61"/>
      <c r="P579" s="61"/>
      <c r="Q579" s="61"/>
      <c r="R579" s="61"/>
      <c r="S579" s="62"/>
      <c r="T579" s="62"/>
      <c r="U579" s="62"/>
    </row>
    <row r="580" spans="2:21" ht="15.75" customHeight="1" x14ac:dyDescent="0.3">
      <c r="B580" s="36"/>
      <c r="C580" s="36"/>
      <c r="D580" s="6"/>
      <c r="E580" s="36"/>
      <c r="F580" s="36"/>
      <c r="G580" s="6"/>
      <c r="H580" s="37"/>
      <c r="I580" s="36"/>
      <c r="J580" s="36"/>
      <c r="K580" s="60"/>
      <c r="M580" s="61"/>
      <c r="N580" s="61"/>
      <c r="O580" s="61"/>
      <c r="P580" s="61"/>
      <c r="Q580" s="61"/>
      <c r="R580" s="61"/>
      <c r="S580" s="62"/>
      <c r="T580" s="62"/>
      <c r="U580" s="62"/>
    </row>
    <row r="581" spans="2:21" ht="15.75" customHeight="1" x14ac:dyDescent="0.3">
      <c r="B581" s="36"/>
      <c r="C581" s="36"/>
      <c r="D581" s="6"/>
      <c r="E581" s="36"/>
      <c r="F581" s="36"/>
      <c r="G581" s="6"/>
      <c r="H581" s="37"/>
      <c r="I581" s="36"/>
      <c r="J581" s="36"/>
      <c r="K581" s="60"/>
      <c r="M581" s="61"/>
      <c r="N581" s="61"/>
      <c r="O581" s="61"/>
      <c r="P581" s="61"/>
      <c r="Q581" s="61"/>
      <c r="R581" s="61"/>
      <c r="S581" s="62"/>
      <c r="T581" s="62"/>
      <c r="U581" s="62"/>
    </row>
    <row r="582" spans="2:21" ht="15.75" customHeight="1" x14ac:dyDescent="0.3">
      <c r="B582" s="36"/>
      <c r="C582" s="36"/>
      <c r="D582" s="6"/>
      <c r="E582" s="36"/>
      <c r="F582" s="36"/>
      <c r="G582" s="6"/>
      <c r="H582" s="37"/>
      <c r="I582" s="36"/>
      <c r="J582" s="36"/>
      <c r="K582" s="60"/>
      <c r="M582" s="61"/>
      <c r="N582" s="61"/>
      <c r="O582" s="61"/>
      <c r="P582" s="61"/>
      <c r="Q582" s="61"/>
      <c r="R582" s="61"/>
      <c r="S582" s="62"/>
      <c r="T582" s="62"/>
      <c r="U582" s="62"/>
    </row>
    <row r="583" spans="2:21" ht="15.75" customHeight="1" x14ac:dyDescent="0.3">
      <c r="B583" s="36"/>
      <c r="C583" s="36"/>
      <c r="D583" s="6"/>
      <c r="E583" s="36"/>
      <c r="F583" s="36"/>
      <c r="G583" s="6"/>
      <c r="H583" s="37"/>
      <c r="I583" s="36"/>
      <c r="J583" s="36"/>
      <c r="K583" s="60"/>
      <c r="M583" s="61"/>
      <c r="N583" s="61"/>
      <c r="O583" s="61"/>
      <c r="P583" s="61"/>
      <c r="Q583" s="61"/>
      <c r="R583" s="61"/>
      <c r="S583" s="62"/>
      <c r="T583" s="62"/>
      <c r="U583" s="62"/>
    </row>
    <row r="584" spans="2:21" ht="15.75" customHeight="1" x14ac:dyDescent="0.3">
      <c r="B584" s="36"/>
      <c r="C584" s="36"/>
      <c r="D584" s="6"/>
      <c r="E584" s="36"/>
      <c r="F584" s="36"/>
      <c r="G584" s="6"/>
      <c r="H584" s="37"/>
      <c r="I584" s="36"/>
      <c r="J584" s="36"/>
      <c r="K584" s="60"/>
      <c r="M584" s="61"/>
      <c r="N584" s="61"/>
      <c r="O584" s="61"/>
      <c r="P584" s="61"/>
      <c r="Q584" s="61"/>
      <c r="R584" s="61"/>
      <c r="S584" s="62"/>
      <c r="T584" s="62"/>
      <c r="U584" s="62"/>
    </row>
    <row r="585" spans="2:21" ht="15.75" customHeight="1" x14ac:dyDescent="0.3">
      <c r="B585" s="36"/>
      <c r="C585" s="36"/>
      <c r="D585" s="6"/>
      <c r="E585" s="36"/>
      <c r="F585" s="36"/>
      <c r="G585" s="6"/>
      <c r="H585" s="37"/>
      <c r="I585" s="36"/>
      <c r="J585" s="36"/>
      <c r="K585" s="60"/>
      <c r="M585" s="61"/>
      <c r="N585" s="61"/>
      <c r="O585" s="61"/>
      <c r="P585" s="61"/>
      <c r="Q585" s="61"/>
      <c r="R585" s="61"/>
      <c r="S585" s="62"/>
      <c r="T585" s="62"/>
      <c r="U585" s="62"/>
    </row>
    <row r="586" spans="2:21" ht="15.75" customHeight="1" x14ac:dyDescent="0.3">
      <c r="B586" s="36"/>
      <c r="C586" s="36"/>
      <c r="D586" s="6"/>
      <c r="E586" s="36"/>
      <c r="F586" s="36"/>
      <c r="G586" s="6"/>
      <c r="H586" s="37"/>
      <c r="I586" s="36"/>
      <c r="J586" s="36"/>
      <c r="K586" s="60"/>
      <c r="M586" s="61"/>
      <c r="N586" s="61"/>
      <c r="O586" s="61"/>
      <c r="P586" s="61"/>
      <c r="Q586" s="61"/>
      <c r="R586" s="61"/>
      <c r="S586" s="62"/>
      <c r="T586" s="62"/>
      <c r="U586" s="62"/>
    </row>
    <row r="587" spans="2:21" ht="15.75" customHeight="1" x14ac:dyDescent="0.3">
      <c r="B587" s="36"/>
      <c r="C587" s="36"/>
      <c r="D587" s="6"/>
      <c r="E587" s="36"/>
      <c r="F587" s="36"/>
      <c r="G587" s="6"/>
      <c r="H587" s="37"/>
      <c r="I587" s="36"/>
      <c r="J587" s="36"/>
      <c r="K587" s="60"/>
      <c r="M587" s="61"/>
      <c r="N587" s="61"/>
      <c r="O587" s="61"/>
      <c r="P587" s="61"/>
      <c r="Q587" s="61"/>
      <c r="R587" s="61"/>
      <c r="S587" s="62"/>
      <c r="T587" s="62"/>
      <c r="U587" s="62"/>
    </row>
    <row r="588" spans="2:21" ht="15.75" customHeight="1" x14ac:dyDescent="0.3">
      <c r="B588" s="36"/>
      <c r="C588" s="36"/>
      <c r="D588" s="6"/>
      <c r="E588" s="36"/>
      <c r="F588" s="36"/>
      <c r="G588" s="6"/>
      <c r="H588" s="37"/>
      <c r="I588" s="36"/>
      <c r="J588" s="36"/>
      <c r="K588" s="60"/>
      <c r="M588" s="61"/>
      <c r="N588" s="61"/>
      <c r="O588" s="61"/>
      <c r="P588" s="61"/>
      <c r="Q588" s="61"/>
      <c r="R588" s="61"/>
      <c r="S588" s="62"/>
      <c r="T588" s="62"/>
      <c r="U588" s="62"/>
    </row>
    <row r="589" spans="2:21" ht="15.75" customHeight="1" x14ac:dyDescent="0.3">
      <c r="B589" s="36"/>
      <c r="C589" s="36"/>
      <c r="D589" s="6"/>
      <c r="E589" s="36"/>
      <c r="F589" s="36"/>
      <c r="G589" s="6"/>
      <c r="H589" s="37"/>
      <c r="I589" s="36"/>
      <c r="J589" s="36"/>
      <c r="K589" s="60"/>
      <c r="M589" s="61"/>
      <c r="N589" s="61"/>
      <c r="O589" s="61"/>
      <c r="P589" s="61"/>
      <c r="Q589" s="61"/>
      <c r="R589" s="61"/>
      <c r="S589" s="62"/>
      <c r="T589" s="62"/>
      <c r="U589" s="62"/>
    </row>
    <row r="590" spans="2:21" ht="15.75" customHeight="1" x14ac:dyDescent="0.3">
      <c r="B590" s="36"/>
      <c r="C590" s="36"/>
      <c r="D590" s="6"/>
      <c r="E590" s="36"/>
      <c r="F590" s="36"/>
      <c r="G590" s="6"/>
      <c r="H590" s="37"/>
      <c r="I590" s="36"/>
      <c r="J590" s="36"/>
      <c r="K590" s="60"/>
      <c r="M590" s="61"/>
      <c r="N590" s="61"/>
      <c r="O590" s="61"/>
      <c r="P590" s="61"/>
      <c r="Q590" s="61"/>
      <c r="R590" s="61"/>
      <c r="S590" s="62"/>
      <c r="T590" s="62"/>
      <c r="U590" s="62"/>
    </row>
    <row r="591" spans="2:21" ht="15.75" customHeight="1" x14ac:dyDescent="0.3">
      <c r="B591" s="36"/>
      <c r="C591" s="36"/>
      <c r="D591" s="6"/>
      <c r="E591" s="36"/>
      <c r="F591" s="36"/>
      <c r="G591" s="6"/>
      <c r="H591" s="37"/>
      <c r="I591" s="36"/>
      <c r="J591" s="36"/>
      <c r="K591" s="60"/>
      <c r="M591" s="61"/>
      <c r="N591" s="61"/>
      <c r="O591" s="61"/>
      <c r="P591" s="61"/>
      <c r="Q591" s="61"/>
      <c r="R591" s="61"/>
      <c r="S591" s="62"/>
      <c r="T591" s="62"/>
      <c r="U591" s="62"/>
    </row>
    <row r="592" spans="2:21" ht="15.75" customHeight="1" x14ac:dyDescent="0.3">
      <c r="B592" s="36"/>
      <c r="C592" s="36"/>
      <c r="D592" s="6"/>
      <c r="E592" s="36"/>
      <c r="F592" s="36"/>
      <c r="G592" s="6"/>
      <c r="H592" s="37"/>
      <c r="I592" s="36"/>
      <c r="J592" s="36"/>
      <c r="K592" s="60"/>
      <c r="M592" s="61"/>
      <c r="N592" s="61"/>
      <c r="O592" s="61"/>
      <c r="P592" s="61"/>
      <c r="Q592" s="61"/>
      <c r="R592" s="61"/>
      <c r="S592" s="62"/>
      <c r="T592" s="62"/>
      <c r="U592" s="62"/>
    </row>
    <row r="593" spans="2:21" ht="15.75" customHeight="1" x14ac:dyDescent="0.3">
      <c r="B593" s="36"/>
      <c r="C593" s="36"/>
      <c r="D593" s="6"/>
      <c r="E593" s="36"/>
      <c r="F593" s="36"/>
      <c r="G593" s="6"/>
      <c r="H593" s="37"/>
      <c r="I593" s="36"/>
      <c r="J593" s="36"/>
      <c r="K593" s="60"/>
      <c r="M593" s="61"/>
      <c r="N593" s="61"/>
      <c r="O593" s="61"/>
      <c r="P593" s="61"/>
      <c r="Q593" s="61"/>
      <c r="R593" s="61"/>
      <c r="S593" s="62"/>
      <c r="T593" s="62"/>
      <c r="U593" s="62"/>
    </row>
    <row r="594" spans="2:21" ht="15.75" customHeight="1" x14ac:dyDescent="0.3">
      <c r="B594" s="36"/>
      <c r="C594" s="36"/>
      <c r="D594" s="6"/>
      <c r="E594" s="36"/>
      <c r="F594" s="36"/>
      <c r="G594" s="6"/>
      <c r="H594" s="37"/>
      <c r="I594" s="36"/>
      <c r="J594" s="36"/>
      <c r="K594" s="60"/>
      <c r="M594" s="61"/>
      <c r="N594" s="61"/>
      <c r="O594" s="61"/>
      <c r="P594" s="61"/>
      <c r="Q594" s="61"/>
      <c r="R594" s="61"/>
      <c r="S594" s="62"/>
      <c r="T594" s="62"/>
      <c r="U594" s="62"/>
    </row>
    <row r="595" spans="2:21" ht="15.75" customHeight="1" x14ac:dyDescent="0.3">
      <c r="B595" s="36"/>
      <c r="C595" s="36"/>
      <c r="D595" s="6"/>
      <c r="E595" s="36"/>
      <c r="F595" s="36"/>
      <c r="G595" s="6"/>
      <c r="H595" s="37"/>
      <c r="I595" s="36"/>
      <c r="J595" s="36"/>
      <c r="K595" s="60"/>
      <c r="M595" s="61"/>
      <c r="N595" s="61"/>
      <c r="O595" s="61"/>
      <c r="P595" s="61"/>
      <c r="Q595" s="61"/>
      <c r="R595" s="61"/>
      <c r="S595" s="62"/>
      <c r="T595" s="62"/>
      <c r="U595" s="62"/>
    </row>
    <row r="596" spans="2:21" ht="15.75" customHeight="1" x14ac:dyDescent="0.3">
      <c r="B596" s="36"/>
      <c r="C596" s="36"/>
      <c r="D596" s="6"/>
      <c r="E596" s="36"/>
      <c r="F596" s="36"/>
      <c r="G596" s="6"/>
      <c r="H596" s="37"/>
      <c r="I596" s="36"/>
      <c r="J596" s="36"/>
      <c r="K596" s="60"/>
      <c r="M596" s="61"/>
      <c r="N596" s="61"/>
      <c r="O596" s="61"/>
      <c r="P596" s="61"/>
      <c r="Q596" s="61"/>
      <c r="R596" s="61"/>
      <c r="S596" s="62"/>
      <c r="T596" s="62"/>
      <c r="U596" s="62"/>
    </row>
    <row r="597" spans="2:21" ht="15.75" customHeight="1" x14ac:dyDescent="0.3">
      <c r="B597" s="36"/>
      <c r="C597" s="36"/>
      <c r="D597" s="6"/>
      <c r="E597" s="36"/>
      <c r="F597" s="36"/>
      <c r="G597" s="6"/>
      <c r="H597" s="37"/>
      <c r="I597" s="36"/>
      <c r="J597" s="36"/>
      <c r="K597" s="60"/>
      <c r="M597" s="61"/>
      <c r="N597" s="61"/>
      <c r="O597" s="61"/>
      <c r="P597" s="61"/>
      <c r="Q597" s="61"/>
      <c r="R597" s="61"/>
      <c r="S597" s="62"/>
      <c r="T597" s="62"/>
      <c r="U597" s="62"/>
    </row>
    <row r="598" spans="2:21" ht="15.75" customHeight="1" x14ac:dyDescent="0.3">
      <c r="B598" s="36"/>
      <c r="C598" s="36"/>
      <c r="D598" s="6"/>
      <c r="E598" s="36"/>
      <c r="F598" s="36"/>
      <c r="G598" s="6"/>
      <c r="H598" s="37"/>
      <c r="I598" s="36"/>
      <c r="J598" s="36"/>
      <c r="K598" s="60"/>
      <c r="M598" s="61"/>
      <c r="N598" s="61"/>
      <c r="O598" s="61"/>
      <c r="P598" s="61"/>
      <c r="Q598" s="61"/>
      <c r="R598" s="61"/>
      <c r="S598" s="62"/>
      <c r="T598" s="62"/>
      <c r="U598" s="62"/>
    </row>
    <row r="599" spans="2:21" ht="15.75" customHeight="1" x14ac:dyDescent="0.3">
      <c r="B599" s="36"/>
      <c r="C599" s="36"/>
      <c r="D599" s="6"/>
      <c r="E599" s="36"/>
      <c r="F599" s="36"/>
      <c r="G599" s="6"/>
      <c r="H599" s="37"/>
      <c r="I599" s="36"/>
      <c r="J599" s="36"/>
      <c r="K599" s="60"/>
      <c r="M599" s="61"/>
      <c r="N599" s="61"/>
      <c r="O599" s="61"/>
      <c r="P599" s="61"/>
      <c r="Q599" s="61"/>
      <c r="R599" s="61"/>
      <c r="S599" s="62"/>
      <c r="T599" s="62"/>
      <c r="U599" s="62"/>
    </row>
    <row r="600" spans="2:21" ht="15.75" customHeight="1" x14ac:dyDescent="0.3">
      <c r="B600" s="36"/>
      <c r="C600" s="36"/>
      <c r="D600" s="6"/>
      <c r="E600" s="36"/>
      <c r="F600" s="36"/>
      <c r="G600" s="6"/>
      <c r="H600" s="37"/>
      <c r="I600" s="36"/>
      <c r="J600" s="36"/>
      <c r="K600" s="60"/>
      <c r="M600" s="61"/>
      <c r="N600" s="61"/>
      <c r="O600" s="61"/>
      <c r="P600" s="61"/>
      <c r="Q600" s="61"/>
      <c r="R600" s="61"/>
      <c r="S600" s="62"/>
      <c r="T600" s="62"/>
      <c r="U600" s="62"/>
    </row>
    <row r="601" spans="2:21" ht="15.75" customHeight="1" x14ac:dyDescent="0.3">
      <c r="B601" s="36"/>
      <c r="C601" s="36"/>
      <c r="D601" s="6"/>
      <c r="E601" s="36"/>
      <c r="F601" s="36"/>
      <c r="G601" s="6"/>
      <c r="H601" s="37"/>
      <c r="I601" s="36"/>
      <c r="J601" s="36"/>
      <c r="K601" s="60"/>
      <c r="M601" s="61"/>
      <c r="N601" s="61"/>
      <c r="O601" s="61"/>
      <c r="P601" s="61"/>
      <c r="Q601" s="61"/>
      <c r="R601" s="61"/>
      <c r="S601" s="62"/>
      <c r="T601" s="62"/>
      <c r="U601" s="62"/>
    </row>
    <row r="602" spans="2:21" ht="15.75" customHeight="1" x14ac:dyDescent="0.3">
      <c r="B602" s="36"/>
      <c r="C602" s="36"/>
      <c r="D602" s="6"/>
      <c r="E602" s="36"/>
      <c r="F602" s="36"/>
      <c r="G602" s="6"/>
      <c r="H602" s="37"/>
      <c r="I602" s="36"/>
      <c r="J602" s="36"/>
      <c r="K602" s="60"/>
      <c r="M602" s="61"/>
      <c r="N602" s="61"/>
      <c r="O602" s="61"/>
      <c r="P602" s="61"/>
      <c r="Q602" s="61"/>
      <c r="R602" s="61"/>
      <c r="S602" s="62"/>
      <c r="T602" s="62"/>
      <c r="U602" s="62"/>
    </row>
    <row r="603" spans="2:21" ht="15.75" customHeight="1" x14ac:dyDescent="0.3">
      <c r="B603" s="36"/>
      <c r="C603" s="36"/>
      <c r="D603" s="6"/>
      <c r="E603" s="36"/>
      <c r="F603" s="36"/>
      <c r="G603" s="6"/>
      <c r="H603" s="37"/>
      <c r="I603" s="36"/>
      <c r="J603" s="36"/>
      <c r="K603" s="60"/>
      <c r="M603" s="61"/>
      <c r="N603" s="61"/>
      <c r="O603" s="61"/>
      <c r="P603" s="61"/>
      <c r="Q603" s="61"/>
      <c r="R603" s="61"/>
      <c r="S603" s="62"/>
      <c r="T603" s="62"/>
      <c r="U603" s="62"/>
    </row>
    <row r="604" spans="2:21" ht="15.75" customHeight="1" x14ac:dyDescent="0.3">
      <c r="B604" s="36"/>
      <c r="C604" s="36"/>
      <c r="D604" s="6"/>
      <c r="E604" s="36"/>
      <c r="F604" s="36"/>
      <c r="G604" s="6"/>
      <c r="H604" s="37"/>
      <c r="I604" s="36"/>
      <c r="J604" s="36"/>
      <c r="K604" s="60"/>
      <c r="M604" s="61"/>
      <c r="N604" s="61"/>
      <c r="O604" s="61"/>
      <c r="P604" s="61"/>
      <c r="Q604" s="61"/>
      <c r="R604" s="61"/>
      <c r="S604" s="62"/>
      <c r="T604" s="62"/>
      <c r="U604" s="62"/>
    </row>
    <row r="605" spans="2:21" ht="15.75" customHeight="1" x14ac:dyDescent="0.3">
      <c r="B605" s="36"/>
      <c r="C605" s="36"/>
      <c r="D605" s="6"/>
      <c r="E605" s="36"/>
      <c r="F605" s="36"/>
      <c r="G605" s="6"/>
      <c r="H605" s="37"/>
      <c r="I605" s="36"/>
      <c r="J605" s="36"/>
      <c r="K605" s="60"/>
      <c r="M605" s="61"/>
      <c r="N605" s="61"/>
      <c r="O605" s="61"/>
      <c r="P605" s="61"/>
      <c r="Q605" s="61"/>
      <c r="R605" s="61"/>
      <c r="S605" s="62"/>
      <c r="T605" s="62"/>
      <c r="U605" s="62"/>
    </row>
    <row r="606" spans="2:21" ht="15.75" customHeight="1" x14ac:dyDescent="0.3">
      <c r="B606" s="36"/>
      <c r="C606" s="36"/>
      <c r="D606" s="6"/>
      <c r="E606" s="36"/>
      <c r="F606" s="36"/>
      <c r="G606" s="6"/>
      <c r="H606" s="37"/>
      <c r="I606" s="36"/>
      <c r="J606" s="36"/>
      <c r="K606" s="60"/>
      <c r="M606" s="61"/>
      <c r="N606" s="61"/>
      <c r="O606" s="61"/>
      <c r="P606" s="61"/>
      <c r="Q606" s="61"/>
      <c r="R606" s="61"/>
      <c r="S606" s="62"/>
      <c r="T606" s="62"/>
      <c r="U606" s="62"/>
    </row>
    <row r="607" spans="2:21" ht="15.75" customHeight="1" x14ac:dyDescent="0.3">
      <c r="B607" s="36"/>
      <c r="C607" s="36"/>
      <c r="D607" s="6"/>
      <c r="E607" s="36"/>
      <c r="F607" s="36"/>
      <c r="G607" s="6"/>
      <c r="H607" s="37"/>
      <c r="I607" s="36"/>
      <c r="J607" s="36"/>
      <c r="K607" s="60"/>
      <c r="M607" s="61"/>
      <c r="N607" s="61"/>
      <c r="O607" s="61"/>
      <c r="P607" s="61"/>
      <c r="Q607" s="61"/>
      <c r="R607" s="61"/>
      <c r="S607" s="62"/>
      <c r="T607" s="62"/>
      <c r="U607" s="62"/>
    </row>
    <row r="608" spans="2:21" ht="15.75" customHeight="1" x14ac:dyDescent="0.3">
      <c r="B608" s="36"/>
      <c r="C608" s="36"/>
      <c r="D608" s="6"/>
      <c r="E608" s="36"/>
      <c r="F608" s="36"/>
      <c r="G608" s="6"/>
      <c r="H608" s="37"/>
      <c r="I608" s="36"/>
      <c r="J608" s="36"/>
      <c r="K608" s="60"/>
      <c r="M608" s="61"/>
      <c r="N608" s="61"/>
      <c r="O608" s="61"/>
      <c r="P608" s="61"/>
      <c r="Q608" s="61"/>
      <c r="R608" s="61"/>
      <c r="S608" s="62"/>
      <c r="T608" s="62"/>
      <c r="U608" s="62"/>
    </row>
    <row r="609" spans="2:21" ht="15.75" customHeight="1" x14ac:dyDescent="0.3">
      <c r="B609" s="36"/>
      <c r="C609" s="36"/>
      <c r="D609" s="6"/>
      <c r="E609" s="36"/>
      <c r="F609" s="36"/>
      <c r="G609" s="6"/>
      <c r="H609" s="37"/>
      <c r="I609" s="36"/>
      <c r="J609" s="36"/>
      <c r="K609" s="60"/>
      <c r="M609" s="61"/>
      <c r="N609" s="61"/>
      <c r="O609" s="61"/>
      <c r="P609" s="61"/>
      <c r="Q609" s="61"/>
      <c r="R609" s="61"/>
      <c r="S609" s="62"/>
      <c r="T609" s="62"/>
      <c r="U609" s="62"/>
    </row>
    <row r="610" spans="2:21" ht="15.75" customHeight="1" x14ac:dyDescent="0.3">
      <c r="B610" s="36"/>
      <c r="C610" s="36"/>
      <c r="D610" s="6"/>
      <c r="E610" s="36"/>
      <c r="F610" s="36"/>
      <c r="G610" s="6"/>
      <c r="H610" s="37"/>
      <c r="I610" s="36"/>
      <c r="J610" s="36"/>
      <c r="K610" s="60"/>
      <c r="M610" s="61"/>
      <c r="N610" s="61"/>
      <c r="O610" s="61"/>
      <c r="P610" s="61"/>
      <c r="Q610" s="61"/>
      <c r="R610" s="61"/>
      <c r="S610" s="62"/>
      <c r="T610" s="62"/>
      <c r="U610" s="62"/>
    </row>
    <row r="611" spans="2:21" ht="15.75" customHeight="1" x14ac:dyDescent="0.3">
      <c r="B611" s="36"/>
      <c r="C611" s="36"/>
      <c r="D611" s="6"/>
      <c r="E611" s="36"/>
      <c r="F611" s="36"/>
      <c r="G611" s="6"/>
      <c r="H611" s="37"/>
      <c r="I611" s="36"/>
      <c r="J611" s="36"/>
      <c r="K611" s="60"/>
      <c r="M611" s="61"/>
      <c r="N611" s="61"/>
      <c r="O611" s="61"/>
      <c r="P611" s="61"/>
      <c r="Q611" s="61"/>
      <c r="R611" s="61"/>
      <c r="S611" s="62"/>
      <c r="T611" s="62"/>
      <c r="U611" s="62"/>
    </row>
    <row r="612" spans="2:21" ht="15.75" customHeight="1" x14ac:dyDescent="0.3">
      <c r="B612" s="36"/>
      <c r="C612" s="36"/>
      <c r="D612" s="6"/>
      <c r="E612" s="36"/>
      <c r="F612" s="36"/>
      <c r="G612" s="6"/>
      <c r="H612" s="37"/>
      <c r="I612" s="36"/>
      <c r="J612" s="36"/>
      <c r="K612" s="60"/>
      <c r="M612" s="61"/>
      <c r="N612" s="61"/>
      <c r="O612" s="61"/>
      <c r="P612" s="61"/>
      <c r="Q612" s="61"/>
      <c r="R612" s="61"/>
      <c r="S612" s="62"/>
      <c r="T612" s="62"/>
      <c r="U612" s="62"/>
    </row>
    <row r="613" spans="2:21" ht="15.75" customHeight="1" x14ac:dyDescent="0.3">
      <c r="B613" s="36"/>
      <c r="C613" s="36"/>
      <c r="D613" s="6"/>
      <c r="E613" s="36"/>
      <c r="F613" s="36"/>
      <c r="G613" s="6"/>
      <c r="H613" s="37"/>
      <c r="I613" s="36"/>
      <c r="J613" s="36"/>
      <c r="K613" s="60"/>
      <c r="M613" s="61"/>
      <c r="N613" s="61"/>
      <c r="O613" s="61"/>
      <c r="P613" s="61"/>
      <c r="Q613" s="61"/>
      <c r="R613" s="61"/>
      <c r="S613" s="62"/>
      <c r="T613" s="62"/>
      <c r="U613" s="62"/>
    </row>
    <row r="614" spans="2:21" ht="15.75" customHeight="1" x14ac:dyDescent="0.3">
      <c r="B614" s="36"/>
      <c r="C614" s="36"/>
      <c r="D614" s="6"/>
      <c r="E614" s="36"/>
      <c r="F614" s="36"/>
      <c r="G614" s="6"/>
      <c r="H614" s="37"/>
      <c r="I614" s="36"/>
      <c r="J614" s="36"/>
      <c r="K614" s="60"/>
      <c r="M614" s="61"/>
      <c r="N614" s="61"/>
      <c r="O614" s="61"/>
      <c r="P614" s="61"/>
      <c r="Q614" s="61"/>
      <c r="R614" s="61"/>
      <c r="S614" s="62"/>
      <c r="T614" s="62"/>
      <c r="U614" s="62"/>
    </row>
    <row r="615" spans="2:21" ht="15.75" customHeight="1" x14ac:dyDescent="0.3">
      <c r="B615" s="36"/>
      <c r="C615" s="36"/>
      <c r="D615" s="6"/>
      <c r="E615" s="36"/>
      <c r="F615" s="36"/>
      <c r="G615" s="6"/>
      <c r="H615" s="37"/>
      <c r="I615" s="36"/>
      <c r="J615" s="36"/>
      <c r="K615" s="60"/>
      <c r="M615" s="61"/>
      <c r="N615" s="61"/>
      <c r="O615" s="61"/>
      <c r="P615" s="61"/>
      <c r="Q615" s="61"/>
      <c r="R615" s="61"/>
      <c r="S615" s="62"/>
      <c r="T615" s="62"/>
      <c r="U615" s="62"/>
    </row>
    <row r="616" spans="2:21" ht="15.75" customHeight="1" x14ac:dyDescent="0.3">
      <c r="B616" s="36"/>
      <c r="C616" s="36"/>
      <c r="D616" s="6"/>
      <c r="E616" s="36"/>
      <c r="F616" s="36"/>
      <c r="G616" s="6"/>
      <c r="H616" s="37"/>
      <c r="I616" s="36"/>
      <c r="J616" s="36"/>
      <c r="K616" s="60"/>
      <c r="M616" s="61"/>
      <c r="N616" s="61"/>
      <c r="O616" s="61"/>
      <c r="P616" s="61"/>
      <c r="Q616" s="61"/>
      <c r="R616" s="61"/>
      <c r="S616" s="62"/>
      <c r="T616" s="62"/>
      <c r="U616" s="62"/>
    </row>
    <row r="617" spans="2:21" ht="15.75" customHeight="1" x14ac:dyDescent="0.3">
      <c r="B617" s="36"/>
      <c r="C617" s="36"/>
      <c r="D617" s="6"/>
      <c r="E617" s="36"/>
      <c r="F617" s="36"/>
      <c r="G617" s="6"/>
      <c r="H617" s="37"/>
      <c r="I617" s="36"/>
      <c r="J617" s="36"/>
      <c r="K617" s="60"/>
      <c r="M617" s="61"/>
      <c r="N617" s="61"/>
      <c r="O617" s="61"/>
      <c r="P617" s="61"/>
      <c r="Q617" s="61"/>
      <c r="R617" s="61"/>
      <c r="S617" s="62"/>
      <c r="T617" s="62"/>
      <c r="U617" s="62"/>
    </row>
    <row r="618" spans="2:21" ht="15.75" customHeight="1" x14ac:dyDescent="0.3">
      <c r="B618" s="36"/>
      <c r="C618" s="36"/>
      <c r="D618" s="6"/>
      <c r="E618" s="36"/>
      <c r="F618" s="36"/>
      <c r="G618" s="6"/>
      <c r="H618" s="37"/>
      <c r="I618" s="36"/>
      <c r="J618" s="36"/>
      <c r="K618" s="60"/>
      <c r="M618" s="61"/>
      <c r="N618" s="61"/>
      <c r="O618" s="61"/>
      <c r="P618" s="61"/>
      <c r="Q618" s="61"/>
      <c r="R618" s="61"/>
      <c r="S618" s="62"/>
      <c r="T618" s="62"/>
      <c r="U618" s="62"/>
    </row>
    <row r="619" spans="2:21" ht="15.75" customHeight="1" x14ac:dyDescent="0.3">
      <c r="B619" s="36"/>
      <c r="C619" s="36"/>
      <c r="D619" s="6"/>
      <c r="E619" s="36"/>
      <c r="F619" s="36"/>
      <c r="G619" s="6"/>
      <c r="H619" s="37"/>
      <c r="I619" s="36"/>
      <c r="J619" s="36"/>
      <c r="K619" s="60"/>
      <c r="M619" s="61"/>
      <c r="N619" s="61"/>
      <c r="O619" s="61"/>
      <c r="P619" s="61"/>
      <c r="Q619" s="61"/>
      <c r="R619" s="61"/>
      <c r="S619" s="62"/>
      <c r="T619" s="62"/>
      <c r="U619" s="62"/>
    </row>
    <row r="620" spans="2:21" ht="15.75" customHeight="1" x14ac:dyDescent="0.3">
      <c r="B620" s="36"/>
      <c r="C620" s="36"/>
      <c r="D620" s="6"/>
      <c r="E620" s="36"/>
      <c r="F620" s="36"/>
      <c r="G620" s="6"/>
      <c r="H620" s="37"/>
      <c r="I620" s="36"/>
      <c r="J620" s="36"/>
      <c r="K620" s="60"/>
      <c r="M620" s="61"/>
      <c r="N620" s="61"/>
      <c r="O620" s="61"/>
      <c r="P620" s="61"/>
      <c r="Q620" s="61"/>
      <c r="R620" s="61"/>
      <c r="S620" s="62"/>
      <c r="T620" s="62"/>
      <c r="U620" s="62"/>
    </row>
    <row r="621" spans="2:21" ht="15.75" customHeight="1" x14ac:dyDescent="0.3">
      <c r="B621" s="36"/>
      <c r="C621" s="36"/>
      <c r="D621" s="6"/>
      <c r="E621" s="36"/>
      <c r="F621" s="36"/>
      <c r="G621" s="6"/>
      <c r="H621" s="37"/>
      <c r="I621" s="36"/>
      <c r="J621" s="36"/>
      <c r="K621" s="60"/>
      <c r="M621" s="61"/>
      <c r="N621" s="61"/>
      <c r="O621" s="61"/>
      <c r="P621" s="61"/>
      <c r="Q621" s="61"/>
      <c r="R621" s="61"/>
      <c r="S621" s="62"/>
      <c r="T621" s="62"/>
      <c r="U621" s="62"/>
    </row>
    <row r="622" spans="2:21" ht="15.75" customHeight="1" x14ac:dyDescent="0.3">
      <c r="B622" s="36"/>
      <c r="C622" s="36"/>
      <c r="D622" s="6"/>
      <c r="E622" s="36"/>
      <c r="F622" s="36"/>
      <c r="G622" s="6"/>
      <c r="H622" s="37"/>
      <c r="I622" s="36"/>
      <c r="J622" s="36"/>
      <c r="K622" s="60"/>
      <c r="M622" s="61"/>
      <c r="N622" s="61"/>
      <c r="O622" s="61"/>
      <c r="P622" s="61"/>
      <c r="Q622" s="61"/>
      <c r="R622" s="61"/>
      <c r="S622" s="62"/>
      <c r="T622" s="62"/>
      <c r="U622" s="62"/>
    </row>
    <row r="623" spans="2:21" ht="15.75" customHeight="1" x14ac:dyDescent="0.3">
      <c r="B623" s="36"/>
      <c r="C623" s="36"/>
      <c r="D623" s="6"/>
      <c r="E623" s="36"/>
      <c r="F623" s="36"/>
      <c r="G623" s="6"/>
      <c r="H623" s="37"/>
      <c r="I623" s="36"/>
      <c r="J623" s="36"/>
      <c r="K623" s="60"/>
      <c r="M623" s="61"/>
      <c r="N623" s="61"/>
      <c r="O623" s="61"/>
      <c r="P623" s="61"/>
      <c r="Q623" s="61"/>
      <c r="R623" s="61"/>
      <c r="S623" s="62"/>
      <c r="T623" s="62"/>
      <c r="U623" s="62"/>
    </row>
    <row r="624" spans="2:21" ht="15.75" customHeight="1" x14ac:dyDescent="0.3">
      <c r="B624" s="36"/>
      <c r="C624" s="36"/>
      <c r="D624" s="6"/>
      <c r="E624" s="36"/>
      <c r="F624" s="36"/>
      <c r="G624" s="6"/>
      <c r="H624" s="37"/>
      <c r="I624" s="36"/>
      <c r="J624" s="36"/>
      <c r="K624" s="60"/>
      <c r="M624" s="61"/>
      <c r="N624" s="61"/>
      <c r="O624" s="61"/>
      <c r="P624" s="61"/>
      <c r="Q624" s="61"/>
      <c r="R624" s="61"/>
      <c r="S624" s="62"/>
      <c r="T624" s="62"/>
      <c r="U624" s="62"/>
    </row>
    <row r="625" spans="2:21" ht="15.75" customHeight="1" x14ac:dyDescent="0.3">
      <c r="B625" s="36"/>
      <c r="C625" s="36"/>
      <c r="D625" s="6"/>
      <c r="E625" s="36"/>
      <c r="F625" s="36"/>
      <c r="G625" s="6"/>
      <c r="H625" s="37"/>
      <c r="I625" s="36"/>
      <c r="J625" s="36"/>
      <c r="K625" s="60"/>
      <c r="M625" s="61"/>
      <c r="N625" s="61"/>
      <c r="O625" s="61"/>
      <c r="P625" s="61"/>
      <c r="Q625" s="61"/>
      <c r="R625" s="61"/>
      <c r="S625" s="62"/>
      <c r="T625" s="62"/>
      <c r="U625" s="62"/>
    </row>
    <row r="626" spans="2:21" ht="15.75" customHeight="1" x14ac:dyDescent="0.3">
      <c r="B626" s="36"/>
      <c r="C626" s="36"/>
      <c r="D626" s="6"/>
      <c r="E626" s="36"/>
      <c r="F626" s="36"/>
      <c r="G626" s="6"/>
      <c r="H626" s="37"/>
      <c r="I626" s="36"/>
      <c r="J626" s="36"/>
      <c r="K626" s="60"/>
      <c r="M626" s="61"/>
      <c r="N626" s="61"/>
      <c r="O626" s="61"/>
      <c r="P626" s="61"/>
      <c r="Q626" s="61"/>
      <c r="R626" s="61"/>
      <c r="S626" s="62"/>
      <c r="T626" s="62"/>
      <c r="U626" s="62"/>
    </row>
    <row r="627" spans="2:21" ht="15.75" customHeight="1" x14ac:dyDescent="0.3">
      <c r="B627" s="36"/>
      <c r="C627" s="36"/>
      <c r="D627" s="6"/>
      <c r="E627" s="36"/>
      <c r="F627" s="36"/>
      <c r="G627" s="6"/>
      <c r="H627" s="37"/>
      <c r="I627" s="36"/>
      <c r="J627" s="36"/>
      <c r="K627" s="60"/>
      <c r="M627" s="61"/>
      <c r="N627" s="61"/>
      <c r="O627" s="61"/>
      <c r="P627" s="61"/>
      <c r="Q627" s="61"/>
      <c r="R627" s="61"/>
      <c r="S627" s="62"/>
      <c r="T627" s="62"/>
      <c r="U627" s="62"/>
    </row>
    <row r="628" spans="2:21" ht="15.75" customHeight="1" x14ac:dyDescent="0.3">
      <c r="B628" s="36"/>
      <c r="C628" s="36"/>
      <c r="D628" s="6"/>
      <c r="E628" s="36"/>
      <c r="F628" s="36"/>
      <c r="G628" s="6"/>
      <c r="H628" s="37"/>
      <c r="I628" s="36"/>
      <c r="J628" s="36"/>
      <c r="K628" s="60"/>
      <c r="M628" s="61"/>
      <c r="N628" s="61"/>
      <c r="O628" s="61"/>
      <c r="P628" s="61"/>
      <c r="Q628" s="61"/>
      <c r="R628" s="61"/>
      <c r="S628" s="62"/>
      <c r="T628" s="62"/>
      <c r="U628" s="62"/>
    </row>
    <row r="629" spans="2:21" ht="15.75" customHeight="1" x14ac:dyDescent="0.3">
      <c r="B629" s="36"/>
      <c r="C629" s="36"/>
      <c r="D629" s="6"/>
      <c r="E629" s="36"/>
      <c r="F629" s="36"/>
      <c r="G629" s="6"/>
      <c r="H629" s="37"/>
      <c r="I629" s="36"/>
      <c r="J629" s="36"/>
      <c r="K629" s="60"/>
      <c r="M629" s="61"/>
      <c r="N629" s="61"/>
      <c r="O629" s="61"/>
      <c r="P629" s="61"/>
      <c r="Q629" s="61"/>
      <c r="R629" s="61"/>
      <c r="S629" s="62"/>
      <c r="T629" s="62"/>
      <c r="U629" s="62"/>
    </row>
    <row r="630" spans="2:21" ht="15.75" customHeight="1" x14ac:dyDescent="0.3">
      <c r="B630" s="36"/>
      <c r="C630" s="36"/>
      <c r="D630" s="6"/>
      <c r="E630" s="36"/>
      <c r="F630" s="36"/>
      <c r="G630" s="6"/>
      <c r="H630" s="37"/>
      <c r="I630" s="36"/>
      <c r="J630" s="36"/>
      <c r="K630" s="60"/>
      <c r="M630" s="61"/>
      <c r="N630" s="61"/>
      <c r="O630" s="61"/>
      <c r="P630" s="61"/>
      <c r="Q630" s="61"/>
      <c r="R630" s="61"/>
      <c r="S630" s="62"/>
      <c r="T630" s="62"/>
      <c r="U630" s="62"/>
    </row>
    <row r="631" spans="2:21" ht="15.75" customHeight="1" x14ac:dyDescent="0.3">
      <c r="B631" s="36"/>
      <c r="C631" s="36"/>
      <c r="D631" s="6"/>
      <c r="E631" s="36"/>
      <c r="F631" s="36"/>
      <c r="G631" s="6"/>
      <c r="H631" s="37"/>
      <c r="I631" s="36"/>
      <c r="J631" s="36"/>
      <c r="K631" s="60"/>
      <c r="M631" s="61"/>
      <c r="N631" s="61"/>
      <c r="O631" s="61"/>
      <c r="P631" s="61"/>
      <c r="Q631" s="61"/>
      <c r="R631" s="61"/>
      <c r="S631" s="62"/>
      <c r="T631" s="62"/>
      <c r="U631" s="62"/>
    </row>
    <row r="632" spans="2:21" ht="15.75" customHeight="1" x14ac:dyDescent="0.3">
      <c r="B632" s="36"/>
      <c r="C632" s="36"/>
      <c r="D632" s="6"/>
      <c r="E632" s="36"/>
      <c r="F632" s="36"/>
      <c r="G632" s="6"/>
      <c r="H632" s="37"/>
      <c r="I632" s="36"/>
      <c r="J632" s="36"/>
      <c r="K632" s="60"/>
      <c r="M632" s="61"/>
      <c r="N632" s="61"/>
      <c r="O632" s="61"/>
      <c r="P632" s="61"/>
      <c r="Q632" s="61"/>
      <c r="R632" s="61"/>
      <c r="S632" s="62"/>
      <c r="T632" s="62"/>
      <c r="U632" s="62"/>
    </row>
    <row r="633" spans="2:21" ht="15.75" customHeight="1" x14ac:dyDescent="0.3">
      <c r="B633" s="36"/>
      <c r="C633" s="36"/>
      <c r="D633" s="6"/>
      <c r="E633" s="36"/>
      <c r="F633" s="36"/>
      <c r="G633" s="6"/>
      <c r="H633" s="37"/>
      <c r="I633" s="36"/>
      <c r="J633" s="36"/>
      <c r="K633" s="60"/>
      <c r="M633" s="61"/>
      <c r="N633" s="61"/>
      <c r="O633" s="61"/>
      <c r="P633" s="61"/>
      <c r="Q633" s="61"/>
      <c r="R633" s="61"/>
      <c r="S633" s="62"/>
      <c r="T633" s="62"/>
      <c r="U633" s="62"/>
    </row>
    <row r="634" spans="2:21" ht="15.75" customHeight="1" x14ac:dyDescent="0.3">
      <c r="B634" s="36"/>
      <c r="C634" s="36"/>
      <c r="D634" s="6"/>
      <c r="E634" s="36"/>
      <c r="F634" s="36"/>
      <c r="G634" s="6"/>
      <c r="H634" s="37"/>
      <c r="I634" s="36"/>
      <c r="J634" s="36"/>
      <c r="K634" s="60"/>
      <c r="M634" s="61"/>
      <c r="N634" s="61"/>
      <c r="O634" s="61"/>
      <c r="P634" s="61"/>
      <c r="Q634" s="61"/>
      <c r="R634" s="61"/>
      <c r="S634" s="62"/>
      <c r="T634" s="62"/>
      <c r="U634" s="62"/>
    </row>
    <row r="635" spans="2:21" ht="15.75" customHeight="1" x14ac:dyDescent="0.3">
      <c r="B635" s="36"/>
      <c r="C635" s="36"/>
      <c r="D635" s="6"/>
      <c r="E635" s="36"/>
      <c r="F635" s="36"/>
      <c r="G635" s="6"/>
      <c r="H635" s="37"/>
      <c r="I635" s="36"/>
      <c r="J635" s="36"/>
      <c r="K635" s="60"/>
      <c r="M635" s="61"/>
      <c r="N635" s="61"/>
      <c r="O635" s="61"/>
      <c r="P635" s="61"/>
      <c r="Q635" s="61"/>
      <c r="R635" s="61"/>
      <c r="S635" s="62"/>
      <c r="T635" s="62"/>
      <c r="U635" s="62"/>
    </row>
    <row r="636" spans="2:21" ht="15.75" customHeight="1" x14ac:dyDescent="0.3">
      <c r="B636" s="36"/>
      <c r="C636" s="36"/>
      <c r="D636" s="6"/>
      <c r="E636" s="36"/>
      <c r="F636" s="36"/>
      <c r="G636" s="6"/>
      <c r="H636" s="37"/>
      <c r="I636" s="36"/>
      <c r="J636" s="36"/>
      <c r="K636" s="60"/>
      <c r="M636" s="61"/>
      <c r="N636" s="61"/>
      <c r="O636" s="61"/>
      <c r="P636" s="61"/>
      <c r="Q636" s="61"/>
      <c r="R636" s="61"/>
      <c r="S636" s="62"/>
      <c r="T636" s="62"/>
      <c r="U636" s="62"/>
    </row>
    <row r="637" spans="2:21" ht="15.75" customHeight="1" x14ac:dyDescent="0.3">
      <c r="B637" s="36"/>
      <c r="C637" s="36"/>
      <c r="D637" s="6"/>
      <c r="E637" s="36"/>
      <c r="F637" s="36"/>
      <c r="G637" s="6"/>
      <c r="H637" s="37"/>
      <c r="I637" s="36"/>
      <c r="J637" s="36"/>
      <c r="K637" s="60"/>
      <c r="M637" s="61"/>
      <c r="N637" s="61"/>
      <c r="O637" s="61"/>
      <c r="P637" s="61"/>
      <c r="Q637" s="61"/>
      <c r="R637" s="61"/>
      <c r="S637" s="62"/>
      <c r="T637" s="62"/>
      <c r="U637" s="62"/>
    </row>
    <row r="638" spans="2:21" ht="15.75" customHeight="1" x14ac:dyDescent="0.3">
      <c r="B638" s="36"/>
      <c r="C638" s="36"/>
      <c r="D638" s="6"/>
      <c r="E638" s="36"/>
      <c r="F638" s="36"/>
      <c r="G638" s="6"/>
      <c r="H638" s="37"/>
      <c r="I638" s="36"/>
      <c r="J638" s="36"/>
      <c r="K638" s="60"/>
      <c r="M638" s="61"/>
      <c r="N638" s="61"/>
      <c r="O638" s="61"/>
      <c r="P638" s="61"/>
      <c r="Q638" s="61"/>
      <c r="R638" s="61"/>
      <c r="S638" s="62"/>
      <c r="T638" s="62"/>
      <c r="U638" s="62"/>
    </row>
    <row r="639" spans="2:21" ht="15.75" customHeight="1" x14ac:dyDescent="0.3">
      <c r="B639" s="36"/>
      <c r="C639" s="36"/>
      <c r="D639" s="6"/>
      <c r="E639" s="36"/>
      <c r="F639" s="36"/>
      <c r="G639" s="6"/>
      <c r="H639" s="37"/>
      <c r="I639" s="36"/>
      <c r="J639" s="36"/>
      <c r="K639" s="60"/>
      <c r="M639" s="61"/>
      <c r="N639" s="61"/>
      <c r="O639" s="61"/>
      <c r="P639" s="61"/>
      <c r="Q639" s="61"/>
      <c r="R639" s="61"/>
      <c r="S639" s="62"/>
      <c r="T639" s="62"/>
      <c r="U639" s="62"/>
    </row>
    <row r="640" spans="2:21" ht="15.75" customHeight="1" x14ac:dyDescent="0.3">
      <c r="B640" s="36"/>
      <c r="C640" s="36"/>
      <c r="D640" s="6"/>
      <c r="E640" s="36"/>
      <c r="F640" s="36"/>
      <c r="G640" s="6"/>
      <c r="H640" s="37"/>
      <c r="I640" s="36"/>
      <c r="J640" s="36"/>
      <c r="K640" s="60"/>
      <c r="M640" s="61"/>
      <c r="N640" s="61"/>
      <c r="O640" s="61"/>
      <c r="P640" s="61"/>
      <c r="Q640" s="61"/>
      <c r="R640" s="61"/>
      <c r="S640" s="62"/>
      <c r="T640" s="62"/>
      <c r="U640" s="62"/>
    </row>
    <row r="641" spans="2:21" ht="15.75" customHeight="1" x14ac:dyDescent="0.3">
      <c r="B641" s="36"/>
      <c r="C641" s="36"/>
      <c r="D641" s="6"/>
      <c r="E641" s="36"/>
      <c r="F641" s="36"/>
      <c r="G641" s="6"/>
      <c r="H641" s="37"/>
      <c r="I641" s="36"/>
      <c r="J641" s="36"/>
      <c r="K641" s="60"/>
      <c r="M641" s="61"/>
      <c r="N641" s="61"/>
      <c r="O641" s="61"/>
      <c r="P641" s="61"/>
      <c r="Q641" s="61"/>
      <c r="R641" s="61"/>
      <c r="S641" s="62"/>
      <c r="T641" s="62"/>
      <c r="U641" s="62"/>
    </row>
    <row r="642" spans="2:21" ht="15.75" customHeight="1" x14ac:dyDescent="0.3">
      <c r="B642" s="36"/>
      <c r="C642" s="36"/>
      <c r="D642" s="6"/>
      <c r="E642" s="36"/>
      <c r="F642" s="36"/>
      <c r="G642" s="6"/>
      <c r="H642" s="37"/>
      <c r="I642" s="36"/>
      <c r="J642" s="36"/>
      <c r="K642" s="60"/>
      <c r="M642" s="61"/>
      <c r="N642" s="61"/>
      <c r="O642" s="61"/>
      <c r="P642" s="61"/>
      <c r="Q642" s="61"/>
      <c r="R642" s="61"/>
      <c r="S642" s="62"/>
      <c r="T642" s="62"/>
      <c r="U642" s="62"/>
    </row>
    <row r="643" spans="2:21" ht="15.75" customHeight="1" x14ac:dyDescent="0.3">
      <c r="B643" s="36"/>
      <c r="C643" s="36"/>
      <c r="D643" s="6"/>
      <c r="E643" s="36"/>
      <c r="F643" s="36"/>
      <c r="G643" s="6"/>
      <c r="H643" s="37"/>
      <c r="I643" s="36"/>
      <c r="J643" s="36"/>
      <c r="K643" s="60"/>
      <c r="M643" s="61"/>
      <c r="N643" s="61"/>
      <c r="O643" s="61"/>
      <c r="P643" s="61"/>
      <c r="Q643" s="61"/>
      <c r="R643" s="61"/>
      <c r="S643" s="62"/>
      <c r="T643" s="62"/>
      <c r="U643" s="62"/>
    </row>
    <row r="644" spans="2:21" ht="15.75" customHeight="1" x14ac:dyDescent="0.3">
      <c r="B644" s="36"/>
      <c r="C644" s="36"/>
      <c r="D644" s="6"/>
      <c r="E644" s="36"/>
      <c r="F644" s="36"/>
      <c r="G644" s="6"/>
      <c r="H644" s="37"/>
      <c r="I644" s="36"/>
      <c r="J644" s="36"/>
      <c r="K644" s="60"/>
      <c r="M644" s="61"/>
      <c r="N644" s="61"/>
      <c r="O644" s="61"/>
      <c r="P644" s="61"/>
      <c r="Q644" s="61"/>
      <c r="R644" s="61"/>
      <c r="S644" s="62"/>
      <c r="T644" s="62"/>
      <c r="U644" s="62"/>
    </row>
    <row r="645" spans="2:21" ht="15.75" customHeight="1" x14ac:dyDescent="0.3">
      <c r="B645" s="36"/>
      <c r="C645" s="36"/>
      <c r="D645" s="6"/>
      <c r="E645" s="36"/>
      <c r="F645" s="36"/>
      <c r="G645" s="6"/>
      <c r="H645" s="37"/>
      <c r="I645" s="36"/>
      <c r="J645" s="36"/>
      <c r="K645" s="60"/>
      <c r="M645" s="61"/>
      <c r="N645" s="61"/>
      <c r="O645" s="61"/>
      <c r="P645" s="61"/>
      <c r="Q645" s="61"/>
      <c r="R645" s="61"/>
      <c r="S645" s="62"/>
      <c r="T645" s="62"/>
      <c r="U645" s="62"/>
    </row>
    <row r="646" spans="2:21" ht="15.75" customHeight="1" x14ac:dyDescent="0.3">
      <c r="B646" s="36"/>
      <c r="C646" s="36"/>
      <c r="D646" s="6"/>
      <c r="E646" s="36"/>
      <c r="F646" s="36"/>
      <c r="G646" s="6"/>
      <c r="H646" s="37"/>
      <c r="I646" s="36"/>
      <c r="J646" s="36"/>
      <c r="K646" s="60"/>
      <c r="M646" s="61"/>
      <c r="N646" s="61"/>
      <c r="O646" s="61"/>
      <c r="P646" s="61"/>
      <c r="Q646" s="61"/>
      <c r="R646" s="61"/>
      <c r="S646" s="62"/>
      <c r="T646" s="62"/>
      <c r="U646" s="62"/>
    </row>
    <row r="647" spans="2:21" ht="15.75" customHeight="1" x14ac:dyDescent="0.3">
      <c r="B647" s="36"/>
      <c r="C647" s="36"/>
      <c r="D647" s="6"/>
      <c r="E647" s="36"/>
      <c r="F647" s="36"/>
      <c r="G647" s="6"/>
      <c r="H647" s="37"/>
      <c r="I647" s="36"/>
      <c r="J647" s="36"/>
      <c r="K647" s="60"/>
      <c r="M647" s="61"/>
      <c r="N647" s="61"/>
      <c r="O647" s="61"/>
      <c r="P647" s="61"/>
      <c r="Q647" s="61"/>
      <c r="R647" s="61"/>
      <c r="S647" s="62"/>
      <c r="T647" s="62"/>
      <c r="U647" s="62"/>
    </row>
    <row r="648" spans="2:21" ht="15.75" customHeight="1" x14ac:dyDescent="0.3">
      <c r="B648" s="36"/>
      <c r="C648" s="36"/>
      <c r="D648" s="6"/>
      <c r="E648" s="36"/>
      <c r="F648" s="36"/>
      <c r="G648" s="6"/>
      <c r="H648" s="37"/>
      <c r="I648" s="36"/>
      <c r="J648" s="36"/>
      <c r="K648" s="60"/>
      <c r="M648" s="61"/>
      <c r="N648" s="61"/>
      <c r="O648" s="61"/>
      <c r="P648" s="61"/>
      <c r="Q648" s="61"/>
      <c r="R648" s="61"/>
      <c r="S648" s="62"/>
      <c r="T648" s="62"/>
      <c r="U648" s="62"/>
    </row>
    <row r="649" spans="2:21" ht="15.75" customHeight="1" x14ac:dyDescent="0.3">
      <c r="B649" s="36"/>
      <c r="C649" s="36"/>
      <c r="D649" s="6"/>
      <c r="E649" s="36"/>
      <c r="F649" s="36"/>
      <c r="G649" s="6"/>
      <c r="H649" s="37"/>
      <c r="I649" s="36"/>
      <c r="J649" s="36"/>
      <c r="K649" s="60"/>
      <c r="M649" s="61"/>
      <c r="N649" s="61"/>
      <c r="O649" s="61"/>
      <c r="P649" s="61"/>
      <c r="Q649" s="61"/>
      <c r="R649" s="61"/>
      <c r="S649" s="62"/>
      <c r="T649" s="62"/>
      <c r="U649" s="62"/>
    </row>
    <row r="650" spans="2:21" ht="15.75" customHeight="1" x14ac:dyDescent="0.3">
      <c r="B650" s="36"/>
      <c r="C650" s="36"/>
      <c r="D650" s="6"/>
      <c r="E650" s="36"/>
      <c r="F650" s="36"/>
      <c r="G650" s="6"/>
      <c r="H650" s="37"/>
      <c r="I650" s="36"/>
      <c r="J650" s="36"/>
      <c r="K650" s="60"/>
      <c r="M650" s="61"/>
      <c r="N650" s="61"/>
      <c r="O650" s="61"/>
      <c r="P650" s="61"/>
      <c r="Q650" s="61"/>
      <c r="R650" s="61"/>
      <c r="S650" s="62"/>
      <c r="T650" s="62"/>
      <c r="U650" s="62"/>
    </row>
    <row r="651" spans="2:21" ht="15.75" customHeight="1" x14ac:dyDescent="0.3">
      <c r="B651" s="36"/>
      <c r="C651" s="36"/>
      <c r="D651" s="6"/>
      <c r="E651" s="36"/>
      <c r="F651" s="36"/>
      <c r="G651" s="6"/>
      <c r="H651" s="37"/>
      <c r="I651" s="36"/>
      <c r="J651" s="36"/>
      <c r="K651" s="60"/>
      <c r="M651" s="61"/>
      <c r="N651" s="61"/>
      <c r="O651" s="61"/>
      <c r="P651" s="61"/>
      <c r="Q651" s="61"/>
      <c r="R651" s="61"/>
      <c r="S651" s="62"/>
      <c r="T651" s="62"/>
      <c r="U651" s="62"/>
    </row>
    <row r="652" spans="2:21" ht="15.75" customHeight="1" x14ac:dyDescent="0.3">
      <c r="B652" s="36"/>
      <c r="C652" s="36"/>
      <c r="D652" s="6"/>
      <c r="E652" s="36"/>
      <c r="F652" s="36"/>
      <c r="G652" s="6"/>
      <c r="H652" s="37"/>
      <c r="I652" s="36"/>
      <c r="J652" s="36"/>
      <c r="K652" s="60"/>
      <c r="M652" s="61"/>
      <c r="N652" s="61"/>
      <c r="O652" s="61"/>
      <c r="P652" s="61"/>
      <c r="Q652" s="61"/>
      <c r="R652" s="61"/>
      <c r="S652" s="62"/>
      <c r="T652" s="62"/>
      <c r="U652" s="62"/>
    </row>
    <row r="653" spans="2:21" ht="15.75" customHeight="1" x14ac:dyDescent="0.3">
      <c r="B653" s="36"/>
      <c r="C653" s="36"/>
      <c r="D653" s="6"/>
      <c r="E653" s="36"/>
      <c r="F653" s="36"/>
      <c r="G653" s="6"/>
      <c r="H653" s="37"/>
      <c r="I653" s="36"/>
      <c r="J653" s="36"/>
      <c r="K653" s="60"/>
      <c r="M653" s="61"/>
      <c r="N653" s="61"/>
      <c r="O653" s="61"/>
      <c r="P653" s="61"/>
      <c r="Q653" s="61"/>
      <c r="R653" s="61"/>
      <c r="S653" s="62"/>
      <c r="T653" s="62"/>
      <c r="U653" s="62"/>
    </row>
    <row r="654" spans="2:21" ht="15.75" customHeight="1" x14ac:dyDescent="0.3">
      <c r="B654" s="36"/>
      <c r="C654" s="36"/>
      <c r="D654" s="6"/>
      <c r="E654" s="36"/>
      <c r="F654" s="36"/>
      <c r="G654" s="6"/>
      <c r="H654" s="37"/>
      <c r="I654" s="36"/>
      <c r="J654" s="36"/>
      <c r="K654" s="60"/>
      <c r="M654" s="61"/>
      <c r="N654" s="61"/>
      <c r="O654" s="61"/>
      <c r="P654" s="61"/>
      <c r="Q654" s="61"/>
      <c r="R654" s="61"/>
      <c r="S654" s="62"/>
      <c r="T654" s="62"/>
      <c r="U654" s="62"/>
    </row>
    <row r="655" spans="2:21" ht="15.75" customHeight="1" x14ac:dyDescent="0.3">
      <c r="B655" s="36"/>
      <c r="C655" s="36"/>
      <c r="D655" s="6"/>
      <c r="E655" s="36"/>
      <c r="F655" s="36"/>
      <c r="G655" s="6"/>
      <c r="H655" s="37"/>
      <c r="I655" s="36"/>
      <c r="J655" s="36"/>
      <c r="K655" s="60"/>
      <c r="M655" s="61"/>
      <c r="N655" s="61"/>
      <c r="O655" s="61"/>
      <c r="P655" s="61"/>
      <c r="Q655" s="61"/>
      <c r="R655" s="61"/>
      <c r="S655" s="62"/>
      <c r="T655" s="62"/>
      <c r="U655" s="62"/>
    </row>
    <row r="656" spans="2:21" ht="15.75" customHeight="1" x14ac:dyDescent="0.3">
      <c r="B656" s="36"/>
      <c r="C656" s="36"/>
      <c r="D656" s="6"/>
      <c r="E656" s="36"/>
      <c r="F656" s="36"/>
      <c r="G656" s="6"/>
      <c r="H656" s="37"/>
      <c r="I656" s="36"/>
      <c r="J656" s="36"/>
      <c r="K656" s="60"/>
      <c r="M656" s="61"/>
      <c r="N656" s="61"/>
      <c r="O656" s="61"/>
      <c r="P656" s="61"/>
      <c r="Q656" s="61"/>
      <c r="R656" s="61"/>
      <c r="S656" s="62"/>
      <c r="T656" s="62"/>
      <c r="U656" s="62"/>
    </row>
    <row r="657" spans="2:21" ht="15.75" customHeight="1" x14ac:dyDescent="0.3">
      <c r="B657" s="36"/>
      <c r="C657" s="36"/>
      <c r="D657" s="6"/>
      <c r="E657" s="36"/>
      <c r="F657" s="36"/>
      <c r="G657" s="6"/>
      <c r="H657" s="37"/>
      <c r="I657" s="36"/>
      <c r="J657" s="36"/>
      <c r="K657" s="60"/>
      <c r="M657" s="61"/>
      <c r="N657" s="61"/>
      <c r="O657" s="61"/>
      <c r="P657" s="61"/>
      <c r="Q657" s="61"/>
      <c r="R657" s="61"/>
      <c r="S657" s="62"/>
      <c r="T657" s="62"/>
      <c r="U657" s="62"/>
    </row>
    <row r="658" spans="2:21" ht="15.75" customHeight="1" x14ac:dyDescent="0.3">
      <c r="B658" s="36"/>
      <c r="C658" s="36"/>
      <c r="D658" s="6"/>
      <c r="E658" s="36"/>
      <c r="F658" s="36"/>
      <c r="G658" s="6"/>
      <c r="H658" s="37"/>
      <c r="I658" s="36"/>
      <c r="J658" s="36"/>
      <c r="K658" s="60"/>
      <c r="M658" s="61"/>
      <c r="N658" s="61"/>
      <c r="O658" s="61"/>
      <c r="P658" s="61"/>
      <c r="Q658" s="61"/>
      <c r="R658" s="61"/>
      <c r="S658" s="62"/>
      <c r="T658" s="62"/>
      <c r="U658" s="62"/>
    </row>
    <row r="659" spans="2:21" ht="15.75" customHeight="1" x14ac:dyDescent="0.3">
      <c r="B659" s="36"/>
      <c r="C659" s="36"/>
      <c r="D659" s="6"/>
      <c r="E659" s="36"/>
      <c r="F659" s="36"/>
      <c r="G659" s="6"/>
      <c r="H659" s="37"/>
      <c r="I659" s="36"/>
      <c r="J659" s="36"/>
      <c r="K659" s="60"/>
      <c r="M659" s="61"/>
      <c r="N659" s="61"/>
      <c r="O659" s="61"/>
      <c r="P659" s="61"/>
      <c r="Q659" s="61"/>
      <c r="R659" s="61"/>
      <c r="S659" s="62"/>
      <c r="T659" s="62"/>
      <c r="U659" s="62"/>
    </row>
    <row r="660" spans="2:21" ht="15.75" customHeight="1" x14ac:dyDescent="0.3">
      <c r="B660" s="36"/>
      <c r="C660" s="36"/>
      <c r="D660" s="6"/>
      <c r="E660" s="36"/>
      <c r="F660" s="36"/>
      <c r="G660" s="6"/>
      <c r="H660" s="37"/>
      <c r="I660" s="36"/>
      <c r="J660" s="36"/>
      <c r="K660" s="60"/>
      <c r="M660" s="61"/>
      <c r="N660" s="61"/>
      <c r="O660" s="61"/>
      <c r="P660" s="61"/>
      <c r="Q660" s="61"/>
      <c r="R660" s="61"/>
      <c r="S660" s="62"/>
      <c r="T660" s="62"/>
      <c r="U660" s="62"/>
    </row>
    <row r="661" spans="2:21" ht="15.75" customHeight="1" x14ac:dyDescent="0.3">
      <c r="B661" s="36"/>
      <c r="C661" s="36"/>
      <c r="D661" s="6"/>
      <c r="E661" s="36"/>
      <c r="F661" s="36"/>
      <c r="G661" s="6"/>
      <c r="H661" s="37"/>
      <c r="I661" s="36"/>
      <c r="J661" s="36"/>
      <c r="K661" s="60"/>
      <c r="M661" s="61"/>
      <c r="N661" s="61"/>
      <c r="O661" s="61"/>
      <c r="P661" s="61"/>
      <c r="Q661" s="61"/>
      <c r="R661" s="61"/>
      <c r="S661" s="62"/>
      <c r="T661" s="62"/>
      <c r="U661" s="62"/>
    </row>
    <row r="662" spans="2:21" ht="15.75" customHeight="1" x14ac:dyDescent="0.3">
      <c r="B662" s="36"/>
      <c r="C662" s="36"/>
      <c r="D662" s="6"/>
      <c r="E662" s="36"/>
      <c r="F662" s="36"/>
      <c r="G662" s="6"/>
      <c r="H662" s="37"/>
      <c r="I662" s="36"/>
      <c r="J662" s="36"/>
      <c r="K662" s="60"/>
      <c r="M662" s="61"/>
      <c r="N662" s="61"/>
      <c r="O662" s="61"/>
      <c r="P662" s="61"/>
      <c r="Q662" s="61"/>
      <c r="R662" s="61"/>
      <c r="S662" s="62"/>
      <c r="T662" s="62"/>
      <c r="U662" s="62"/>
    </row>
    <row r="663" spans="2:21" ht="15.75" customHeight="1" x14ac:dyDescent="0.3">
      <c r="B663" s="36"/>
      <c r="C663" s="36"/>
      <c r="D663" s="6"/>
      <c r="E663" s="36"/>
      <c r="F663" s="36"/>
      <c r="G663" s="6"/>
      <c r="H663" s="37"/>
      <c r="I663" s="36"/>
      <c r="J663" s="36"/>
      <c r="K663" s="60"/>
      <c r="M663" s="61"/>
      <c r="N663" s="61"/>
      <c r="O663" s="61"/>
      <c r="P663" s="61"/>
      <c r="Q663" s="61"/>
      <c r="R663" s="61"/>
      <c r="S663" s="62"/>
      <c r="T663" s="62"/>
      <c r="U663" s="62"/>
    </row>
    <row r="664" spans="2:21" ht="15.75" customHeight="1" x14ac:dyDescent="0.3">
      <c r="B664" s="36"/>
      <c r="C664" s="36"/>
      <c r="D664" s="6"/>
      <c r="E664" s="36"/>
      <c r="F664" s="36"/>
      <c r="G664" s="6"/>
      <c r="H664" s="37"/>
      <c r="I664" s="36"/>
      <c r="J664" s="36"/>
      <c r="K664" s="60"/>
      <c r="M664" s="61"/>
      <c r="N664" s="61"/>
      <c r="O664" s="61"/>
      <c r="P664" s="61"/>
      <c r="Q664" s="61"/>
      <c r="R664" s="61"/>
      <c r="S664" s="62"/>
      <c r="T664" s="62"/>
      <c r="U664" s="62"/>
    </row>
    <row r="665" spans="2:21" ht="15.75" customHeight="1" x14ac:dyDescent="0.3">
      <c r="B665" s="36"/>
      <c r="C665" s="36"/>
      <c r="D665" s="6"/>
      <c r="E665" s="36"/>
      <c r="F665" s="36"/>
      <c r="G665" s="6"/>
      <c r="H665" s="37"/>
      <c r="I665" s="36"/>
      <c r="J665" s="36"/>
      <c r="K665" s="60"/>
      <c r="M665" s="61"/>
      <c r="N665" s="61"/>
      <c r="O665" s="61"/>
      <c r="P665" s="61"/>
      <c r="Q665" s="61"/>
      <c r="R665" s="61"/>
      <c r="S665" s="62"/>
      <c r="T665" s="62"/>
      <c r="U665" s="62"/>
    </row>
    <row r="666" spans="2:21" ht="15.75" customHeight="1" x14ac:dyDescent="0.3">
      <c r="B666" s="36"/>
      <c r="C666" s="36"/>
      <c r="D666" s="6"/>
      <c r="E666" s="36"/>
      <c r="F666" s="36"/>
      <c r="G666" s="6"/>
      <c r="H666" s="37"/>
      <c r="I666" s="36"/>
      <c r="J666" s="36"/>
      <c r="K666" s="60"/>
      <c r="M666" s="61"/>
      <c r="N666" s="61"/>
      <c r="O666" s="61"/>
      <c r="P666" s="61"/>
      <c r="Q666" s="61"/>
      <c r="R666" s="61"/>
      <c r="S666" s="62"/>
      <c r="T666" s="62"/>
      <c r="U666" s="62"/>
    </row>
    <row r="667" spans="2:21" ht="15.75" customHeight="1" x14ac:dyDescent="0.3">
      <c r="B667" s="36"/>
      <c r="C667" s="36"/>
      <c r="D667" s="6"/>
      <c r="E667" s="36"/>
      <c r="F667" s="36"/>
      <c r="G667" s="6"/>
      <c r="H667" s="37"/>
      <c r="I667" s="36"/>
      <c r="J667" s="36"/>
      <c r="K667" s="60"/>
      <c r="M667" s="61"/>
      <c r="N667" s="61"/>
      <c r="O667" s="61"/>
      <c r="P667" s="61"/>
      <c r="Q667" s="61"/>
      <c r="R667" s="61"/>
      <c r="S667" s="62"/>
      <c r="T667" s="62"/>
      <c r="U667" s="62"/>
    </row>
    <row r="668" spans="2:21" ht="15.75" customHeight="1" x14ac:dyDescent="0.3">
      <c r="B668" s="36"/>
      <c r="C668" s="36"/>
      <c r="D668" s="6"/>
      <c r="E668" s="36"/>
      <c r="F668" s="36"/>
      <c r="G668" s="6"/>
      <c r="H668" s="37"/>
      <c r="I668" s="36"/>
      <c r="J668" s="36"/>
      <c r="K668" s="60"/>
      <c r="M668" s="61"/>
      <c r="N668" s="61"/>
      <c r="O668" s="61"/>
      <c r="P668" s="61"/>
      <c r="Q668" s="61"/>
      <c r="R668" s="61"/>
      <c r="S668" s="62"/>
      <c r="T668" s="62"/>
      <c r="U668" s="62"/>
    </row>
    <row r="669" spans="2:21" ht="15.75" customHeight="1" x14ac:dyDescent="0.3">
      <c r="B669" s="36"/>
      <c r="C669" s="36"/>
      <c r="D669" s="6"/>
      <c r="E669" s="36"/>
      <c r="F669" s="36"/>
      <c r="G669" s="6"/>
      <c r="H669" s="37"/>
      <c r="I669" s="36"/>
      <c r="J669" s="36"/>
      <c r="K669" s="60"/>
      <c r="M669" s="61"/>
      <c r="N669" s="61"/>
      <c r="O669" s="61"/>
      <c r="P669" s="61"/>
      <c r="Q669" s="61"/>
      <c r="R669" s="61"/>
      <c r="S669" s="62"/>
      <c r="T669" s="62"/>
      <c r="U669" s="62"/>
    </row>
    <row r="670" spans="2:21" ht="15.75" customHeight="1" x14ac:dyDescent="0.3">
      <c r="B670" s="36"/>
      <c r="C670" s="36"/>
      <c r="D670" s="6"/>
      <c r="E670" s="36"/>
      <c r="F670" s="36"/>
      <c r="G670" s="6"/>
      <c r="H670" s="37"/>
      <c r="I670" s="36"/>
      <c r="J670" s="36"/>
      <c r="K670" s="60"/>
      <c r="M670" s="61"/>
      <c r="N670" s="61"/>
      <c r="O670" s="61"/>
      <c r="P670" s="61"/>
      <c r="Q670" s="61"/>
      <c r="R670" s="61"/>
      <c r="S670" s="62"/>
      <c r="T670" s="62"/>
      <c r="U670" s="62"/>
    </row>
    <row r="671" spans="2:21" ht="15.75" customHeight="1" x14ac:dyDescent="0.3">
      <c r="B671" s="36"/>
      <c r="C671" s="36"/>
      <c r="D671" s="6"/>
      <c r="E671" s="36"/>
      <c r="F671" s="36"/>
      <c r="G671" s="6"/>
      <c r="H671" s="37"/>
      <c r="I671" s="36"/>
      <c r="J671" s="36"/>
      <c r="K671" s="60"/>
      <c r="M671" s="61"/>
      <c r="N671" s="61"/>
      <c r="O671" s="61"/>
      <c r="P671" s="61"/>
      <c r="Q671" s="61"/>
      <c r="R671" s="61"/>
      <c r="S671" s="62"/>
      <c r="T671" s="62"/>
      <c r="U671" s="62"/>
    </row>
    <row r="672" spans="2:21" ht="15.75" customHeight="1" x14ac:dyDescent="0.3">
      <c r="B672" s="36"/>
      <c r="C672" s="36"/>
      <c r="D672" s="6"/>
      <c r="E672" s="36"/>
      <c r="F672" s="36"/>
      <c r="G672" s="6"/>
      <c r="H672" s="37"/>
      <c r="I672" s="36"/>
      <c r="J672" s="36"/>
      <c r="K672" s="60"/>
      <c r="M672" s="61"/>
      <c r="N672" s="61"/>
      <c r="O672" s="61"/>
      <c r="P672" s="61"/>
      <c r="Q672" s="61"/>
      <c r="R672" s="61"/>
      <c r="S672" s="62"/>
      <c r="T672" s="62"/>
      <c r="U672" s="62"/>
    </row>
    <row r="673" spans="2:21" ht="15.75" customHeight="1" x14ac:dyDescent="0.3">
      <c r="B673" s="36"/>
      <c r="C673" s="36"/>
      <c r="D673" s="6"/>
      <c r="E673" s="36"/>
      <c r="F673" s="36"/>
      <c r="G673" s="6"/>
      <c r="H673" s="37"/>
      <c r="I673" s="36"/>
      <c r="J673" s="36"/>
      <c r="K673" s="60"/>
      <c r="M673" s="61"/>
      <c r="N673" s="61"/>
      <c r="O673" s="61"/>
      <c r="P673" s="61"/>
      <c r="Q673" s="61"/>
      <c r="R673" s="61"/>
      <c r="S673" s="62"/>
      <c r="T673" s="62"/>
      <c r="U673" s="62"/>
    </row>
    <row r="674" spans="2:21" ht="15.75" customHeight="1" x14ac:dyDescent="0.3">
      <c r="B674" s="36"/>
      <c r="C674" s="36"/>
      <c r="D674" s="6"/>
      <c r="E674" s="36"/>
      <c r="F674" s="36"/>
      <c r="G674" s="6"/>
      <c r="H674" s="37"/>
      <c r="I674" s="36"/>
      <c r="J674" s="36"/>
      <c r="K674" s="60"/>
      <c r="M674" s="61"/>
      <c r="N674" s="61"/>
      <c r="O674" s="61"/>
      <c r="P674" s="61"/>
      <c r="Q674" s="61"/>
      <c r="R674" s="61"/>
      <c r="S674" s="62"/>
      <c r="T674" s="62"/>
      <c r="U674" s="62"/>
    </row>
    <row r="675" spans="2:21" ht="15.75" customHeight="1" x14ac:dyDescent="0.3">
      <c r="B675" s="36"/>
      <c r="C675" s="36"/>
      <c r="D675" s="6"/>
      <c r="E675" s="36"/>
      <c r="F675" s="36"/>
      <c r="G675" s="6"/>
      <c r="H675" s="37"/>
      <c r="I675" s="36"/>
      <c r="J675" s="36"/>
      <c r="K675" s="60"/>
      <c r="M675" s="61"/>
      <c r="N675" s="61"/>
      <c r="O675" s="61"/>
      <c r="P675" s="61"/>
      <c r="Q675" s="61"/>
      <c r="R675" s="61"/>
      <c r="S675" s="62"/>
      <c r="T675" s="62"/>
      <c r="U675" s="62"/>
    </row>
    <row r="676" spans="2:21" ht="15.75" customHeight="1" x14ac:dyDescent="0.3">
      <c r="B676" s="36"/>
      <c r="C676" s="36"/>
      <c r="D676" s="6"/>
      <c r="E676" s="36"/>
      <c r="F676" s="36"/>
      <c r="G676" s="6"/>
      <c r="H676" s="37"/>
      <c r="I676" s="36"/>
      <c r="J676" s="36"/>
      <c r="K676" s="60"/>
      <c r="M676" s="61"/>
      <c r="N676" s="61"/>
      <c r="O676" s="61"/>
      <c r="P676" s="61"/>
      <c r="Q676" s="61"/>
      <c r="R676" s="61"/>
      <c r="S676" s="62"/>
      <c r="T676" s="62"/>
      <c r="U676" s="62"/>
    </row>
    <row r="677" spans="2:21" ht="15.75" customHeight="1" x14ac:dyDescent="0.3">
      <c r="B677" s="36"/>
      <c r="C677" s="36"/>
      <c r="D677" s="6"/>
      <c r="E677" s="36"/>
      <c r="F677" s="36"/>
      <c r="G677" s="6"/>
      <c r="H677" s="37"/>
      <c r="I677" s="36"/>
      <c r="J677" s="36"/>
      <c r="K677" s="60"/>
      <c r="M677" s="61"/>
      <c r="N677" s="61"/>
      <c r="O677" s="61"/>
      <c r="P677" s="61"/>
      <c r="Q677" s="61"/>
      <c r="R677" s="61"/>
      <c r="S677" s="62"/>
      <c r="T677" s="62"/>
      <c r="U677" s="62"/>
    </row>
    <row r="678" spans="2:21" ht="15.75" customHeight="1" x14ac:dyDescent="0.3">
      <c r="B678" s="36"/>
      <c r="C678" s="36"/>
      <c r="D678" s="6"/>
      <c r="E678" s="36"/>
      <c r="F678" s="36"/>
      <c r="G678" s="6"/>
      <c r="H678" s="37"/>
      <c r="I678" s="36"/>
      <c r="J678" s="36"/>
      <c r="K678" s="60"/>
      <c r="M678" s="61"/>
      <c r="N678" s="61"/>
      <c r="O678" s="61"/>
      <c r="P678" s="61"/>
      <c r="Q678" s="61"/>
      <c r="R678" s="61"/>
      <c r="S678" s="62"/>
      <c r="T678" s="62"/>
      <c r="U678" s="62"/>
    </row>
    <row r="679" spans="2:21" ht="15.75" customHeight="1" x14ac:dyDescent="0.3">
      <c r="B679" s="36"/>
      <c r="C679" s="36"/>
      <c r="D679" s="6"/>
      <c r="E679" s="36"/>
      <c r="F679" s="36"/>
      <c r="G679" s="6"/>
      <c r="H679" s="37"/>
      <c r="I679" s="36"/>
      <c r="J679" s="36"/>
      <c r="K679" s="60"/>
      <c r="M679" s="61"/>
      <c r="N679" s="61"/>
      <c r="O679" s="61"/>
      <c r="P679" s="61"/>
      <c r="Q679" s="61"/>
      <c r="R679" s="61"/>
      <c r="S679" s="62"/>
      <c r="T679" s="62"/>
      <c r="U679" s="62"/>
    </row>
    <row r="680" spans="2:21" ht="15.75" customHeight="1" x14ac:dyDescent="0.3">
      <c r="B680" s="36"/>
      <c r="C680" s="36"/>
      <c r="D680" s="6"/>
      <c r="E680" s="36"/>
      <c r="F680" s="36"/>
      <c r="G680" s="6"/>
      <c r="H680" s="37"/>
      <c r="I680" s="36"/>
      <c r="J680" s="36"/>
      <c r="K680" s="60"/>
      <c r="M680" s="61"/>
      <c r="N680" s="61"/>
      <c r="O680" s="61"/>
      <c r="P680" s="61"/>
      <c r="Q680" s="61"/>
      <c r="R680" s="61"/>
      <c r="S680" s="62"/>
      <c r="T680" s="62"/>
      <c r="U680" s="62"/>
    </row>
    <row r="681" spans="2:21" ht="15.75" customHeight="1" x14ac:dyDescent="0.3">
      <c r="B681" s="36"/>
      <c r="C681" s="36"/>
      <c r="D681" s="6"/>
      <c r="E681" s="36"/>
      <c r="F681" s="36"/>
      <c r="G681" s="6"/>
      <c r="H681" s="37"/>
      <c r="I681" s="36"/>
      <c r="J681" s="36"/>
      <c r="K681" s="60"/>
      <c r="M681" s="61"/>
      <c r="N681" s="61"/>
      <c r="O681" s="61"/>
      <c r="P681" s="61"/>
      <c r="Q681" s="61"/>
      <c r="R681" s="61"/>
      <c r="S681" s="62"/>
      <c r="T681" s="62"/>
      <c r="U681" s="62"/>
    </row>
    <row r="682" spans="2:21" ht="15.75" customHeight="1" x14ac:dyDescent="0.3">
      <c r="B682" s="36"/>
      <c r="C682" s="36"/>
      <c r="D682" s="6"/>
      <c r="E682" s="36"/>
      <c r="F682" s="36"/>
      <c r="G682" s="6"/>
      <c r="H682" s="37"/>
      <c r="I682" s="36"/>
      <c r="J682" s="36"/>
      <c r="K682" s="60"/>
      <c r="M682" s="61"/>
      <c r="N682" s="61"/>
      <c r="O682" s="61"/>
      <c r="P682" s="61"/>
      <c r="Q682" s="61"/>
      <c r="R682" s="61"/>
      <c r="S682" s="62"/>
      <c r="T682" s="62"/>
      <c r="U682" s="62"/>
    </row>
    <row r="683" spans="2:21" ht="15.75" customHeight="1" x14ac:dyDescent="0.3">
      <c r="B683" s="36"/>
      <c r="C683" s="36"/>
      <c r="D683" s="6"/>
      <c r="E683" s="36"/>
      <c r="F683" s="36"/>
      <c r="G683" s="6"/>
      <c r="H683" s="37"/>
      <c r="I683" s="36"/>
      <c r="J683" s="36"/>
      <c r="K683" s="60"/>
      <c r="M683" s="61"/>
      <c r="N683" s="61"/>
      <c r="O683" s="61"/>
      <c r="P683" s="61"/>
      <c r="Q683" s="61"/>
      <c r="R683" s="61"/>
      <c r="S683" s="62"/>
      <c r="T683" s="62"/>
      <c r="U683" s="62"/>
    </row>
    <row r="684" spans="2:21" ht="15.75" customHeight="1" x14ac:dyDescent="0.3">
      <c r="B684" s="36"/>
      <c r="C684" s="36"/>
      <c r="D684" s="6"/>
      <c r="E684" s="36"/>
      <c r="F684" s="36"/>
      <c r="G684" s="6"/>
      <c r="H684" s="37"/>
      <c r="I684" s="36"/>
      <c r="J684" s="36"/>
      <c r="K684" s="60"/>
      <c r="M684" s="61"/>
      <c r="N684" s="61"/>
      <c r="O684" s="61"/>
      <c r="P684" s="61"/>
      <c r="Q684" s="61"/>
      <c r="R684" s="61"/>
      <c r="S684" s="62"/>
      <c r="T684" s="62"/>
      <c r="U684" s="62"/>
    </row>
    <row r="685" spans="2:21" ht="15.75" customHeight="1" x14ac:dyDescent="0.3">
      <c r="B685" s="36"/>
      <c r="C685" s="36"/>
      <c r="D685" s="6"/>
      <c r="E685" s="36"/>
      <c r="F685" s="36"/>
      <c r="G685" s="6"/>
      <c r="H685" s="37"/>
      <c r="I685" s="36"/>
      <c r="J685" s="36"/>
      <c r="K685" s="60"/>
      <c r="M685" s="61"/>
      <c r="N685" s="61"/>
      <c r="O685" s="61"/>
      <c r="P685" s="61"/>
      <c r="Q685" s="61"/>
      <c r="R685" s="61"/>
      <c r="S685" s="62"/>
      <c r="T685" s="62"/>
      <c r="U685" s="62"/>
    </row>
    <row r="686" spans="2:21" ht="15.75" customHeight="1" x14ac:dyDescent="0.3">
      <c r="B686" s="36"/>
      <c r="C686" s="36"/>
      <c r="D686" s="6"/>
      <c r="E686" s="36"/>
      <c r="F686" s="36"/>
      <c r="G686" s="6"/>
      <c r="H686" s="37"/>
      <c r="I686" s="36"/>
      <c r="J686" s="36"/>
      <c r="K686" s="60"/>
      <c r="M686" s="61"/>
      <c r="N686" s="61"/>
      <c r="O686" s="61"/>
      <c r="P686" s="61"/>
      <c r="Q686" s="61"/>
      <c r="R686" s="61"/>
      <c r="S686" s="62"/>
      <c r="T686" s="62"/>
      <c r="U686" s="62"/>
    </row>
    <row r="687" spans="2:21" ht="15.75" customHeight="1" x14ac:dyDescent="0.3">
      <c r="B687" s="36"/>
      <c r="C687" s="36"/>
      <c r="D687" s="6"/>
      <c r="E687" s="36"/>
      <c r="F687" s="36"/>
      <c r="G687" s="6"/>
      <c r="H687" s="37"/>
      <c r="I687" s="36"/>
      <c r="J687" s="36"/>
      <c r="K687" s="60"/>
      <c r="M687" s="61"/>
      <c r="N687" s="61"/>
      <c r="O687" s="61"/>
      <c r="P687" s="61"/>
      <c r="Q687" s="61"/>
      <c r="R687" s="61"/>
      <c r="S687" s="62"/>
      <c r="T687" s="62"/>
      <c r="U687" s="62"/>
    </row>
    <row r="688" spans="2:21" ht="15.75" customHeight="1" x14ac:dyDescent="0.3">
      <c r="B688" s="36"/>
      <c r="C688" s="36"/>
      <c r="D688" s="6"/>
      <c r="E688" s="36"/>
      <c r="F688" s="36"/>
      <c r="G688" s="6"/>
      <c r="H688" s="37"/>
      <c r="I688" s="36"/>
      <c r="J688" s="36"/>
      <c r="K688" s="60"/>
      <c r="M688" s="61"/>
      <c r="N688" s="61"/>
      <c r="O688" s="61"/>
      <c r="P688" s="61"/>
      <c r="Q688" s="61"/>
      <c r="R688" s="61"/>
      <c r="S688" s="62"/>
      <c r="T688" s="62"/>
      <c r="U688" s="62"/>
    </row>
    <row r="689" spans="2:21" ht="15.75" customHeight="1" x14ac:dyDescent="0.3">
      <c r="B689" s="36"/>
      <c r="C689" s="36"/>
      <c r="D689" s="6"/>
      <c r="E689" s="36"/>
      <c r="F689" s="36"/>
      <c r="G689" s="6"/>
      <c r="H689" s="37"/>
      <c r="I689" s="36"/>
      <c r="J689" s="36"/>
      <c r="K689" s="60"/>
      <c r="M689" s="61"/>
      <c r="N689" s="61"/>
      <c r="O689" s="61"/>
      <c r="P689" s="61"/>
      <c r="Q689" s="61"/>
      <c r="R689" s="61"/>
      <c r="S689" s="62"/>
      <c r="T689" s="62"/>
      <c r="U689" s="62"/>
    </row>
    <row r="690" spans="2:21" ht="15.75" customHeight="1" x14ac:dyDescent="0.3">
      <c r="B690" s="36"/>
      <c r="C690" s="36"/>
      <c r="D690" s="6"/>
      <c r="E690" s="36"/>
      <c r="F690" s="36"/>
      <c r="G690" s="6"/>
      <c r="H690" s="37"/>
      <c r="I690" s="36"/>
      <c r="J690" s="36"/>
      <c r="K690" s="60"/>
      <c r="M690" s="61"/>
      <c r="N690" s="61"/>
      <c r="O690" s="61"/>
      <c r="P690" s="61"/>
      <c r="Q690" s="61"/>
      <c r="R690" s="61"/>
      <c r="S690" s="62"/>
      <c r="T690" s="62"/>
      <c r="U690" s="62"/>
    </row>
    <row r="691" spans="2:21" ht="15.75" customHeight="1" x14ac:dyDescent="0.3">
      <c r="B691" s="36"/>
      <c r="C691" s="36"/>
      <c r="D691" s="6"/>
      <c r="E691" s="36"/>
      <c r="F691" s="36"/>
      <c r="G691" s="6"/>
      <c r="H691" s="37"/>
      <c r="I691" s="36"/>
      <c r="J691" s="36"/>
      <c r="K691" s="60"/>
      <c r="M691" s="61"/>
      <c r="N691" s="61"/>
      <c r="O691" s="61"/>
      <c r="P691" s="61"/>
      <c r="Q691" s="61"/>
      <c r="R691" s="61"/>
      <c r="S691" s="62"/>
      <c r="T691" s="62"/>
      <c r="U691" s="62"/>
    </row>
    <row r="692" spans="2:21" ht="15.75" customHeight="1" x14ac:dyDescent="0.3">
      <c r="B692" s="36"/>
      <c r="C692" s="36"/>
      <c r="D692" s="6"/>
      <c r="E692" s="36"/>
      <c r="F692" s="36"/>
      <c r="G692" s="6"/>
      <c r="H692" s="37"/>
      <c r="I692" s="36"/>
      <c r="J692" s="36"/>
      <c r="K692" s="60"/>
      <c r="M692" s="61"/>
      <c r="N692" s="61"/>
      <c r="O692" s="61"/>
      <c r="P692" s="61"/>
      <c r="Q692" s="61"/>
      <c r="R692" s="61"/>
      <c r="S692" s="62"/>
      <c r="T692" s="62"/>
      <c r="U692" s="62"/>
    </row>
    <row r="693" spans="2:21" ht="15.75" customHeight="1" x14ac:dyDescent="0.3">
      <c r="B693" s="36"/>
      <c r="C693" s="36"/>
      <c r="D693" s="6"/>
      <c r="E693" s="36"/>
      <c r="F693" s="36"/>
      <c r="G693" s="6"/>
      <c r="H693" s="37"/>
      <c r="I693" s="36"/>
      <c r="J693" s="36"/>
      <c r="K693" s="60"/>
      <c r="M693" s="61"/>
      <c r="N693" s="61"/>
      <c r="O693" s="61"/>
      <c r="P693" s="61"/>
      <c r="Q693" s="61"/>
      <c r="R693" s="61"/>
      <c r="S693" s="62"/>
      <c r="T693" s="62"/>
      <c r="U693" s="62"/>
    </row>
    <row r="694" spans="2:21" ht="15.75" customHeight="1" x14ac:dyDescent="0.3">
      <c r="B694" s="36"/>
      <c r="C694" s="36"/>
      <c r="D694" s="6"/>
      <c r="E694" s="36"/>
      <c r="F694" s="36"/>
      <c r="G694" s="6"/>
      <c r="H694" s="37"/>
      <c r="I694" s="36"/>
      <c r="J694" s="36"/>
      <c r="K694" s="60"/>
      <c r="M694" s="61"/>
      <c r="N694" s="61"/>
      <c r="O694" s="61"/>
      <c r="P694" s="61"/>
      <c r="Q694" s="61"/>
      <c r="R694" s="61"/>
      <c r="S694" s="62"/>
      <c r="T694" s="62"/>
      <c r="U694" s="62"/>
    </row>
    <row r="695" spans="2:21" ht="15.75" customHeight="1" x14ac:dyDescent="0.3">
      <c r="B695" s="36"/>
      <c r="C695" s="36"/>
      <c r="D695" s="6"/>
      <c r="E695" s="36"/>
      <c r="F695" s="36"/>
      <c r="G695" s="6"/>
      <c r="H695" s="37"/>
      <c r="I695" s="36"/>
      <c r="J695" s="36"/>
      <c r="K695" s="60"/>
      <c r="M695" s="61"/>
      <c r="N695" s="61"/>
      <c r="O695" s="61"/>
      <c r="P695" s="61"/>
      <c r="Q695" s="61"/>
      <c r="R695" s="61"/>
      <c r="S695" s="62"/>
      <c r="T695" s="62"/>
      <c r="U695" s="62"/>
    </row>
    <row r="696" spans="2:21" ht="15.75" customHeight="1" x14ac:dyDescent="0.3">
      <c r="B696" s="36"/>
      <c r="C696" s="36"/>
      <c r="D696" s="6"/>
      <c r="E696" s="36"/>
      <c r="F696" s="36"/>
      <c r="G696" s="6"/>
      <c r="H696" s="37"/>
      <c r="I696" s="36"/>
      <c r="J696" s="36"/>
      <c r="K696" s="60"/>
      <c r="M696" s="61"/>
      <c r="N696" s="61"/>
      <c r="O696" s="61"/>
      <c r="P696" s="61"/>
      <c r="Q696" s="61"/>
      <c r="R696" s="61"/>
      <c r="S696" s="62"/>
      <c r="T696" s="62"/>
      <c r="U696" s="62"/>
    </row>
    <row r="697" spans="2:21" ht="15.75" customHeight="1" x14ac:dyDescent="0.3">
      <c r="B697" s="36"/>
      <c r="C697" s="36"/>
      <c r="D697" s="6"/>
      <c r="E697" s="36"/>
      <c r="F697" s="36"/>
      <c r="G697" s="6"/>
      <c r="H697" s="37"/>
      <c r="I697" s="36"/>
      <c r="J697" s="36"/>
      <c r="K697" s="60"/>
      <c r="M697" s="61"/>
      <c r="N697" s="61"/>
      <c r="O697" s="61"/>
      <c r="P697" s="61"/>
      <c r="Q697" s="61"/>
      <c r="R697" s="61"/>
      <c r="S697" s="62"/>
      <c r="T697" s="62"/>
      <c r="U697" s="62"/>
    </row>
    <row r="698" spans="2:21" ht="15.75" customHeight="1" x14ac:dyDescent="0.3">
      <c r="B698" s="36"/>
      <c r="C698" s="36"/>
      <c r="D698" s="6"/>
      <c r="E698" s="36"/>
      <c r="F698" s="36"/>
      <c r="G698" s="6"/>
      <c r="H698" s="37"/>
      <c r="I698" s="36"/>
      <c r="J698" s="36"/>
      <c r="K698" s="60"/>
      <c r="M698" s="61"/>
      <c r="N698" s="61"/>
      <c r="O698" s="61"/>
      <c r="P698" s="61"/>
      <c r="Q698" s="61"/>
      <c r="R698" s="61"/>
      <c r="S698" s="62"/>
      <c r="T698" s="62"/>
      <c r="U698" s="62"/>
    </row>
    <row r="699" spans="2:21" ht="15.75" customHeight="1" x14ac:dyDescent="0.3">
      <c r="B699" s="36"/>
      <c r="C699" s="36"/>
      <c r="D699" s="6"/>
      <c r="E699" s="36"/>
      <c r="F699" s="36"/>
      <c r="G699" s="6"/>
      <c r="H699" s="37"/>
      <c r="I699" s="36"/>
      <c r="J699" s="36"/>
      <c r="K699" s="60"/>
      <c r="M699" s="61"/>
      <c r="N699" s="61"/>
      <c r="O699" s="61"/>
      <c r="P699" s="61"/>
      <c r="Q699" s="61"/>
      <c r="R699" s="61"/>
      <c r="S699" s="62"/>
      <c r="T699" s="62"/>
      <c r="U699" s="62"/>
    </row>
    <row r="700" spans="2:21" ht="15.75" customHeight="1" x14ac:dyDescent="0.3">
      <c r="B700" s="36"/>
      <c r="C700" s="36"/>
      <c r="D700" s="6"/>
      <c r="E700" s="36"/>
      <c r="F700" s="36"/>
      <c r="G700" s="6"/>
      <c r="H700" s="37"/>
      <c r="I700" s="36"/>
      <c r="J700" s="36"/>
      <c r="K700" s="60"/>
      <c r="M700" s="61"/>
      <c r="N700" s="61"/>
      <c r="O700" s="61"/>
      <c r="P700" s="61"/>
      <c r="Q700" s="61"/>
      <c r="R700" s="61"/>
      <c r="S700" s="62"/>
      <c r="T700" s="62"/>
      <c r="U700" s="62"/>
    </row>
    <row r="701" spans="2:21" ht="15.75" customHeight="1" x14ac:dyDescent="0.3">
      <c r="B701" s="36"/>
      <c r="C701" s="36"/>
      <c r="D701" s="6"/>
      <c r="E701" s="36"/>
      <c r="F701" s="36"/>
      <c r="G701" s="6"/>
      <c r="H701" s="37"/>
      <c r="I701" s="36"/>
      <c r="J701" s="36"/>
      <c r="K701" s="60"/>
      <c r="M701" s="61"/>
      <c r="N701" s="61"/>
      <c r="O701" s="61"/>
      <c r="P701" s="61"/>
      <c r="Q701" s="61"/>
      <c r="R701" s="61"/>
      <c r="S701" s="62"/>
      <c r="T701" s="62"/>
      <c r="U701" s="62"/>
    </row>
    <row r="702" spans="2:21" ht="15.75" customHeight="1" x14ac:dyDescent="0.3">
      <c r="B702" s="36"/>
      <c r="C702" s="36"/>
      <c r="D702" s="6"/>
      <c r="E702" s="36"/>
      <c r="F702" s="36"/>
      <c r="G702" s="6"/>
      <c r="H702" s="37"/>
      <c r="I702" s="36"/>
      <c r="J702" s="36"/>
      <c r="K702" s="60"/>
      <c r="M702" s="61"/>
      <c r="N702" s="61"/>
      <c r="O702" s="61"/>
      <c r="P702" s="61"/>
      <c r="Q702" s="61"/>
      <c r="R702" s="61"/>
      <c r="S702" s="62"/>
      <c r="T702" s="62"/>
      <c r="U702" s="62"/>
    </row>
    <row r="703" spans="2:21" ht="15.75" customHeight="1" x14ac:dyDescent="0.3">
      <c r="B703" s="36"/>
      <c r="C703" s="36"/>
      <c r="D703" s="6"/>
      <c r="E703" s="36"/>
      <c r="F703" s="36"/>
      <c r="G703" s="6"/>
      <c r="H703" s="37"/>
      <c r="I703" s="36"/>
      <c r="J703" s="36"/>
      <c r="K703" s="60"/>
      <c r="M703" s="61"/>
      <c r="N703" s="61"/>
      <c r="O703" s="61"/>
      <c r="P703" s="61"/>
      <c r="Q703" s="61"/>
      <c r="R703" s="61"/>
      <c r="S703" s="62"/>
      <c r="T703" s="62"/>
      <c r="U703" s="62"/>
    </row>
    <row r="704" spans="2:21" ht="15.75" customHeight="1" x14ac:dyDescent="0.3">
      <c r="B704" s="36"/>
      <c r="C704" s="36"/>
      <c r="D704" s="6"/>
      <c r="E704" s="36"/>
      <c r="F704" s="36"/>
      <c r="G704" s="6"/>
      <c r="H704" s="37"/>
      <c r="I704" s="36"/>
      <c r="J704" s="36"/>
      <c r="K704" s="60"/>
      <c r="M704" s="61"/>
      <c r="N704" s="61"/>
      <c r="O704" s="61"/>
      <c r="P704" s="61"/>
      <c r="Q704" s="61"/>
      <c r="R704" s="61"/>
      <c r="S704" s="62"/>
      <c r="T704" s="62"/>
      <c r="U704" s="62"/>
    </row>
    <row r="705" spans="2:21" ht="15.75" customHeight="1" x14ac:dyDescent="0.3">
      <c r="B705" s="36"/>
      <c r="C705" s="36"/>
      <c r="D705" s="6"/>
      <c r="E705" s="36"/>
      <c r="F705" s="36"/>
      <c r="G705" s="6"/>
      <c r="H705" s="37"/>
      <c r="I705" s="36"/>
      <c r="J705" s="36"/>
      <c r="K705" s="60"/>
      <c r="M705" s="61"/>
      <c r="N705" s="61"/>
      <c r="O705" s="61"/>
      <c r="P705" s="61"/>
      <c r="Q705" s="61"/>
      <c r="R705" s="61"/>
      <c r="S705" s="62"/>
      <c r="T705" s="62"/>
      <c r="U705" s="62"/>
    </row>
    <row r="706" spans="2:21" ht="15.75" customHeight="1" x14ac:dyDescent="0.3">
      <c r="B706" s="36"/>
      <c r="C706" s="36"/>
      <c r="D706" s="6"/>
      <c r="E706" s="36"/>
      <c r="F706" s="36"/>
      <c r="G706" s="6"/>
      <c r="H706" s="37"/>
      <c r="I706" s="36"/>
      <c r="J706" s="36"/>
      <c r="K706" s="60"/>
      <c r="M706" s="61"/>
      <c r="N706" s="61"/>
      <c r="O706" s="61"/>
      <c r="P706" s="61"/>
      <c r="Q706" s="61"/>
      <c r="R706" s="61"/>
      <c r="S706" s="62"/>
      <c r="T706" s="62"/>
      <c r="U706" s="62"/>
    </row>
    <row r="707" spans="2:21" ht="15.75" customHeight="1" x14ac:dyDescent="0.3">
      <c r="B707" s="36"/>
      <c r="C707" s="36"/>
      <c r="D707" s="6"/>
      <c r="E707" s="36"/>
      <c r="F707" s="36"/>
      <c r="G707" s="6"/>
      <c r="H707" s="37"/>
      <c r="I707" s="36"/>
      <c r="J707" s="36"/>
      <c r="K707" s="60"/>
      <c r="M707" s="61"/>
      <c r="N707" s="61"/>
      <c r="O707" s="61"/>
      <c r="P707" s="61"/>
      <c r="Q707" s="61"/>
      <c r="R707" s="61"/>
      <c r="S707" s="62"/>
      <c r="T707" s="62"/>
      <c r="U707" s="62"/>
    </row>
    <row r="708" spans="2:21" ht="15.75" customHeight="1" x14ac:dyDescent="0.3">
      <c r="B708" s="36"/>
      <c r="C708" s="36"/>
      <c r="D708" s="6"/>
      <c r="E708" s="36"/>
      <c r="F708" s="36"/>
      <c r="G708" s="6"/>
      <c r="H708" s="37"/>
      <c r="I708" s="36"/>
      <c r="J708" s="36"/>
      <c r="K708" s="60"/>
      <c r="M708" s="61"/>
      <c r="N708" s="61"/>
      <c r="O708" s="61"/>
      <c r="P708" s="61"/>
      <c r="Q708" s="61"/>
      <c r="R708" s="61"/>
      <c r="S708" s="62"/>
      <c r="T708" s="62"/>
      <c r="U708" s="62"/>
    </row>
    <row r="709" spans="2:21" ht="15.75" customHeight="1" x14ac:dyDescent="0.3">
      <c r="B709" s="36"/>
      <c r="C709" s="36"/>
      <c r="D709" s="6"/>
      <c r="E709" s="36"/>
      <c r="F709" s="36"/>
      <c r="G709" s="6"/>
      <c r="H709" s="37"/>
      <c r="I709" s="36"/>
      <c r="J709" s="36"/>
      <c r="K709" s="60"/>
      <c r="M709" s="61"/>
      <c r="N709" s="61"/>
      <c r="O709" s="61"/>
      <c r="P709" s="61"/>
      <c r="Q709" s="61"/>
      <c r="R709" s="61"/>
      <c r="S709" s="62"/>
      <c r="T709" s="62"/>
      <c r="U709" s="62"/>
    </row>
    <row r="710" spans="2:21" ht="15.75" customHeight="1" x14ac:dyDescent="0.3">
      <c r="B710" s="36"/>
      <c r="C710" s="36"/>
      <c r="D710" s="6"/>
      <c r="E710" s="36"/>
      <c r="F710" s="36"/>
      <c r="G710" s="6"/>
      <c r="H710" s="37"/>
      <c r="I710" s="36"/>
      <c r="J710" s="36"/>
      <c r="K710" s="60"/>
      <c r="M710" s="61"/>
      <c r="N710" s="61"/>
      <c r="O710" s="61"/>
      <c r="P710" s="61"/>
      <c r="Q710" s="61"/>
      <c r="R710" s="61"/>
      <c r="S710" s="62"/>
      <c r="T710" s="62"/>
      <c r="U710" s="62"/>
    </row>
    <row r="711" spans="2:21" ht="15.75" customHeight="1" x14ac:dyDescent="0.3">
      <c r="B711" s="36"/>
      <c r="C711" s="36"/>
      <c r="D711" s="6"/>
      <c r="E711" s="36"/>
      <c r="F711" s="36"/>
      <c r="G711" s="6"/>
      <c r="H711" s="37"/>
      <c r="I711" s="36"/>
      <c r="J711" s="36"/>
      <c r="K711" s="60"/>
      <c r="M711" s="61"/>
      <c r="N711" s="61"/>
      <c r="O711" s="61"/>
      <c r="P711" s="61"/>
      <c r="Q711" s="61"/>
      <c r="R711" s="61"/>
      <c r="S711" s="62"/>
      <c r="T711" s="62"/>
      <c r="U711" s="62"/>
    </row>
    <row r="712" spans="2:21" ht="15.75" customHeight="1" x14ac:dyDescent="0.3">
      <c r="B712" s="36"/>
      <c r="C712" s="36"/>
      <c r="D712" s="6"/>
      <c r="E712" s="36"/>
      <c r="F712" s="36"/>
      <c r="G712" s="6"/>
      <c r="H712" s="37"/>
      <c r="I712" s="36"/>
      <c r="J712" s="36"/>
      <c r="K712" s="60"/>
      <c r="M712" s="61"/>
      <c r="N712" s="61"/>
      <c r="O712" s="61"/>
      <c r="P712" s="61"/>
      <c r="Q712" s="61"/>
      <c r="R712" s="61"/>
      <c r="S712" s="62"/>
      <c r="T712" s="62"/>
      <c r="U712" s="62"/>
    </row>
    <row r="713" spans="2:21" ht="15.75" customHeight="1" x14ac:dyDescent="0.3">
      <c r="B713" s="36"/>
      <c r="C713" s="36"/>
      <c r="D713" s="6"/>
      <c r="E713" s="36"/>
      <c r="F713" s="36"/>
      <c r="G713" s="6"/>
      <c r="H713" s="37"/>
      <c r="I713" s="36"/>
      <c r="J713" s="36"/>
      <c r="K713" s="60"/>
      <c r="M713" s="61"/>
      <c r="N713" s="61"/>
      <c r="O713" s="61"/>
      <c r="P713" s="61"/>
      <c r="Q713" s="61"/>
      <c r="R713" s="61"/>
      <c r="S713" s="62"/>
      <c r="T713" s="62"/>
      <c r="U713" s="62"/>
    </row>
    <row r="714" spans="2:21" ht="15.75" customHeight="1" x14ac:dyDescent="0.3">
      <c r="B714" s="36"/>
      <c r="C714" s="36"/>
      <c r="D714" s="6"/>
      <c r="E714" s="36"/>
      <c r="F714" s="36"/>
      <c r="G714" s="6"/>
      <c r="H714" s="37"/>
      <c r="I714" s="36"/>
      <c r="J714" s="36"/>
      <c r="K714" s="60"/>
      <c r="M714" s="61"/>
      <c r="N714" s="61"/>
      <c r="O714" s="61"/>
      <c r="P714" s="61"/>
      <c r="Q714" s="61"/>
      <c r="R714" s="61"/>
      <c r="S714" s="62"/>
      <c r="T714" s="62"/>
      <c r="U714" s="62"/>
    </row>
    <row r="715" spans="2:21" ht="15.75" customHeight="1" x14ac:dyDescent="0.3">
      <c r="B715" s="36"/>
      <c r="C715" s="36"/>
      <c r="D715" s="6"/>
      <c r="E715" s="36"/>
      <c r="F715" s="36"/>
      <c r="G715" s="6"/>
      <c r="H715" s="37"/>
      <c r="I715" s="36"/>
      <c r="J715" s="36"/>
      <c r="K715" s="60"/>
      <c r="M715" s="61"/>
      <c r="N715" s="61"/>
      <c r="O715" s="61"/>
      <c r="P715" s="61"/>
      <c r="Q715" s="61"/>
      <c r="R715" s="61"/>
      <c r="S715" s="62"/>
      <c r="T715" s="62"/>
      <c r="U715" s="62"/>
    </row>
    <row r="716" spans="2:21" ht="15.75" customHeight="1" x14ac:dyDescent="0.3">
      <c r="B716" s="36"/>
      <c r="C716" s="36"/>
      <c r="D716" s="6"/>
      <c r="E716" s="36"/>
      <c r="F716" s="36"/>
      <c r="G716" s="6"/>
      <c r="H716" s="37"/>
      <c r="I716" s="36"/>
      <c r="J716" s="36"/>
      <c r="K716" s="60"/>
      <c r="M716" s="61"/>
      <c r="N716" s="61"/>
      <c r="O716" s="61"/>
      <c r="P716" s="61"/>
      <c r="Q716" s="61"/>
      <c r="R716" s="61"/>
      <c r="S716" s="62"/>
      <c r="T716" s="62"/>
      <c r="U716" s="62"/>
    </row>
    <row r="717" spans="2:21" ht="15.75" customHeight="1" x14ac:dyDescent="0.3">
      <c r="B717" s="36"/>
      <c r="C717" s="36"/>
      <c r="D717" s="6"/>
      <c r="E717" s="36"/>
      <c r="F717" s="36"/>
      <c r="G717" s="6"/>
      <c r="H717" s="37"/>
      <c r="I717" s="36"/>
      <c r="J717" s="36"/>
      <c r="K717" s="60"/>
      <c r="M717" s="61"/>
      <c r="N717" s="61"/>
      <c r="O717" s="61"/>
      <c r="P717" s="61"/>
      <c r="Q717" s="61"/>
      <c r="R717" s="61"/>
      <c r="S717" s="62"/>
      <c r="T717" s="62"/>
      <c r="U717" s="62"/>
    </row>
    <row r="718" spans="2:21" ht="15.75" customHeight="1" x14ac:dyDescent="0.3">
      <c r="B718" s="36"/>
      <c r="C718" s="36"/>
      <c r="D718" s="6"/>
      <c r="E718" s="36"/>
      <c r="F718" s="36"/>
      <c r="G718" s="6"/>
      <c r="H718" s="37"/>
      <c r="I718" s="36"/>
      <c r="J718" s="36"/>
      <c r="K718" s="60"/>
      <c r="M718" s="61"/>
      <c r="N718" s="61"/>
      <c r="O718" s="61"/>
      <c r="P718" s="61"/>
      <c r="Q718" s="61"/>
      <c r="R718" s="61"/>
      <c r="S718" s="62"/>
      <c r="T718" s="62"/>
      <c r="U718" s="62"/>
    </row>
    <row r="719" spans="2:21" ht="15.75" customHeight="1" x14ac:dyDescent="0.3">
      <c r="B719" s="36"/>
      <c r="C719" s="36"/>
      <c r="D719" s="6"/>
      <c r="E719" s="36"/>
      <c r="F719" s="36"/>
      <c r="G719" s="6"/>
      <c r="H719" s="37"/>
      <c r="I719" s="36"/>
      <c r="J719" s="36"/>
      <c r="K719" s="60"/>
      <c r="M719" s="61"/>
      <c r="N719" s="61"/>
      <c r="O719" s="61"/>
      <c r="P719" s="61"/>
      <c r="Q719" s="61"/>
      <c r="R719" s="61"/>
      <c r="S719" s="62"/>
      <c r="T719" s="62"/>
      <c r="U719" s="62"/>
    </row>
    <row r="720" spans="2:21" ht="15.75" customHeight="1" x14ac:dyDescent="0.3">
      <c r="B720" s="36"/>
      <c r="C720" s="36"/>
      <c r="D720" s="6"/>
      <c r="E720" s="36"/>
      <c r="F720" s="36"/>
      <c r="G720" s="6"/>
      <c r="H720" s="37"/>
      <c r="I720" s="36"/>
      <c r="J720" s="36"/>
      <c r="K720" s="60"/>
      <c r="M720" s="61"/>
      <c r="N720" s="61"/>
      <c r="O720" s="61"/>
      <c r="P720" s="61"/>
      <c r="Q720" s="61"/>
      <c r="R720" s="61"/>
      <c r="S720" s="62"/>
      <c r="T720" s="62"/>
      <c r="U720" s="62"/>
    </row>
    <row r="721" spans="2:21" ht="15.75" customHeight="1" x14ac:dyDescent="0.3">
      <c r="B721" s="36"/>
      <c r="C721" s="36"/>
      <c r="D721" s="6"/>
      <c r="E721" s="36"/>
      <c r="F721" s="36"/>
      <c r="G721" s="6"/>
      <c r="H721" s="37"/>
      <c r="I721" s="36"/>
      <c r="J721" s="36"/>
      <c r="K721" s="60"/>
      <c r="M721" s="61"/>
      <c r="N721" s="61"/>
      <c r="O721" s="61"/>
      <c r="P721" s="61"/>
      <c r="Q721" s="61"/>
      <c r="R721" s="61"/>
      <c r="S721" s="62"/>
      <c r="T721" s="62"/>
      <c r="U721" s="62"/>
    </row>
    <row r="722" spans="2:21" ht="15.75" customHeight="1" x14ac:dyDescent="0.3">
      <c r="B722" s="36"/>
      <c r="C722" s="36"/>
      <c r="D722" s="6"/>
      <c r="E722" s="36"/>
      <c r="F722" s="36"/>
      <c r="G722" s="6"/>
      <c r="H722" s="37"/>
      <c r="I722" s="36"/>
      <c r="J722" s="36"/>
      <c r="K722" s="60"/>
      <c r="M722" s="61"/>
      <c r="N722" s="61"/>
      <c r="O722" s="61"/>
      <c r="P722" s="61"/>
      <c r="Q722" s="61"/>
      <c r="R722" s="61"/>
      <c r="S722" s="62"/>
      <c r="T722" s="62"/>
      <c r="U722" s="62"/>
    </row>
    <row r="723" spans="2:21" ht="15.75" customHeight="1" x14ac:dyDescent="0.3">
      <c r="B723" s="36"/>
      <c r="C723" s="36"/>
      <c r="D723" s="6"/>
      <c r="E723" s="36"/>
      <c r="F723" s="36"/>
      <c r="G723" s="6"/>
      <c r="H723" s="37"/>
      <c r="I723" s="36"/>
      <c r="J723" s="36"/>
      <c r="K723" s="60"/>
      <c r="M723" s="61"/>
      <c r="N723" s="61"/>
      <c r="O723" s="61"/>
      <c r="P723" s="61"/>
      <c r="Q723" s="61"/>
      <c r="R723" s="61"/>
      <c r="S723" s="62"/>
      <c r="T723" s="62"/>
      <c r="U723" s="62"/>
    </row>
    <row r="724" spans="2:21" ht="15.75" customHeight="1" x14ac:dyDescent="0.3">
      <c r="B724" s="36"/>
      <c r="C724" s="36"/>
      <c r="D724" s="6"/>
      <c r="E724" s="36"/>
      <c r="F724" s="36"/>
      <c r="G724" s="6"/>
      <c r="H724" s="37"/>
      <c r="I724" s="36"/>
      <c r="J724" s="36"/>
      <c r="K724" s="60"/>
      <c r="M724" s="61"/>
      <c r="N724" s="61"/>
      <c r="O724" s="61"/>
      <c r="P724" s="61"/>
      <c r="Q724" s="61"/>
      <c r="R724" s="61"/>
      <c r="S724" s="62"/>
      <c r="T724" s="62"/>
      <c r="U724" s="62"/>
    </row>
    <row r="725" spans="2:21" ht="15.75" customHeight="1" x14ac:dyDescent="0.3">
      <c r="B725" s="36"/>
      <c r="C725" s="36"/>
      <c r="D725" s="6"/>
      <c r="E725" s="36"/>
      <c r="F725" s="36"/>
      <c r="G725" s="6"/>
      <c r="H725" s="37"/>
      <c r="I725" s="36"/>
      <c r="J725" s="36"/>
      <c r="K725" s="60"/>
      <c r="M725" s="61"/>
      <c r="N725" s="61"/>
      <c r="O725" s="61"/>
      <c r="P725" s="61"/>
      <c r="Q725" s="61"/>
      <c r="R725" s="61"/>
      <c r="S725" s="62"/>
      <c r="T725" s="62"/>
      <c r="U725" s="62"/>
    </row>
    <row r="726" spans="2:21" ht="15.75" customHeight="1" x14ac:dyDescent="0.3">
      <c r="B726" s="36"/>
      <c r="C726" s="36"/>
      <c r="D726" s="6"/>
      <c r="E726" s="36"/>
      <c r="F726" s="36"/>
      <c r="G726" s="6"/>
      <c r="H726" s="37"/>
      <c r="I726" s="36"/>
      <c r="J726" s="36"/>
      <c r="K726" s="60"/>
      <c r="M726" s="61"/>
      <c r="N726" s="61"/>
      <c r="O726" s="61"/>
      <c r="P726" s="61"/>
      <c r="Q726" s="61"/>
      <c r="R726" s="61"/>
      <c r="S726" s="62"/>
      <c r="T726" s="62"/>
      <c r="U726" s="62"/>
    </row>
    <row r="727" spans="2:21" ht="15.75" customHeight="1" x14ac:dyDescent="0.3">
      <c r="B727" s="36"/>
      <c r="C727" s="36"/>
      <c r="D727" s="6"/>
      <c r="E727" s="36"/>
      <c r="F727" s="36"/>
      <c r="G727" s="6"/>
      <c r="H727" s="37"/>
      <c r="I727" s="36"/>
      <c r="J727" s="36"/>
      <c r="K727" s="60"/>
      <c r="M727" s="61"/>
      <c r="N727" s="61"/>
      <c r="O727" s="61"/>
      <c r="P727" s="61"/>
      <c r="Q727" s="61"/>
      <c r="R727" s="61"/>
      <c r="S727" s="62"/>
      <c r="T727" s="62"/>
      <c r="U727" s="62"/>
    </row>
    <row r="728" spans="2:21" ht="15.75" customHeight="1" x14ac:dyDescent="0.3">
      <c r="B728" s="36"/>
      <c r="C728" s="36"/>
      <c r="D728" s="6"/>
      <c r="E728" s="36"/>
      <c r="F728" s="36"/>
      <c r="G728" s="6"/>
      <c r="H728" s="37"/>
      <c r="I728" s="36"/>
      <c r="J728" s="36"/>
      <c r="K728" s="60"/>
      <c r="M728" s="61"/>
      <c r="N728" s="61"/>
      <c r="O728" s="61"/>
      <c r="P728" s="61"/>
      <c r="Q728" s="61"/>
      <c r="R728" s="61"/>
      <c r="S728" s="62"/>
      <c r="T728" s="62"/>
      <c r="U728" s="62"/>
    </row>
    <row r="729" spans="2:21" ht="15.75" customHeight="1" x14ac:dyDescent="0.3">
      <c r="B729" s="36"/>
      <c r="C729" s="36"/>
      <c r="D729" s="6"/>
      <c r="E729" s="36"/>
      <c r="F729" s="36"/>
      <c r="G729" s="6"/>
      <c r="H729" s="37"/>
      <c r="I729" s="36"/>
      <c r="J729" s="36"/>
      <c r="K729" s="60"/>
      <c r="M729" s="61"/>
      <c r="N729" s="61"/>
      <c r="O729" s="61"/>
      <c r="P729" s="61"/>
      <c r="Q729" s="61"/>
      <c r="R729" s="61"/>
      <c r="S729" s="62"/>
      <c r="T729" s="62"/>
      <c r="U729" s="62"/>
    </row>
    <row r="730" spans="2:21" ht="15.75" customHeight="1" x14ac:dyDescent="0.3">
      <c r="B730" s="36"/>
      <c r="C730" s="36"/>
      <c r="D730" s="6"/>
      <c r="E730" s="36"/>
      <c r="F730" s="36"/>
      <c r="G730" s="6"/>
      <c r="H730" s="37"/>
      <c r="I730" s="36"/>
      <c r="J730" s="36"/>
      <c r="K730" s="60"/>
      <c r="M730" s="61"/>
      <c r="N730" s="61"/>
      <c r="O730" s="61"/>
      <c r="P730" s="61"/>
      <c r="Q730" s="61"/>
      <c r="R730" s="61"/>
      <c r="S730" s="62"/>
      <c r="T730" s="62"/>
      <c r="U730" s="62"/>
    </row>
    <row r="731" spans="2:21" ht="15.75" customHeight="1" x14ac:dyDescent="0.3">
      <c r="B731" s="36"/>
      <c r="C731" s="36"/>
      <c r="D731" s="6"/>
      <c r="E731" s="36"/>
      <c r="F731" s="36"/>
      <c r="G731" s="6"/>
      <c r="H731" s="37"/>
      <c r="I731" s="36"/>
      <c r="J731" s="36"/>
      <c r="K731" s="60"/>
      <c r="M731" s="61"/>
      <c r="N731" s="61"/>
      <c r="O731" s="61"/>
      <c r="P731" s="61"/>
      <c r="Q731" s="61"/>
      <c r="R731" s="61"/>
      <c r="S731" s="62"/>
      <c r="T731" s="62"/>
      <c r="U731" s="62"/>
    </row>
    <row r="732" spans="2:21" ht="15.75" customHeight="1" x14ac:dyDescent="0.3">
      <c r="B732" s="36"/>
      <c r="C732" s="36"/>
      <c r="D732" s="6"/>
      <c r="E732" s="36"/>
      <c r="F732" s="36"/>
      <c r="G732" s="6"/>
      <c r="H732" s="37"/>
      <c r="I732" s="36"/>
      <c r="J732" s="36"/>
      <c r="K732" s="60"/>
      <c r="M732" s="61"/>
      <c r="N732" s="61"/>
      <c r="O732" s="61"/>
      <c r="P732" s="61"/>
      <c r="Q732" s="61"/>
      <c r="R732" s="61"/>
      <c r="S732" s="62"/>
      <c r="T732" s="62"/>
      <c r="U732" s="62"/>
    </row>
    <row r="733" spans="2:21" ht="15.75" customHeight="1" x14ac:dyDescent="0.3">
      <c r="B733" s="36"/>
      <c r="C733" s="36"/>
      <c r="D733" s="6"/>
      <c r="E733" s="36"/>
      <c r="F733" s="36"/>
      <c r="G733" s="6"/>
      <c r="H733" s="37"/>
      <c r="I733" s="36"/>
      <c r="J733" s="36"/>
      <c r="K733" s="60"/>
      <c r="M733" s="61"/>
      <c r="N733" s="61"/>
      <c r="O733" s="61"/>
      <c r="P733" s="61"/>
      <c r="Q733" s="61"/>
      <c r="R733" s="61"/>
      <c r="S733" s="62"/>
      <c r="T733" s="62"/>
      <c r="U733" s="62"/>
    </row>
    <row r="734" spans="2:21" ht="15.75" customHeight="1" x14ac:dyDescent="0.3">
      <c r="B734" s="36"/>
      <c r="C734" s="36"/>
      <c r="D734" s="6"/>
      <c r="E734" s="36"/>
      <c r="F734" s="36"/>
      <c r="G734" s="6"/>
      <c r="H734" s="37"/>
      <c r="I734" s="36"/>
      <c r="J734" s="36"/>
      <c r="K734" s="60"/>
      <c r="M734" s="61"/>
      <c r="N734" s="61"/>
      <c r="O734" s="61"/>
      <c r="P734" s="61"/>
      <c r="Q734" s="61"/>
      <c r="R734" s="61"/>
      <c r="S734" s="62"/>
      <c r="T734" s="62"/>
      <c r="U734" s="62"/>
    </row>
    <row r="735" spans="2:21" ht="15.75" customHeight="1" x14ac:dyDescent="0.3">
      <c r="B735" s="36"/>
      <c r="C735" s="36"/>
      <c r="D735" s="6"/>
      <c r="E735" s="36"/>
      <c r="F735" s="36"/>
      <c r="G735" s="6"/>
      <c r="H735" s="37"/>
      <c r="I735" s="36"/>
      <c r="J735" s="36"/>
      <c r="K735" s="60"/>
      <c r="M735" s="61"/>
      <c r="N735" s="61"/>
      <c r="O735" s="61"/>
      <c r="P735" s="61"/>
      <c r="Q735" s="61"/>
      <c r="R735" s="61"/>
      <c r="S735" s="62"/>
      <c r="T735" s="62"/>
      <c r="U735" s="62"/>
    </row>
    <row r="736" spans="2:21" ht="15.75" customHeight="1" x14ac:dyDescent="0.3">
      <c r="B736" s="36"/>
      <c r="C736" s="36"/>
      <c r="D736" s="6"/>
      <c r="E736" s="36"/>
      <c r="F736" s="36"/>
      <c r="G736" s="6"/>
      <c r="H736" s="37"/>
      <c r="I736" s="36"/>
      <c r="J736" s="36"/>
      <c r="K736" s="60"/>
      <c r="M736" s="61"/>
      <c r="N736" s="61"/>
      <c r="O736" s="61"/>
      <c r="P736" s="61"/>
      <c r="Q736" s="61"/>
      <c r="R736" s="61"/>
      <c r="S736" s="62"/>
      <c r="T736" s="62"/>
      <c r="U736" s="62"/>
    </row>
    <row r="737" spans="2:21" ht="15.75" customHeight="1" x14ac:dyDescent="0.3">
      <c r="B737" s="36"/>
      <c r="C737" s="36"/>
      <c r="D737" s="6"/>
      <c r="E737" s="36"/>
      <c r="F737" s="36"/>
      <c r="G737" s="6"/>
      <c r="H737" s="37"/>
      <c r="I737" s="36"/>
      <c r="J737" s="36"/>
      <c r="K737" s="60"/>
      <c r="M737" s="61"/>
      <c r="N737" s="61"/>
      <c r="O737" s="61"/>
      <c r="P737" s="61"/>
      <c r="Q737" s="61"/>
      <c r="R737" s="61"/>
      <c r="S737" s="62"/>
      <c r="T737" s="62"/>
      <c r="U737" s="62"/>
    </row>
    <row r="738" spans="2:21" ht="15.75" customHeight="1" x14ac:dyDescent="0.3">
      <c r="B738" s="36"/>
      <c r="C738" s="36"/>
      <c r="D738" s="6"/>
      <c r="E738" s="36"/>
      <c r="F738" s="36"/>
      <c r="G738" s="6"/>
      <c r="H738" s="37"/>
      <c r="I738" s="36"/>
      <c r="J738" s="36"/>
      <c r="K738" s="60"/>
      <c r="M738" s="61"/>
      <c r="N738" s="61"/>
      <c r="O738" s="61"/>
      <c r="P738" s="61"/>
      <c r="Q738" s="61"/>
      <c r="R738" s="61"/>
      <c r="S738" s="62"/>
      <c r="T738" s="62"/>
      <c r="U738" s="62"/>
    </row>
    <row r="739" spans="2:21" ht="15.75" customHeight="1" x14ac:dyDescent="0.3">
      <c r="B739" s="36"/>
      <c r="C739" s="36"/>
      <c r="D739" s="6"/>
      <c r="E739" s="36"/>
      <c r="F739" s="36"/>
      <c r="G739" s="6"/>
      <c r="H739" s="37"/>
      <c r="I739" s="36"/>
      <c r="J739" s="36"/>
      <c r="K739" s="60"/>
      <c r="M739" s="61"/>
      <c r="N739" s="61"/>
      <c r="O739" s="61"/>
      <c r="P739" s="61"/>
      <c r="Q739" s="61"/>
      <c r="R739" s="61"/>
      <c r="S739" s="62"/>
      <c r="T739" s="62"/>
      <c r="U739" s="62"/>
    </row>
    <row r="740" spans="2:21" ht="15.75" customHeight="1" x14ac:dyDescent="0.3">
      <c r="B740" s="36"/>
      <c r="C740" s="36"/>
      <c r="D740" s="6"/>
      <c r="E740" s="36"/>
      <c r="F740" s="36"/>
      <c r="G740" s="6"/>
      <c r="H740" s="37"/>
      <c r="I740" s="36"/>
      <c r="J740" s="36"/>
      <c r="K740" s="60"/>
      <c r="M740" s="61"/>
      <c r="N740" s="61"/>
      <c r="O740" s="61"/>
      <c r="P740" s="61"/>
      <c r="Q740" s="61"/>
      <c r="R740" s="61"/>
      <c r="S740" s="62"/>
      <c r="T740" s="62"/>
      <c r="U740" s="62"/>
    </row>
    <row r="741" spans="2:21" ht="15.75" customHeight="1" x14ac:dyDescent="0.3">
      <c r="B741" s="36"/>
      <c r="C741" s="36"/>
      <c r="D741" s="6"/>
      <c r="E741" s="36"/>
      <c r="F741" s="36"/>
      <c r="G741" s="6"/>
      <c r="H741" s="37"/>
      <c r="I741" s="36"/>
      <c r="J741" s="36"/>
      <c r="K741" s="60"/>
      <c r="M741" s="61"/>
      <c r="N741" s="61"/>
      <c r="O741" s="61"/>
      <c r="P741" s="61"/>
      <c r="Q741" s="61"/>
      <c r="R741" s="61"/>
      <c r="S741" s="62"/>
      <c r="T741" s="62"/>
      <c r="U741" s="62"/>
    </row>
    <row r="742" spans="2:21" ht="15.75" customHeight="1" x14ac:dyDescent="0.3">
      <c r="B742" s="36"/>
      <c r="C742" s="36"/>
      <c r="D742" s="6"/>
      <c r="E742" s="36"/>
      <c r="F742" s="36"/>
      <c r="G742" s="6"/>
      <c r="H742" s="37"/>
      <c r="I742" s="36"/>
      <c r="J742" s="36"/>
      <c r="K742" s="60"/>
      <c r="M742" s="61"/>
      <c r="N742" s="61"/>
      <c r="O742" s="61"/>
      <c r="P742" s="61"/>
      <c r="Q742" s="61"/>
      <c r="R742" s="61"/>
      <c r="S742" s="62"/>
      <c r="T742" s="62"/>
      <c r="U742" s="62"/>
    </row>
    <row r="743" spans="2:21" ht="15.75" customHeight="1" x14ac:dyDescent="0.3">
      <c r="B743" s="36"/>
      <c r="C743" s="36"/>
      <c r="D743" s="6"/>
      <c r="E743" s="36"/>
      <c r="F743" s="36"/>
      <c r="G743" s="6"/>
      <c r="H743" s="37"/>
      <c r="I743" s="36"/>
      <c r="J743" s="36"/>
      <c r="K743" s="60"/>
      <c r="M743" s="61"/>
      <c r="N743" s="61"/>
      <c r="O743" s="61"/>
      <c r="P743" s="61"/>
      <c r="Q743" s="61"/>
      <c r="R743" s="61"/>
      <c r="S743" s="62"/>
      <c r="T743" s="62"/>
      <c r="U743" s="62"/>
    </row>
    <row r="744" spans="2:21" ht="15.75" customHeight="1" x14ac:dyDescent="0.3">
      <c r="B744" s="36"/>
      <c r="C744" s="36"/>
      <c r="D744" s="6"/>
      <c r="E744" s="36"/>
      <c r="F744" s="36"/>
      <c r="G744" s="6"/>
      <c r="H744" s="37"/>
      <c r="I744" s="36"/>
      <c r="J744" s="36"/>
      <c r="K744" s="60"/>
      <c r="M744" s="61"/>
      <c r="N744" s="61"/>
      <c r="O744" s="61"/>
      <c r="P744" s="61"/>
      <c r="Q744" s="61"/>
      <c r="R744" s="61"/>
      <c r="S744" s="62"/>
      <c r="T744" s="62"/>
      <c r="U744" s="62"/>
    </row>
    <row r="745" spans="2:21" ht="15.75" customHeight="1" x14ac:dyDescent="0.3">
      <c r="B745" s="36"/>
      <c r="C745" s="36"/>
      <c r="D745" s="6"/>
      <c r="E745" s="36"/>
      <c r="F745" s="36"/>
      <c r="G745" s="6"/>
      <c r="H745" s="37"/>
      <c r="I745" s="36"/>
      <c r="J745" s="36"/>
      <c r="K745" s="60"/>
      <c r="M745" s="61"/>
      <c r="N745" s="61"/>
      <c r="O745" s="61"/>
      <c r="P745" s="61"/>
      <c r="Q745" s="61"/>
      <c r="R745" s="61"/>
      <c r="S745" s="62"/>
      <c r="T745" s="62"/>
      <c r="U745" s="62"/>
    </row>
    <row r="746" spans="2:21" ht="15.75" customHeight="1" x14ac:dyDescent="0.3">
      <c r="B746" s="36"/>
      <c r="C746" s="36"/>
      <c r="D746" s="6"/>
      <c r="E746" s="36"/>
      <c r="F746" s="36"/>
      <c r="G746" s="6"/>
      <c r="H746" s="37"/>
      <c r="I746" s="36"/>
      <c r="J746" s="36"/>
      <c r="K746" s="60"/>
      <c r="M746" s="61"/>
      <c r="N746" s="61"/>
      <c r="O746" s="61"/>
      <c r="P746" s="61"/>
      <c r="Q746" s="61"/>
      <c r="R746" s="61"/>
      <c r="S746" s="62"/>
      <c r="T746" s="62"/>
      <c r="U746" s="62"/>
    </row>
    <row r="747" spans="2:21" ht="15.75" customHeight="1" x14ac:dyDescent="0.3">
      <c r="B747" s="36"/>
      <c r="C747" s="36"/>
      <c r="D747" s="6"/>
      <c r="E747" s="36"/>
      <c r="F747" s="36"/>
      <c r="G747" s="6"/>
      <c r="H747" s="37"/>
      <c r="I747" s="36"/>
      <c r="J747" s="36"/>
      <c r="K747" s="60"/>
      <c r="M747" s="61"/>
      <c r="N747" s="61"/>
      <c r="O747" s="61"/>
      <c r="P747" s="61"/>
      <c r="Q747" s="61"/>
      <c r="R747" s="61"/>
      <c r="S747" s="62"/>
      <c r="T747" s="62"/>
      <c r="U747" s="62"/>
    </row>
    <row r="748" spans="2:21" ht="15.75" customHeight="1" x14ac:dyDescent="0.3">
      <c r="B748" s="36"/>
      <c r="C748" s="36"/>
      <c r="D748" s="6"/>
      <c r="E748" s="36"/>
      <c r="F748" s="36"/>
      <c r="G748" s="6"/>
      <c r="H748" s="37"/>
      <c r="I748" s="36"/>
      <c r="J748" s="36"/>
      <c r="K748" s="60"/>
      <c r="M748" s="61"/>
      <c r="N748" s="61"/>
      <c r="O748" s="61"/>
      <c r="P748" s="61"/>
      <c r="Q748" s="61"/>
      <c r="R748" s="61"/>
      <c r="S748" s="62"/>
      <c r="T748" s="62"/>
      <c r="U748" s="62"/>
    </row>
    <row r="749" spans="2:21" ht="15.75" customHeight="1" x14ac:dyDescent="0.3">
      <c r="B749" s="36"/>
      <c r="C749" s="36"/>
      <c r="D749" s="6"/>
      <c r="E749" s="36"/>
      <c r="F749" s="36"/>
      <c r="G749" s="6"/>
      <c r="H749" s="37"/>
      <c r="I749" s="36"/>
      <c r="J749" s="36"/>
      <c r="K749" s="60"/>
      <c r="M749" s="61"/>
      <c r="N749" s="61"/>
      <c r="O749" s="61"/>
      <c r="P749" s="61"/>
      <c r="Q749" s="61"/>
      <c r="R749" s="61"/>
      <c r="S749" s="62"/>
      <c r="T749" s="62"/>
      <c r="U749" s="62"/>
    </row>
    <row r="750" spans="2:21" ht="15.75" customHeight="1" x14ac:dyDescent="0.3">
      <c r="B750" s="36"/>
      <c r="C750" s="36"/>
      <c r="D750" s="6"/>
      <c r="E750" s="36"/>
      <c r="F750" s="36"/>
      <c r="G750" s="6"/>
      <c r="H750" s="37"/>
      <c r="I750" s="36"/>
      <c r="J750" s="36"/>
      <c r="K750" s="60"/>
      <c r="M750" s="61"/>
      <c r="N750" s="61"/>
      <c r="O750" s="61"/>
      <c r="P750" s="61"/>
      <c r="Q750" s="61"/>
      <c r="R750" s="61"/>
      <c r="S750" s="62"/>
      <c r="T750" s="62"/>
      <c r="U750" s="62"/>
    </row>
    <row r="751" spans="2:21" ht="15.75" customHeight="1" x14ac:dyDescent="0.3">
      <c r="B751" s="36"/>
      <c r="C751" s="36"/>
      <c r="D751" s="6"/>
      <c r="E751" s="36"/>
      <c r="F751" s="36"/>
      <c r="G751" s="6"/>
      <c r="H751" s="37"/>
      <c r="I751" s="36"/>
      <c r="J751" s="36"/>
      <c r="K751" s="60"/>
      <c r="M751" s="61"/>
      <c r="N751" s="61"/>
      <c r="O751" s="61"/>
      <c r="P751" s="61"/>
      <c r="Q751" s="61"/>
      <c r="R751" s="61"/>
      <c r="S751" s="62"/>
      <c r="T751" s="62"/>
      <c r="U751" s="62"/>
    </row>
    <row r="752" spans="2:21" ht="15.75" customHeight="1" x14ac:dyDescent="0.3">
      <c r="B752" s="36"/>
      <c r="C752" s="36"/>
      <c r="D752" s="6"/>
      <c r="E752" s="36"/>
      <c r="F752" s="36"/>
      <c r="G752" s="6"/>
      <c r="H752" s="37"/>
      <c r="I752" s="36"/>
      <c r="J752" s="36"/>
      <c r="K752" s="60"/>
      <c r="M752" s="61"/>
      <c r="N752" s="61"/>
      <c r="O752" s="61"/>
      <c r="P752" s="61"/>
      <c r="Q752" s="61"/>
      <c r="R752" s="61"/>
      <c r="S752" s="62"/>
      <c r="T752" s="62"/>
      <c r="U752" s="62"/>
    </row>
    <row r="753" spans="2:21" ht="15.75" customHeight="1" x14ac:dyDescent="0.3">
      <c r="B753" s="36"/>
      <c r="C753" s="36"/>
      <c r="D753" s="6"/>
      <c r="E753" s="36"/>
      <c r="F753" s="36"/>
      <c r="G753" s="6"/>
      <c r="H753" s="37"/>
      <c r="I753" s="36"/>
      <c r="J753" s="36"/>
      <c r="K753" s="60"/>
      <c r="M753" s="61"/>
      <c r="N753" s="61"/>
      <c r="O753" s="61"/>
      <c r="P753" s="61"/>
      <c r="Q753" s="61"/>
      <c r="R753" s="61"/>
      <c r="S753" s="62"/>
      <c r="T753" s="62"/>
      <c r="U753" s="62"/>
    </row>
    <row r="754" spans="2:21" ht="15.75" customHeight="1" x14ac:dyDescent="0.3">
      <c r="B754" s="36"/>
      <c r="C754" s="36"/>
      <c r="D754" s="6"/>
      <c r="E754" s="36"/>
      <c r="F754" s="36"/>
      <c r="G754" s="6"/>
      <c r="H754" s="37"/>
      <c r="I754" s="36"/>
      <c r="J754" s="36"/>
      <c r="K754" s="60"/>
      <c r="M754" s="61"/>
      <c r="N754" s="61"/>
      <c r="O754" s="61"/>
      <c r="P754" s="61"/>
      <c r="Q754" s="61"/>
      <c r="R754" s="61"/>
      <c r="S754" s="62"/>
      <c r="T754" s="62"/>
      <c r="U754" s="62"/>
    </row>
    <row r="755" spans="2:21" ht="15.75" customHeight="1" x14ac:dyDescent="0.3">
      <c r="B755" s="36"/>
      <c r="C755" s="36"/>
      <c r="D755" s="6"/>
      <c r="E755" s="36"/>
      <c r="F755" s="36"/>
      <c r="G755" s="6"/>
      <c r="H755" s="37"/>
      <c r="I755" s="36"/>
      <c r="J755" s="36"/>
      <c r="K755" s="60"/>
      <c r="M755" s="61"/>
      <c r="N755" s="61"/>
      <c r="O755" s="61"/>
      <c r="P755" s="61"/>
      <c r="Q755" s="61"/>
      <c r="R755" s="61"/>
      <c r="S755" s="62"/>
      <c r="T755" s="62"/>
      <c r="U755" s="62"/>
    </row>
    <row r="756" spans="2:21" ht="15.75" customHeight="1" x14ac:dyDescent="0.3">
      <c r="B756" s="36"/>
      <c r="C756" s="36"/>
      <c r="D756" s="6"/>
      <c r="E756" s="36"/>
      <c r="F756" s="36"/>
      <c r="G756" s="6"/>
      <c r="H756" s="37"/>
      <c r="I756" s="36"/>
      <c r="J756" s="36"/>
      <c r="K756" s="60"/>
      <c r="M756" s="61"/>
      <c r="N756" s="61"/>
      <c r="O756" s="61"/>
      <c r="P756" s="61"/>
      <c r="Q756" s="61"/>
      <c r="R756" s="61"/>
      <c r="S756" s="62"/>
      <c r="T756" s="62"/>
      <c r="U756" s="62"/>
    </row>
    <row r="757" spans="2:21" ht="15.75" customHeight="1" x14ac:dyDescent="0.3">
      <c r="B757" s="36"/>
      <c r="C757" s="36"/>
      <c r="D757" s="6"/>
      <c r="E757" s="36"/>
      <c r="F757" s="36"/>
      <c r="G757" s="6"/>
      <c r="H757" s="37"/>
      <c r="I757" s="36"/>
      <c r="J757" s="36"/>
      <c r="K757" s="60"/>
      <c r="M757" s="61"/>
      <c r="N757" s="61"/>
      <c r="O757" s="61"/>
      <c r="P757" s="61"/>
      <c r="Q757" s="61"/>
      <c r="R757" s="61"/>
      <c r="S757" s="62"/>
      <c r="T757" s="62"/>
      <c r="U757" s="62"/>
    </row>
    <row r="758" spans="2:21" ht="15.75" customHeight="1" x14ac:dyDescent="0.3">
      <c r="B758" s="36"/>
      <c r="C758" s="36"/>
      <c r="D758" s="6"/>
      <c r="E758" s="36"/>
      <c r="F758" s="36"/>
      <c r="G758" s="6"/>
      <c r="H758" s="37"/>
      <c r="I758" s="36"/>
      <c r="J758" s="36"/>
      <c r="K758" s="60"/>
      <c r="M758" s="61"/>
      <c r="N758" s="61"/>
      <c r="O758" s="61"/>
      <c r="P758" s="61"/>
      <c r="Q758" s="61"/>
      <c r="R758" s="61"/>
      <c r="S758" s="62"/>
      <c r="T758" s="62"/>
      <c r="U758" s="62"/>
    </row>
    <row r="759" spans="2:21" ht="15.75" customHeight="1" x14ac:dyDescent="0.3">
      <c r="B759" s="36"/>
      <c r="C759" s="36"/>
      <c r="D759" s="6"/>
      <c r="E759" s="36"/>
      <c r="F759" s="36"/>
      <c r="G759" s="6"/>
      <c r="H759" s="37"/>
      <c r="I759" s="36"/>
      <c r="J759" s="36"/>
      <c r="K759" s="60"/>
      <c r="M759" s="61"/>
      <c r="N759" s="61"/>
      <c r="O759" s="61"/>
      <c r="P759" s="61"/>
      <c r="Q759" s="61"/>
      <c r="R759" s="61"/>
      <c r="S759" s="62"/>
      <c r="T759" s="62"/>
      <c r="U759" s="62"/>
    </row>
    <row r="760" spans="2:21" ht="15.75" customHeight="1" x14ac:dyDescent="0.3">
      <c r="B760" s="36"/>
      <c r="C760" s="36"/>
      <c r="D760" s="6"/>
      <c r="E760" s="36"/>
      <c r="F760" s="36"/>
      <c r="G760" s="6"/>
      <c r="H760" s="37"/>
      <c r="I760" s="36"/>
      <c r="J760" s="36"/>
      <c r="K760" s="60"/>
      <c r="M760" s="61"/>
      <c r="N760" s="61"/>
      <c r="O760" s="61"/>
      <c r="P760" s="61"/>
      <c r="Q760" s="61"/>
      <c r="R760" s="61"/>
      <c r="S760" s="62"/>
      <c r="T760" s="62"/>
      <c r="U760" s="62"/>
    </row>
    <row r="761" spans="2:21" ht="15.75" customHeight="1" x14ac:dyDescent="0.3">
      <c r="B761" s="36"/>
      <c r="C761" s="36"/>
      <c r="D761" s="6"/>
      <c r="E761" s="36"/>
      <c r="F761" s="36"/>
      <c r="G761" s="6"/>
      <c r="H761" s="37"/>
      <c r="I761" s="36"/>
      <c r="J761" s="36"/>
      <c r="K761" s="60"/>
      <c r="M761" s="61"/>
      <c r="N761" s="61"/>
      <c r="O761" s="61"/>
      <c r="P761" s="61"/>
      <c r="Q761" s="61"/>
      <c r="R761" s="61"/>
      <c r="S761" s="62"/>
      <c r="T761" s="62"/>
      <c r="U761" s="62"/>
    </row>
    <row r="762" spans="2:21" ht="15.75" customHeight="1" x14ac:dyDescent="0.3">
      <c r="B762" s="36"/>
      <c r="C762" s="36"/>
      <c r="D762" s="6"/>
      <c r="E762" s="36"/>
      <c r="F762" s="36"/>
      <c r="G762" s="6"/>
      <c r="H762" s="37"/>
      <c r="I762" s="36"/>
      <c r="J762" s="36"/>
      <c r="K762" s="60"/>
      <c r="M762" s="61"/>
      <c r="N762" s="61"/>
      <c r="O762" s="61"/>
      <c r="P762" s="61"/>
      <c r="Q762" s="61"/>
      <c r="R762" s="61"/>
      <c r="S762" s="62"/>
      <c r="T762" s="62"/>
      <c r="U762" s="62"/>
    </row>
    <row r="763" spans="2:21" ht="15.75" customHeight="1" x14ac:dyDescent="0.3">
      <c r="B763" s="36"/>
      <c r="C763" s="36"/>
      <c r="D763" s="6"/>
      <c r="E763" s="36"/>
      <c r="F763" s="36"/>
      <c r="G763" s="6"/>
      <c r="H763" s="37"/>
      <c r="I763" s="36"/>
      <c r="J763" s="36"/>
      <c r="K763" s="60"/>
      <c r="M763" s="61"/>
      <c r="N763" s="61"/>
      <c r="O763" s="61"/>
      <c r="P763" s="61"/>
      <c r="Q763" s="61"/>
      <c r="R763" s="61"/>
      <c r="S763" s="62"/>
      <c r="T763" s="62"/>
      <c r="U763" s="62"/>
    </row>
    <row r="764" spans="2:21" ht="15.75" customHeight="1" x14ac:dyDescent="0.3">
      <c r="B764" s="36"/>
      <c r="C764" s="36"/>
      <c r="D764" s="6"/>
      <c r="E764" s="36"/>
      <c r="F764" s="36"/>
      <c r="G764" s="6"/>
      <c r="H764" s="37"/>
      <c r="I764" s="36"/>
      <c r="J764" s="36"/>
      <c r="K764" s="60"/>
      <c r="M764" s="61"/>
      <c r="N764" s="61"/>
      <c r="O764" s="61"/>
      <c r="P764" s="61"/>
      <c r="Q764" s="61"/>
      <c r="R764" s="61"/>
      <c r="S764" s="62"/>
      <c r="T764" s="62"/>
      <c r="U764" s="62"/>
    </row>
    <row r="765" spans="2:21" ht="15.75" customHeight="1" x14ac:dyDescent="0.3">
      <c r="B765" s="36"/>
      <c r="C765" s="36"/>
      <c r="D765" s="6"/>
      <c r="E765" s="36"/>
      <c r="F765" s="36"/>
      <c r="G765" s="6"/>
      <c r="H765" s="37"/>
      <c r="I765" s="36"/>
      <c r="J765" s="36"/>
      <c r="K765" s="60"/>
      <c r="M765" s="61"/>
      <c r="N765" s="61"/>
      <c r="O765" s="61"/>
      <c r="P765" s="61"/>
      <c r="Q765" s="61"/>
      <c r="R765" s="61"/>
      <c r="S765" s="62"/>
      <c r="T765" s="62"/>
      <c r="U765" s="62"/>
    </row>
    <row r="766" spans="2:21" ht="15.75" customHeight="1" x14ac:dyDescent="0.3">
      <c r="B766" s="36"/>
      <c r="C766" s="36"/>
      <c r="D766" s="6"/>
      <c r="E766" s="36"/>
      <c r="F766" s="36"/>
      <c r="G766" s="6"/>
      <c r="H766" s="37"/>
      <c r="I766" s="36"/>
      <c r="J766" s="36"/>
      <c r="K766" s="60"/>
      <c r="M766" s="61"/>
      <c r="N766" s="61"/>
      <c r="O766" s="61"/>
      <c r="P766" s="61"/>
      <c r="Q766" s="61"/>
      <c r="R766" s="61"/>
      <c r="S766" s="62"/>
      <c r="T766" s="62"/>
      <c r="U766" s="62"/>
    </row>
    <row r="767" spans="2:21" ht="15.75" customHeight="1" x14ac:dyDescent="0.3">
      <c r="B767" s="36"/>
      <c r="C767" s="36"/>
      <c r="D767" s="6"/>
      <c r="E767" s="36"/>
      <c r="F767" s="36"/>
      <c r="G767" s="6"/>
      <c r="H767" s="37"/>
      <c r="I767" s="36"/>
      <c r="J767" s="36"/>
      <c r="K767" s="60"/>
      <c r="M767" s="61"/>
      <c r="N767" s="61"/>
      <c r="O767" s="61"/>
      <c r="P767" s="61"/>
      <c r="Q767" s="61"/>
      <c r="R767" s="61"/>
      <c r="S767" s="62"/>
      <c r="T767" s="62"/>
      <c r="U767" s="62"/>
    </row>
    <row r="768" spans="2:21" ht="15.75" customHeight="1" x14ac:dyDescent="0.3">
      <c r="B768" s="36"/>
      <c r="C768" s="36"/>
      <c r="D768" s="6"/>
      <c r="E768" s="36"/>
      <c r="F768" s="36"/>
      <c r="G768" s="6"/>
      <c r="H768" s="37"/>
      <c r="I768" s="36"/>
      <c r="J768" s="36"/>
      <c r="K768" s="60"/>
      <c r="M768" s="61"/>
      <c r="N768" s="61"/>
      <c r="O768" s="61"/>
      <c r="P768" s="61"/>
      <c r="Q768" s="61"/>
      <c r="R768" s="61"/>
      <c r="S768" s="62"/>
      <c r="T768" s="62"/>
      <c r="U768" s="62"/>
    </row>
    <row r="769" spans="2:21" ht="15.75" customHeight="1" x14ac:dyDescent="0.3">
      <c r="B769" s="36"/>
      <c r="C769" s="36"/>
      <c r="D769" s="6"/>
      <c r="E769" s="36"/>
      <c r="F769" s="36"/>
      <c r="G769" s="6"/>
      <c r="H769" s="37"/>
      <c r="I769" s="36"/>
      <c r="J769" s="36"/>
      <c r="K769" s="60"/>
      <c r="M769" s="61"/>
      <c r="N769" s="61"/>
      <c r="O769" s="61"/>
      <c r="P769" s="61"/>
      <c r="Q769" s="61"/>
      <c r="R769" s="61"/>
      <c r="S769" s="62"/>
      <c r="T769" s="62"/>
      <c r="U769" s="62"/>
    </row>
    <row r="770" spans="2:21" ht="15.75" customHeight="1" x14ac:dyDescent="0.3">
      <c r="B770" s="36"/>
      <c r="C770" s="36"/>
      <c r="D770" s="6"/>
      <c r="E770" s="36"/>
      <c r="F770" s="36"/>
      <c r="G770" s="6"/>
      <c r="H770" s="37"/>
      <c r="I770" s="36"/>
      <c r="J770" s="36"/>
      <c r="K770" s="60"/>
      <c r="M770" s="61"/>
      <c r="N770" s="61"/>
      <c r="O770" s="61"/>
      <c r="P770" s="61"/>
      <c r="Q770" s="61"/>
      <c r="R770" s="61"/>
      <c r="S770" s="62"/>
      <c r="T770" s="62"/>
      <c r="U770" s="62"/>
    </row>
    <row r="771" spans="2:21" ht="15.75" customHeight="1" x14ac:dyDescent="0.3">
      <c r="B771" s="36"/>
      <c r="C771" s="36"/>
      <c r="D771" s="6"/>
      <c r="E771" s="36"/>
      <c r="F771" s="36"/>
      <c r="G771" s="6"/>
      <c r="H771" s="37"/>
      <c r="I771" s="36"/>
      <c r="J771" s="36"/>
      <c r="K771" s="60"/>
      <c r="M771" s="61"/>
      <c r="N771" s="61"/>
      <c r="O771" s="61"/>
      <c r="P771" s="61"/>
      <c r="Q771" s="61"/>
      <c r="R771" s="61"/>
      <c r="S771" s="62"/>
      <c r="T771" s="62"/>
      <c r="U771" s="62"/>
    </row>
    <row r="772" spans="2:21" ht="15.75" customHeight="1" x14ac:dyDescent="0.3">
      <c r="B772" s="36"/>
      <c r="C772" s="36"/>
      <c r="D772" s="6"/>
      <c r="E772" s="36"/>
      <c r="F772" s="36"/>
      <c r="G772" s="6"/>
      <c r="H772" s="37"/>
      <c r="I772" s="36"/>
      <c r="J772" s="36"/>
      <c r="K772" s="60"/>
      <c r="M772" s="61"/>
      <c r="N772" s="61"/>
      <c r="O772" s="61"/>
      <c r="P772" s="61"/>
      <c r="Q772" s="61"/>
      <c r="R772" s="61"/>
      <c r="S772" s="62"/>
      <c r="T772" s="62"/>
      <c r="U772" s="62"/>
    </row>
    <row r="773" spans="2:21" ht="15.75" customHeight="1" x14ac:dyDescent="0.3">
      <c r="B773" s="36"/>
      <c r="C773" s="36"/>
      <c r="D773" s="6"/>
      <c r="E773" s="36"/>
      <c r="F773" s="36"/>
      <c r="G773" s="6"/>
      <c r="H773" s="37"/>
      <c r="I773" s="36"/>
      <c r="J773" s="36"/>
      <c r="K773" s="60"/>
      <c r="M773" s="61"/>
      <c r="N773" s="61"/>
      <c r="O773" s="61"/>
      <c r="P773" s="61"/>
      <c r="Q773" s="61"/>
      <c r="R773" s="61"/>
      <c r="S773" s="62"/>
      <c r="T773" s="62"/>
      <c r="U773" s="62"/>
    </row>
    <row r="774" spans="2:21" ht="15.75" customHeight="1" x14ac:dyDescent="0.3">
      <c r="B774" s="36"/>
      <c r="C774" s="36"/>
      <c r="D774" s="6"/>
      <c r="E774" s="36"/>
      <c r="F774" s="36"/>
      <c r="G774" s="6"/>
      <c r="H774" s="37"/>
      <c r="I774" s="36"/>
      <c r="J774" s="36"/>
      <c r="K774" s="60"/>
      <c r="M774" s="61"/>
      <c r="N774" s="61"/>
      <c r="O774" s="61"/>
      <c r="P774" s="61"/>
      <c r="Q774" s="61"/>
      <c r="R774" s="61"/>
      <c r="S774" s="62"/>
      <c r="T774" s="62"/>
      <c r="U774" s="62"/>
    </row>
    <row r="775" spans="2:21" ht="15.75" customHeight="1" x14ac:dyDescent="0.3">
      <c r="B775" s="36"/>
      <c r="C775" s="36"/>
      <c r="D775" s="6"/>
      <c r="E775" s="36"/>
      <c r="F775" s="36"/>
      <c r="G775" s="6"/>
      <c r="H775" s="37"/>
      <c r="I775" s="36"/>
      <c r="J775" s="36"/>
      <c r="K775" s="60"/>
      <c r="M775" s="61"/>
      <c r="N775" s="61"/>
      <c r="O775" s="61"/>
      <c r="P775" s="61"/>
      <c r="Q775" s="61"/>
      <c r="R775" s="61"/>
      <c r="S775" s="62"/>
      <c r="T775" s="62"/>
      <c r="U775" s="62"/>
    </row>
    <row r="776" spans="2:21" ht="15.75" customHeight="1" x14ac:dyDescent="0.3">
      <c r="B776" s="36"/>
      <c r="C776" s="36"/>
      <c r="D776" s="6"/>
      <c r="E776" s="36"/>
      <c r="F776" s="36"/>
      <c r="G776" s="6"/>
      <c r="H776" s="37"/>
      <c r="I776" s="36"/>
      <c r="J776" s="36"/>
      <c r="K776" s="60"/>
      <c r="M776" s="61"/>
      <c r="N776" s="61"/>
      <c r="O776" s="61"/>
      <c r="P776" s="61"/>
      <c r="Q776" s="61"/>
      <c r="R776" s="61"/>
      <c r="S776" s="62"/>
      <c r="T776" s="62"/>
      <c r="U776" s="62"/>
    </row>
    <row r="777" spans="2:21" ht="15.75" customHeight="1" x14ac:dyDescent="0.3">
      <c r="B777" s="36"/>
      <c r="C777" s="36"/>
      <c r="D777" s="6"/>
      <c r="E777" s="36"/>
      <c r="F777" s="36"/>
      <c r="G777" s="6"/>
      <c r="H777" s="37"/>
      <c r="I777" s="36"/>
      <c r="J777" s="36"/>
      <c r="K777" s="60"/>
      <c r="M777" s="61"/>
      <c r="N777" s="61"/>
      <c r="O777" s="61"/>
      <c r="P777" s="61"/>
      <c r="Q777" s="61"/>
      <c r="R777" s="61"/>
      <c r="S777" s="62"/>
      <c r="T777" s="62"/>
      <c r="U777" s="62"/>
    </row>
    <row r="778" spans="2:21" ht="15.75" customHeight="1" x14ac:dyDescent="0.3">
      <c r="B778" s="36"/>
      <c r="C778" s="36"/>
      <c r="D778" s="6"/>
      <c r="E778" s="36"/>
      <c r="F778" s="36"/>
      <c r="G778" s="6"/>
      <c r="H778" s="37"/>
      <c r="I778" s="36"/>
      <c r="J778" s="36"/>
      <c r="K778" s="60"/>
      <c r="M778" s="61"/>
      <c r="N778" s="61"/>
      <c r="O778" s="61"/>
      <c r="P778" s="61"/>
      <c r="Q778" s="61"/>
      <c r="R778" s="61"/>
      <c r="S778" s="62"/>
      <c r="T778" s="62"/>
      <c r="U778" s="62"/>
    </row>
    <row r="779" spans="2:21" ht="15.75" customHeight="1" x14ac:dyDescent="0.3">
      <c r="B779" s="36"/>
      <c r="C779" s="36"/>
      <c r="D779" s="6"/>
      <c r="E779" s="36"/>
      <c r="F779" s="36"/>
      <c r="G779" s="6"/>
      <c r="H779" s="37"/>
      <c r="I779" s="36"/>
      <c r="J779" s="36"/>
      <c r="K779" s="60"/>
      <c r="M779" s="61"/>
      <c r="N779" s="61"/>
      <c r="O779" s="61"/>
      <c r="P779" s="61"/>
      <c r="Q779" s="61"/>
      <c r="R779" s="61"/>
      <c r="S779" s="62"/>
      <c r="T779" s="62"/>
      <c r="U779" s="62"/>
    </row>
    <row r="780" spans="2:21" ht="15.75" customHeight="1" x14ac:dyDescent="0.3">
      <c r="B780" s="36"/>
      <c r="C780" s="36"/>
      <c r="D780" s="6"/>
      <c r="E780" s="36"/>
      <c r="F780" s="36"/>
      <c r="G780" s="6"/>
      <c r="H780" s="37"/>
      <c r="I780" s="36"/>
      <c r="J780" s="36"/>
      <c r="K780" s="60"/>
      <c r="M780" s="61"/>
      <c r="N780" s="61"/>
      <c r="O780" s="61"/>
      <c r="P780" s="61"/>
      <c r="Q780" s="61"/>
      <c r="R780" s="61"/>
      <c r="S780" s="62"/>
      <c r="T780" s="62"/>
      <c r="U780" s="62"/>
    </row>
    <row r="781" spans="2:21" ht="15.75" customHeight="1" x14ac:dyDescent="0.3">
      <c r="B781" s="36"/>
      <c r="C781" s="36"/>
      <c r="D781" s="6"/>
      <c r="E781" s="36"/>
      <c r="F781" s="36"/>
      <c r="G781" s="6"/>
      <c r="H781" s="37"/>
      <c r="I781" s="36"/>
      <c r="J781" s="36"/>
      <c r="K781" s="60"/>
      <c r="M781" s="61"/>
      <c r="N781" s="61"/>
      <c r="O781" s="61"/>
      <c r="P781" s="61"/>
      <c r="Q781" s="61"/>
      <c r="R781" s="61"/>
      <c r="S781" s="62"/>
      <c r="T781" s="62"/>
      <c r="U781" s="62"/>
    </row>
    <row r="782" spans="2:21" ht="15.75" customHeight="1" x14ac:dyDescent="0.3">
      <c r="B782" s="36"/>
      <c r="C782" s="36"/>
      <c r="D782" s="6"/>
      <c r="E782" s="36"/>
      <c r="F782" s="36"/>
      <c r="G782" s="6"/>
      <c r="H782" s="37"/>
      <c r="I782" s="36"/>
      <c r="J782" s="36"/>
      <c r="K782" s="60"/>
      <c r="M782" s="61"/>
      <c r="N782" s="61"/>
      <c r="O782" s="61"/>
      <c r="P782" s="61"/>
      <c r="Q782" s="61"/>
      <c r="R782" s="61"/>
      <c r="S782" s="62"/>
      <c r="T782" s="62"/>
      <c r="U782" s="62"/>
    </row>
    <row r="783" spans="2:21" ht="15.75" customHeight="1" x14ac:dyDescent="0.3">
      <c r="B783" s="36"/>
      <c r="C783" s="36"/>
      <c r="D783" s="6"/>
      <c r="E783" s="36"/>
      <c r="F783" s="36"/>
      <c r="G783" s="6"/>
      <c r="H783" s="37"/>
      <c r="I783" s="36"/>
      <c r="J783" s="36"/>
      <c r="K783" s="60"/>
      <c r="M783" s="61"/>
      <c r="N783" s="61"/>
      <c r="O783" s="61"/>
      <c r="P783" s="61"/>
      <c r="Q783" s="61"/>
      <c r="R783" s="61"/>
      <c r="S783" s="62"/>
      <c r="T783" s="62"/>
      <c r="U783" s="62"/>
    </row>
    <row r="784" spans="2:21" ht="15.75" customHeight="1" x14ac:dyDescent="0.3">
      <c r="B784" s="36"/>
      <c r="C784" s="36"/>
      <c r="D784" s="6"/>
      <c r="E784" s="36"/>
      <c r="F784" s="36"/>
      <c r="G784" s="6"/>
      <c r="H784" s="37"/>
      <c r="I784" s="36"/>
      <c r="J784" s="36"/>
      <c r="K784" s="60"/>
      <c r="M784" s="61"/>
      <c r="N784" s="61"/>
      <c r="O784" s="61"/>
      <c r="P784" s="61"/>
      <c r="Q784" s="61"/>
      <c r="R784" s="61"/>
      <c r="S784" s="62"/>
      <c r="T784" s="62"/>
      <c r="U784" s="62"/>
    </row>
    <row r="785" spans="2:21" ht="15.75" customHeight="1" x14ac:dyDescent="0.3">
      <c r="B785" s="36"/>
      <c r="C785" s="36"/>
      <c r="D785" s="6"/>
      <c r="E785" s="36"/>
      <c r="F785" s="36"/>
      <c r="G785" s="6"/>
      <c r="H785" s="37"/>
      <c r="I785" s="36"/>
      <c r="J785" s="36"/>
      <c r="K785" s="60"/>
      <c r="M785" s="61"/>
      <c r="N785" s="61"/>
      <c r="O785" s="61"/>
      <c r="P785" s="61"/>
      <c r="Q785" s="61"/>
      <c r="R785" s="61"/>
      <c r="S785" s="62"/>
      <c r="T785" s="62"/>
      <c r="U785" s="62"/>
    </row>
    <row r="786" spans="2:21" ht="15.75" customHeight="1" x14ac:dyDescent="0.3">
      <c r="B786" s="36"/>
      <c r="C786" s="36"/>
      <c r="D786" s="6"/>
      <c r="E786" s="36"/>
      <c r="F786" s="36"/>
      <c r="G786" s="6"/>
      <c r="H786" s="37"/>
      <c r="I786" s="36"/>
      <c r="J786" s="36"/>
      <c r="K786" s="60"/>
      <c r="M786" s="61"/>
      <c r="N786" s="61"/>
      <c r="O786" s="61"/>
      <c r="P786" s="61"/>
      <c r="Q786" s="61"/>
      <c r="R786" s="61"/>
      <c r="S786" s="62"/>
      <c r="T786" s="62"/>
      <c r="U786" s="62"/>
    </row>
    <row r="787" spans="2:21" ht="15.75" customHeight="1" x14ac:dyDescent="0.3">
      <c r="B787" s="36"/>
      <c r="C787" s="36"/>
      <c r="D787" s="6"/>
      <c r="E787" s="36"/>
      <c r="F787" s="36"/>
      <c r="G787" s="6"/>
      <c r="H787" s="37"/>
      <c r="I787" s="36"/>
      <c r="J787" s="36"/>
      <c r="K787" s="60"/>
      <c r="M787" s="61"/>
      <c r="N787" s="61"/>
      <c r="O787" s="61"/>
      <c r="P787" s="61"/>
      <c r="Q787" s="61"/>
      <c r="R787" s="61"/>
      <c r="S787" s="62"/>
      <c r="T787" s="62"/>
      <c r="U787" s="62"/>
    </row>
    <row r="788" spans="2:21" ht="15.75" customHeight="1" x14ac:dyDescent="0.3">
      <c r="B788" s="36"/>
      <c r="C788" s="36"/>
      <c r="D788" s="6"/>
      <c r="E788" s="36"/>
      <c r="F788" s="36"/>
      <c r="G788" s="6"/>
      <c r="H788" s="37"/>
      <c r="I788" s="36"/>
      <c r="J788" s="36"/>
      <c r="K788" s="60"/>
      <c r="M788" s="61"/>
      <c r="N788" s="61"/>
      <c r="O788" s="61"/>
      <c r="P788" s="61"/>
      <c r="Q788" s="61"/>
      <c r="R788" s="61"/>
      <c r="S788" s="62"/>
      <c r="T788" s="62"/>
      <c r="U788" s="62"/>
    </row>
    <row r="789" spans="2:21" ht="15.75" customHeight="1" x14ac:dyDescent="0.3">
      <c r="B789" s="36"/>
      <c r="C789" s="36"/>
      <c r="D789" s="6"/>
      <c r="E789" s="36"/>
      <c r="F789" s="36"/>
      <c r="G789" s="6"/>
      <c r="H789" s="37"/>
      <c r="I789" s="36"/>
      <c r="J789" s="36"/>
      <c r="K789" s="60"/>
      <c r="M789" s="61"/>
      <c r="N789" s="61"/>
      <c r="O789" s="61"/>
      <c r="P789" s="61"/>
      <c r="Q789" s="61"/>
      <c r="R789" s="61"/>
      <c r="S789" s="62"/>
      <c r="T789" s="62"/>
      <c r="U789" s="62"/>
    </row>
    <row r="790" spans="2:21" ht="15.75" customHeight="1" x14ac:dyDescent="0.3">
      <c r="B790" s="36"/>
      <c r="C790" s="36"/>
      <c r="D790" s="6"/>
      <c r="E790" s="36"/>
      <c r="F790" s="36"/>
      <c r="G790" s="6"/>
      <c r="H790" s="37"/>
      <c r="I790" s="36"/>
      <c r="J790" s="36"/>
      <c r="K790" s="60"/>
      <c r="M790" s="61"/>
      <c r="N790" s="61"/>
      <c r="O790" s="61"/>
      <c r="P790" s="61"/>
      <c r="Q790" s="61"/>
      <c r="R790" s="61"/>
      <c r="S790" s="62"/>
      <c r="T790" s="62"/>
      <c r="U790" s="62"/>
    </row>
    <row r="791" spans="2:21" ht="15.75" customHeight="1" x14ac:dyDescent="0.3">
      <c r="B791" s="36"/>
      <c r="C791" s="36"/>
      <c r="D791" s="6"/>
      <c r="E791" s="36"/>
      <c r="F791" s="36"/>
      <c r="G791" s="6"/>
      <c r="H791" s="37"/>
      <c r="I791" s="36"/>
      <c r="J791" s="36"/>
      <c r="K791" s="60"/>
      <c r="M791" s="61"/>
      <c r="N791" s="61"/>
      <c r="O791" s="61"/>
      <c r="P791" s="61"/>
      <c r="Q791" s="61"/>
      <c r="R791" s="61"/>
      <c r="S791" s="62"/>
      <c r="T791" s="62"/>
      <c r="U791" s="62"/>
    </row>
    <row r="792" spans="2:21" ht="15.75" customHeight="1" x14ac:dyDescent="0.3">
      <c r="B792" s="36"/>
      <c r="C792" s="36"/>
      <c r="D792" s="6"/>
      <c r="E792" s="36"/>
      <c r="F792" s="36"/>
      <c r="G792" s="6"/>
      <c r="H792" s="37"/>
      <c r="I792" s="36"/>
      <c r="J792" s="36"/>
      <c r="K792" s="60"/>
      <c r="M792" s="61"/>
      <c r="N792" s="61"/>
      <c r="O792" s="61"/>
      <c r="P792" s="61"/>
      <c r="Q792" s="61"/>
      <c r="R792" s="61"/>
      <c r="S792" s="62"/>
      <c r="T792" s="62"/>
      <c r="U792" s="62"/>
    </row>
    <row r="793" spans="2:21" ht="15.75" customHeight="1" x14ac:dyDescent="0.3">
      <c r="B793" s="36"/>
      <c r="C793" s="36"/>
      <c r="D793" s="6"/>
      <c r="E793" s="36"/>
      <c r="F793" s="36"/>
      <c r="G793" s="6"/>
      <c r="H793" s="37"/>
      <c r="I793" s="36"/>
      <c r="J793" s="36"/>
      <c r="K793" s="60"/>
      <c r="M793" s="61"/>
      <c r="N793" s="61"/>
      <c r="O793" s="61"/>
      <c r="P793" s="61"/>
      <c r="Q793" s="61"/>
      <c r="R793" s="61"/>
      <c r="S793" s="62"/>
      <c r="T793" s="62"/>
      <c r="U793" s="62"/>
    </row>
    <row r="794" spans="2:21" ht="15.75" customHeight="1" x14ac:dyDescent="0.3">
      <c r="B794" s="36"/>
      <c r="C794" s="36"/>
      <c r="D794" s="6"/>
      <c r="E794" s="36"/>
      <c r="F794" s="36"/>
      <c r="G794" s="6"/>
      <c r="H794" s="37"/>
      <c r="I794" s="36"/>
      <c r="J794" s="36"/>
      <c r="K794" s="60"/>
      <c r="M794" s="61"/>
      <c r="N794" s="61"/>
      <c r="O794" s="61"/>
      <c r="P794" s="61"/>
      <c r="Q794" s="61"/>
      <c r="R794" s="61"/>
      <c r="S794" s="62"/>
      <c r="T794" s="62"/>
      <c r="U794" s="62"/>
    </row>
    <row r="795" spans="2:21" ht="15.75" customHeight="1" x14ac:dyDescent="0.3">
      <c r="B795" s="36"/>
      <c r="C795" s="36"/>
      <c r="D795" s="6"/>
      <c r="E795" s="36"/>
      <c r="F795" s="36"/>
      <c r="G795" s="6"/>
      <c r="H795" s="37"/>
      <c r="I795" s="36"/>
      <c r="J795" s="36"/>
      <c r="K795" s="60"/>
      <c r="M795" s="61"/>
      <c r="N795" s="61"/>
      <c r="O795" s="61"/>
      <c r="P795" s="61"/>
      <c r="Q795" s="61"/>
      <c r="R795" s="61"/>
      <c r="S795" s="62"/>
      <c r="T795" s="62"/>
      <c r="U795" s="62"/>
    </row>
    <row r="796" spans="2:21" ht="15.75" customHeight="1" x14ac:dyDescent="0.3">
      <c r="B796" s="36"/>
      <c r="C796" s="36"/>
      <c r="D796" s="6"/>
      <c r="E796" s="36"/>
      <c r="F796" s="36"/>
      <c r="G796" s="6"/>
      <c r="H796" s="37"/>
      <c r="I796" s="36"/>
      <c r="J796" s="36"/>
      <c r="K796" s="60"/>
      <c r="M796" s="61"/>
      <c r="N796" s="61"/>
      <c r="O796" s="61"/>
      <c r="P796" s="61"/>
      <c r="Q796" s="61"/>
      <c r="R796" s="61"/>
      <c r="S796" s="62"/>
      <c r="T796" s="62"/>
      <c r="U796" s="62"/>
    </row>
    <row r="797" spans="2:21" ht="15.75" customHeight="1" x14ac:dyDescent="0.3">
      <c r="B797" s="36"/>
      <c r="C797" s="36"/>
      <c r="D797" s="6"/>
      <c r="E797" s="36"/>
      <c r="F797" s="36"/>
      <c r="G797" s="6"/>
      <c r="H797" s="37"/>
      <c r="I797" s="36"/>
      <c r="J797" s="36"/>
      <c r="K797" s="60"/>
      <c r="M797" s="61"/>
      <c r="N797" s="61"/>
      <c r="O797" s="61"/>
      <c r="P797" s="61"/>
      <c r="Q797" s="61"/>
      <c r="R797" s="61"/>
      <c r="S797" s="62"/>
      <c r="T797" s="62"/>
      <c r="U797" s="62"/>
    </row>
    <row r="798" spans="2:21" ht="15.75" customHeight="1" x14ac:dyDescent="0.3">
      <c r="B798" s="36"/>
      <c r="C798" s="36"/>
      <c r="D798" s="6"/>
      <c r="E798" s="36"/>
      <c r="F798" s="36"/>
      <c r="G798" s="6"/>
      <c r="H798" s="37"/>
      <c r="I798" s="36"/>
      <c r="J798" s="36"/>
      <c r="K798" s="60"/>
      <c r="M798" s="61"/>
      <c r="N798" s="61"/>
      <c r="O798" s="61"/>
      <c r="P798" s="61"/>
      <c r="Q798" s="61"/>
      <c r="R798" s="61"/>
      <c r="S798" s="62"/>
      <c r="T798" s="62"/>
      <c r="U798" s="62"/>
    </row>
    <row r="799" spans="2:21" ht="15.75" customHeight="1" x14ac:dyDescent="0.3">
      <c r="B799" s="36"/>
      <c r="C799" s="36"/>
      <c r="D799" s="6"/>
      <c r="E799" s="36"/>
      <c r="F799" s="36"/>
      <c r="G799" s="6"/>
      <c r="H799" s="37"/>
      <c r="I799" s="36"/>
      <c r="J799" s="36"/>
      <c r="K799" s="60"/>
      <c r="M799" s="61"/>
      <c r="N799" s="61"/>
      <c r="O799" s="61"/>
      <c r="P799" s="61"/>
      <c r="Q799" s="61"/>
      <c r="R799" s="61"/>
      <c r="S799" s="62"/>
      <c r="T799" s="62"/>
      <c r="U799" s="62"/>
    </row>
    <row r="800" spans="2:21" ht="15.75" customHeight="1" x14ac:dyDescent="0.3">
      <c r="B800" s="36"/>
      <c r="C800" s="36"/>
      <c r="D800" s="6"/>
      <c r="E800" s="36"/>
      <c r="F800" s="36"/>
      <c r="G800" s="6"/>
      <c r="H800" s="37"/>
      <c r="I800" s="36"/>
      <c r="J800" s="36"/>
      <c r="K800" s="60"/>
      <c r="M800" s="61"/>
      <c r="N800" s="61"/>
      <c r="O800" s="61"/>
      <c r="P800" s="61"/>
      <c r="Q800" s="61"/>
      <c r="R800" s="61"/>
      <c r="S800" s="62"/>
      <c r="T800" s="62"/>
      <c r="U800" s="62"/>
    </row>
    <row r="801" spans="2:21" ht="15.75" customHeight="1" x14ac:dyDescent="0.3">
      <c r="B801" s="36"/>
      <c r="C801" s="36"/>
      <c r="D801" s="6"/>
      <c r="E801" s="36"/>
      <c r="F801" s="36"/>
      <c r="G801" s="6"/>
      <c r="H801" s="37"/>
      <c r="I801" s="36"/>
      <c r="J801" s="36"/>
      <c r="K801" s="60"/>
      <c r="M801" s="61"/>
      <c r="N801" s="61"/>
      <c r="O801" s="61"/>
      <c r="P801" s="61"/>
      <c r="Q801" s="61"/>
      <c r="R801" s="61"/>
      <c r="S801" s="62"/>
      <c r="T801" s="62"/>
      <c r="U801" s="62"/>
    </row>
    <row r="802" spans="2:21" ht="15.75" customHeight="1" x14ac:dyDescent="0.3">
      <c r="B802" s="36"/>
      <c r="C802" s="36"/>
      <c r="D802" s="6"/>
      <c r="E802" s="36"/>
      <c r="F802" s="36"/>
      <c r="G802" s="6"/>
      <c r="H802" s="37"/>
      <c r="I802" s="36"/>
      <c r="J802" s="36"/>
      <c r="K802" s="60"/>
      <c r="M802" s="61"/>
      <c r="N802" s="61"/>
      <c r="O802" s="61"/>
      <c r="P802" s="61"/>
      <c r="Q802" s="61"/>
      <c r="R802" s="61"/>
      <c r="S802" s="62"/>
      <c r="T802" s="62"/>
      <c r="U802" s="62"/>
    </row>
    <row r="803" spans="2:21" ht="15.75" customHeight="1" x14ac:dyDescent="0.3">
      <c r="B803" s="36"/>
      <c r="C803" s="36"/>
      <c r="D803" s="6"/>
      <c r="E803" s="36"/>
      <c r="F803" s="36"/>
      <c r="G803" s="6"/>
      <c r="H803" s="37"/>
      <c r="I803" s="36"/>
      <c r="J803" s="36"/>
      <c r="K803" s="60"/>
      <c r="M803" s="61"/>
      <c r="N803" s="61"/>
      <c r="O803" s="61"/>
      <c r="P803" s="61"/>
      <c r="Q803" s="61"/>
      <c r="R803" s="61"/>
      <c r="S803" s="62"/>
      <c r="T803" s="62"/>
      <c r="U803" s="62"/>
    </row>
    <row r="804" spans="2:21" ht="15.75" customHeight="1" x14ac:dyDescent="0.3">
      <c r="B804" s="36"/>
      <c r="C804" s="36"/>
      <c r="D804" s="6"/>
      <c r="E804" s="36"/>
      <c r="F804" s="36"/>
      <c r="G804" s="6"/>
      <c r="H804" s="37"/>
      <c r="I804" s="36"/>
      <c r="J804" s="36"/>
      <c r="K804" s="60"/>
      <c r="M804" s="61"/>
      <c r="N804" s="61"/>
      <c r="O804" s="61"/>
      <c r="P804" s="61"/>
      <c r="Q804" s="61"/>
      <c r="R804" s="61"/>
      <c r="S804" s="62"/>
      <c r="T804" s="62"/>
      <c r="U804" s="62"/>
    </row>
    <row r="805" spans="2:21" ht="15.75" customHeight="1" x14ac:dyDescent="0.3">
      <c r="B805" s="36"/>
      <c r="C805" s="36"/>
      <c r="D805" s="6"/>
      <c r="E805" s="36"/>
      <c r="F805" s="36"/>
      <c r="G805" s="6"/>
      <c r="H805" s="37"/>
      <c r="I805" s="36"/>
      <c r="J805" s="36"/>
      <c r="K805" s="60"/>
      <c r="M805" s="61"/>
      <c r="N805" s="61"/>
      <c r="O805" s="61"/>
      <c r="P805" s="61"/>
      <c r="Q805" s="61"/>
      <c r="R805" s="61"/>
      <c r="S805" s="62"/>
      <c r="T805" s="62"/>
      <c r="U805" s="62"/>
    </row>
    <row r="806" spans="2:21" ht="15.75" customHeight="1" x14ac:dyDescent="0.3">
      <c r="B806" s="36"/>
      <c r="C806" s="36"/>
      <c r="D806" s="6"/>
      <c r="E806" s="36"/>
      <c r="F806" s="36"/>
      <c r="G806" s="6"/>
      <c r="H806" s="37"/>
      <c r="I806" s="36"/>
      <c r="J806" s="36"/>
      <c r="K806" s="60"/>
      <c r="M806" s="61"/>
      <c r="N806" s="61"/>
      <c r="O806" s="61"/>
      <c r="P806" s="61"/>
      <c r="Q806" s="61"/>
      <c r="R806" s="61"/>
      <c r="S806" s="62"/>
      <c r="T806" s="62"/>
      <c r="U806" s="62"/>
    </row>
    <row r="807" spans="2:21" ht="15.75" customHeight="1" x14ac:dyDescent="0.3">
      <c r="B807" s="36"/>
      <c r="C807" s="36"/>
      <c r="D807" s="6"/>
      <c r="E807" s="36"/>
      <c r="F807" s="36"/>
      <c r="G807" s="6"/>
      <c r="H807" s="37"/>
      <c r="I807" s="36"/>
      <c r="J807" s="36"/>
      <c r="K807" s="60"/>
      <c r="M807" s="61"/>
      <c r="N807" s="61"/>
      <c r="O807" s="61"/>
      <c r="P807" s="61"/>
      <c r="Q807" s="61"/>
      <c r="R807" s="61"/>
      <c r="S807" s="62"/>
      <c r="T807" s="62"/>
      <c r="U807" s="62"/>
    </row>
    <row r="808" spans="2:21" ht="15.75" customHeight="1" x14ac:dyDescent="0.3">
      <c r="B808" s="36"/>
      <c r="C808" s="36"/>
      <c r="D808" s="6"/>
      <c r="E808" s="36"/>
      <c r="F808" s="36"/>
      <c r="G808" s="6"/>
      <c r="H808" s="37"/>
      <c r="I808" s="36"/>
      <c r="J808" s="36"/>
      <c r="K808" s="60"/>
      <c r="M808" s="61"/>
      <c r="N808" s="61"/>
      <c r="O808" s="61"/>
      <c r="P808" s="61"/>
      <c r="Q808" s="61"/>
      <c r="R808" s="61"/>
      <c r="S808" s="62"/>
      <c r="T808" s="62"/>
      <c r="U808" s="62"/>
    </row>
    <row r="809" spans="2:21" ht="15.75" customHeight="1" x14ac:dyDescent="0.3">
      <c r="B809" s="36"/>
      <c r="C809" s="36"/>
      <c r="D809" s="6"/>
      <c r="E809" s="36"/>
      <c r="F809" s="36"/>
      <c r="G809" s="6"/>
      <c r="H809" s="37"/>
      <c r="I809" s="36"/>
      <c r="J809" s="36"/>
      <c r="K809" s="60"/>
      <c r="M809" s="61"/>
      <c r="N809" s="61"/>
      <c r="O809" s="61"/>
      <c r="P809" s="61"/>
      <c r="Q809" s="61"/>
      <c r="R809" s="61"/>
      <c r="S809" s="62"/>
      <c r="T809" s="62"/>
      <c r="U809" s="62"/>
    </row>
    <row r="810" spans="2:21" ht="15.75" customHeight="1" x14ac:dyDescent="0.3">
      <c r="B810" s="36"/>
      <c r="C810" s="36"/>
      <c r="D810" s="6"/>
      <c r="E810" s="36"/>
      <c r="F810" s="36"/>
      <c r="G810" s="6"/>
      <c r="H810" s="37"/>
      <c r="I810" s="36"/>
      <c r="J810" s="36"/>
      <c r="K810" s="60"/>
      <c r="M810" s="61"/>
      <c r="N810" s="61"/>
      <c r="O810" s="61"/>
      <c r="P810" s="61"/>
      <c r="Q810" s="61"/>
      <c r="R810" s="61"/>
      <c r="S810" s="62"/>
      <c r="T810" s="62"/>
      <c r="U810" s="62"/>
    </row>
    <row r="811" spans="2:21" ht="15.75" customHeight="1" x14ac:dyDescent="0.3">
      <c r="B811" s="36"/>
      <c r="C811" s="36"/>
      <c r="D811" s="6"/>
      <c r="E811" s="36"/>
      <c r="F811" s="36"/>
      <c r="G811" s="6"/>
      <c r="H811" s="37"/>
      <c r="I811" s="36"/>
      <c r="J811" s="36"/>
      <c r="K811" s="60"/>
      <c r="M811" s="61"/>
      <c r="N811" s="61"/>
      <c r="O811" s="61"/>
      <c r="P811" s="61"/>
      <c r="Q811" s="61"/>
      <c r="R811" s="61"/>
      <c r="S811" s="62"/>
      <c r="T811" s="62"/>
      <c r="U811" s="62"/>
    </row>
    <row r="812" spans="2:21" ht="15.75" customHeight="1" x14ac:dyDescent="0.3">
      <c r="B812" s="36"/>
      <c r="C812" s="36"/>
      <c r="D812" s="6"/>
      <c r="E812" s="36"/>
      <c r="F812" s="36"/>
      <c r="G812" s="6"/>
      <c r="H812" s="37"/>
      <c r="I812" s="36"/>
      <c r="J812" s="36"/>
      <c r="K812" s="60"/>
      <c r="M812" s="61"/>
      <c r="N812" s="61"/>
      <c r="O812" s="61"/>
      <c r="P812" s="61"/>
      <c r="Q812" s="61"/>
      <c r="R812" s="61"/>
      <c r="S812" s="62"/>
      <c r="T812" s="62"/>
      <c r="U812" s="62"/>
    </row>
    <row r="813" spans="2:21" ht="15.75" customHeight="1" x14ac:dyDescent="0.3">
      <c r="B813" s="36"/>
      <c r="C813" s="36"/>
      <c r="D813" s="6"/>
      <c r="E813" s="36"/>
      <c r="F813" s="36"/>
      <c r="G813" s="6"/>
      <c r="H813" s="37"/>
      <c r="I813" s="36"/>
      <c r="J813" s="36"/>
      <c r="K813" s="60"/>
      <c r="M813" s="61"/>
      <c r="N813" s="61"/>
      <c r="O813" s="61"/>
      <c r="P813" s="61"/>
      <c r="Q813" s="61"/>
      <c r="R813" s="61"/>
      <c r="S813" s="62"/>
      <c r="T813" s="62"/>
      <c r="U813" s="62"/>
    </row>
    <row r="814" spans="2:21" ht="15.75" customHeight="1" x14ac:dyDescent="0.3">
      <c r="B814" s="36"/>
      <c r="C814" s="36"/>
      <c r="D814" s="6"/>
      <c r="E814" s="36"/>
      <c r="F814" s="36"/>
      <c r="G814" s="6"/>
      <c r="H814" s="37"/>
      <c r="I814" s="36"/>
      <c r="J814" s="36"/>
      <c r="K814" s="60"/>
      <c r="M814" s="61"/>
      <c r="N814" s="61"/>
      <c r="O814" s="61"/>
      <c r="P814" s="61"/>
      <c r="Q814" s="61"/>
      <c r="R814" s="61"/>
      <c r="S814" s="62"/>
      <c r="T814" s="62"/>
      <c r="U814" s="62"/>
    </row>
    <row r="815" spans="2:21" ht="15.75" customHeight="1" x14ac:dyDescent="0.3">
      <c r="B815" s="36"/>
      <c r="C815" s="36"/>
      <c r="D815" s="6"/>
      <c r="E815" s="36"/>
      <c r="F815" s="36"/>
      <c r="G815" s="6"/>
      <c r="H815" s="37"/>
      <c r="I815" s="36"/>
      <c r="J815" s="36"/>
      <c r="K815" s="60"/>
      <c r="M815" s="61"/>
      <c r="N815" s="61"/>
      <c r="O815" s="61"/>
      <c r="P815" s="61"/>
      <c r="Q815" s="61"/>
      <c r="R815" s="61"/>
      <c r="S815" s="62"/>
      <c r="T815" s="62"/>
      <c r="U815" s="62"/>
    </row>
    <row r="816" spans="2:21" ht="15.75" customHeight="1" x14ac:dyDescent="0.3">
      <c r="B816" s="36"/>
      <c r="C816" s="36"/>
      <c r="D816" s="6"/>
      <c r="E816" s="36"/>
      <c r="F816" s="36"/>
      <c r="G816" s="6"/>
      <c r="H816" s="37"/>
      <c r="I816" s="36"/>
      <c r="J816" s="36"/>
      <c r="K816" s="60"/>
      <c r="M816" s="61"/>
      <c r="N816" s="61"/>
      <c r="O816" s="61"/>
      <c r="P816" s="61"/>
      <c r="Q816" s="61"/>
      <c r="R816" s="61"/>
      <c r="S816" s="62"/>
      <c r="T816" s="62"/>
      <c r="U816" s="62"/>
    </row>
    <row r="817" spans="2:21" ht="15.75" customHeight="1" x14ac:dyDescent="0.3">
      <c r="B817" s="36"/>
      <c r="C817" s="36"/>
      <c r="D817" s="6"/>
      <c r="E817" s="36"/>
      <c r="F817" s="36"/>
      <c r="G817" s="6"/>
      <c r="H817" s="37"/>
      <c r="I817" s="36"/>
      <c r="J817" s="36"/>
      <c r="K817" s="60"/>
      <c r="M817" s="61"/>
      <c r="N817" s="61"/>
      <c r="O817" s="61"/>
      <c r="P817" s="61"/>
      <c r="Q817" s="61"/>
      <c r="R817" s="61"/>
      <c r="S817" s="62"/>
      <c r="T817" s="62"/>
      <c r="U817" s="62"/>
    </row>
    <row r="818" spans="2:21" ht="15.75" customHeight="1" x14ac:dyDescent="0.3">
      <c r="B818" s="36"/>
      <c r="C818" s="36"/>
      <c r="D818" s="6"/>
      <c r="E818" s="36"/>
      <c r="F818" s="36"/>
      <c r="G818" s="6"/>
      <c r="H818" s="37"/>
      <c r="I818" s="36"/>
      <c r="J818" s="36"/>
      <c r="K818" s="60"/>
      <c r="M818" s="61"/>
      <c r="N818" s="61"/>
      <c r="O818" s="61"/>
      <c r="P818" s="61"/>
      <c r="Q818" s="61"/>
      <c r="R818" s="61"/>
      <c r="S818" s="62"/>
      <c r="T818" s="62"/>
      <c r="U818" s="62"/>
    </row>
    <row r="819" spans="2:21" ht="15.75" customHeight="1" x14ac:dyDescent="0.3">
      <c r="B819" s="36"/>
      <c r="C819" s="36"/>
      <c r="D819" s="6"/>
      <c r="E819" s="36"/>
      <c r="F819" s="36"/>
      <c r="G819" s="6"/>
      <c r="H819" s="37"/>
      <c r="I819" s="36"/>
      <c r="J819" s="36"/>
      <c r="K819" s="60"/>
      <c r="M819" s="61"/>
      <c r="N819" s="61"/>
      <c r="O819" s="61"/>
      <c r="P819" s="61"/>
      <c r="Q819" s="61"/>
      <c r="R819" s="61"/>
      <c r="S819" s="62"/>
      <c r="T819" s="62"/>
      <c r="U819" s="62"/>
    </row>
    <row r="820" spans="2:21" ht="15.75" customHeight="1" x14ac:dyDescent="0.3">
      <c r="B820" s="36"/>
      <c r="C820" s="36"/>
      <c r="D820" s="6"/>
      <c r="E820" s="36"/>
      <c r="F820" s="36"/>
      <c r="G820" s="6"/>
      <c r="H820" s="37"/>
      <c r="I820" s="36"/>
      <c r="J820" s="36"/>
      <c r="K820" s="60"/>
      <c r="M820" s="61"/>
      <c r="N820" s="61"/>
      <c r="O820" s="61"/>
      <c r="P820" s="61"/>
      <c r="Q820" s="61"/>
      <c r="R820" s="61"/>
      <c r="S820" s="62"/>
      <c r="T820" s="62"/>
      <c r="U820" s="62"/>
    </row>
    <row r="821" spans="2:21" ht="15.75" customHeight="1" x14ac:dyDescent="0.3">
      <c r="B821" s="36"/>
      <c r="C821" s="36"/>
      <c r="D821" s="6"/>
      <c r="E821" s="36"/>
      <c r="F821" s="36"/>
      <c r="G821" s="6"/>
      <c r="H821" s="37"/>
      <c r="I821" s="36"/>
      <c r="J821" s="36"/>
      <c r="K821" s="60"/>
      <c r="M821" s="61"/>
      <c r="N821" s="61"/>
      <c r="O821" s="61"/>
      <c r="P821" s="61"/>
      <c r="Q821" s="61"/>
      <c r="R821" s="61"/>
      <c r="S821" s="62"/>
      <c r="T821" s="62"/>
      <c r="U821" s="62"/>
    </row>
    <row r="822" spans="2:21" ht="15.75" customHeight="1" x14ac:dyDescent="0.3">
      <c r="B822" s="36"/>
      <c r="C822" s="36"/>
      <c r="D822" s="6"/>
      <c r="E822" s="36"/>
      <c r="F822" s="36"/>
      <c r="G822" s="6"/>
      <c r="H822" s="37"/>
      <c r="I822" s="36"/>
      <c r="J822" s="36"/>
      <c r="K822" s="60"/>
      <c r="M822" s="61"/>
      <c r="N822" s="61"/>
      <c r="O822" s="61"/>
      <c r="P822" s="61"/>
      <c r="Q822" s="61"/>
      <c r="R822" s="61"/>
      <c r="S822" s="62"/>
      <c r="T822" s="62"/>
      <c r="U822" s="62"/>
    </row>
    <row r="823" spans="2:21" ht="15.75" customHeight="1" x14ac:dyDescent="0.3">
      <c r="B823" s="36"/>
      <c r="C823" s="36"/>
      <c r="D823" s="6"/>
      <c r="E823" s="36"/>
      <c r="F823" s="36"/>
      <c r="G823" s="6"/>
      <c r="H823" s="37"/>
      <c r="I823" s="36"/>
      <c r="J823" s="36"/>
      <c r="K823" s="60"/>
      <c r="M823" s="61"/>
      <c r="N823" s="61"/>
      <c r="O823" s="61"/>
      <c r="P823" s="61"/>
      <c r="Q823" s="61"/>
      <c r="R823" s="61"/>
      <c r="S823" s="62"/>
      <c r="T823" s="62"/>
      <c r="U823" s="62"/>
    </row>
    <row r="824" spans="2:21" ht="15.75" customHeight="1" x14ac:dyDescent="0.3">
      <c r="B824" s="36"/>
      <c r="C824" s="36"/>
      <c r="D824" s="6"/>
      <c r="E824" s="36"/>
      <c r="F824" s="36"/>
      <c r="G824" s="6"/>
      <c r="H824" s="37"/>
      <c r="I824" s="36"/>
      <c r="J824" s="36"/>
      <c r="K824" s="60"/>
      <c r="M824" s="61"/>
      <c r="N824" s="61"/>
      <c r="O824" s="61"/>
      <c r="P824" s="61"/>
      <c r="Q824" s="61"/>
      <c r="R824" s="61"/>
      <c r="S824" s="62"/>
      <c r="T824" s="62"/>
      <c r="U824" s="62"/>
    </row>
    <row r="825" spans="2:21" ht="15.75" customHeight="1" x14ac:dyDescent="0.3">
      <c r="B825" s="36"/>
      <c r="C825" s="36"/>
      <c r="D825" s="6"/>
      <c r="E825" s="36"/>
      <c r="F825" s="36"/>
      <c r="G825" s="6"/>
      <c r="H825" s="37"/>
      <c r="I825" s="36"/>
      <c r="J825" s="36"/>
      <c r="K825" s="60"/>
      <c r="M825" s="61"/>
      <c r="N825" s="61"/>
      <c r="O825" s="61"/>
      <c r="P825" s="61"/>
      <c r="Q825" s="61"/>
      <c r="R825" s="61"/>
      <c r="S825" s="62"/>
      <c r="T825" s="62"/>
      <c r="U825" s="62"/>
    </row>
    <row r="826" spans="2:21" ht="15.75" customHeight="1" x14ac:dyDescent="0.3">
      <c r="B826" s="36"/>
      <c r="C826" s="36"/>
      <c r="D826" s="6"/>
      <c r="E826" s="36"/>
      <c r="F826" s="36"/>
      <c r="G826" s="6"/>
      <c r="H826" s="37"/>
      <c r="I826" s="36"/>
      <c r="J826" s="36"/>
      <c r="K826" s="60"/>
      <c r="M826" s="61"/>
      <c r="N826" s="61"/>
      <c r="O826" s="61"/>
      <c r="P826" s="61"/>
      <c r="Q826" s="61"/>
      <c r="R826" s="61"/>
      <c r="S826" s="62"/>
      <c r="T826" s="62"/>
      <c r="U826" s="62"/>
    </row>
    <row r="827" spans="2:21" ht="15.75" customHeight="1" x14ac:dyDescent="0.3">
      <c r="B827" s="36"/>
      <c r="C827" s="36"/>
      <c r="D827" s="6"/>
      <c r="E827" s="36"/>
      <c r="F827" s="36"/>
      <c r="G827" s="6"/>
      <c r="H827" s="37"/>
      <c r="I827" s="36"/>
      <c r="J827" s="36"/>
      <c r="K827" s="60"/>
      <c r="M827" s="61"/>
      <c r="N827" s="61"/>
      <c r="O827" s="61"/>
      <c r="P827" s="61"/>
      <c r="Q827" s="61"/>
      <c r="R827" s="61"/>
      <c r="S827" s="62"/>
      <c r="T827" s="62"/>
      <c r="U827" s="62"/>
    </row>
    <row r="828" spans="2:21" ht="15.75" customHeight="1" x14ac:dyDescent="0.3">
      <c r="B828" s="36"/>
      <c r="C828" s="36"/>
      <c r="D828" s="6"/>
      <c r="E828" s="36"/>
      <c r="F828" s="36"/>
      <c r="G828" s="6"/>
      <c r="H828" s="37"/>
      <c r="I828" s="36"/>
      <c r="J828" s="36"/>
      <c r="K828" s="60"/>
      <c r="M828" s="61"/>
      <c r="N828" s="61"/>
      <c r="O828" s="61"/>
      <c r="P828" s="61"/>
      <c r="Q828" s="61"/>
      <c r="R828" s="61"/>
      <c r="S828" s="62"/>
      <c r="T828" s="62"/>
      <c r="U828" s="62"/>
    </row>
    <row r="829" spans="2:21" ht="15.75" customHeight="1" x14ac:dyDescent="0.3">
      <c r="B829" s="36"/>
      <c r="C829" s="36"/>
      <c r="D829" s="6"/>
      <c r="E829" s="36"/>
      <c r="F829" s="36"/>
      <c r="G829" s="6"/>
      <c r="H829" s="37"/>
      <c r="I829" s="36"/>
      <c r="J829" s="36"/>
      <c r="K829" s="60"/>
      <c r="M829" s="61"/>
      <c r="N829" s="61"/>
      <c r="O829" s="61"/>
      <c r="P829" s="61"/>
      <c r="Q829" s="61"/>
      <c r="R829" s="61"/>
      <c r="S829" s="62"/>
      <c r="T829" s="62"/>
      <c r="U829" s="62"/>
    </row>
    <row r="830" spans="2:21" ht="15.75" customHeight="1" x14ac:dyDescent="0.3">
      <c r="B830" s="36"/>
      <c r="C830" s="36"/>
      <c r="D830" s="6"/>
      <c r="E830" s="36"/>
      <c r="F830" s="36"/>
      <c r="G830" s="6"/>
      <c r="H830" s="37"/>
      <c r="I830" s="36"/>
      <c r="J830" s="36"/>
      <c r="K830" s="60"/>
      <c r="M830" s="61"/>
      <c r="N830" s="61"/>
      <c r="O830" s="61"/>
      <c r="P830" s="61"/>
      <c r="Q830" s="61"/>
      <c r="R830" s="61"/>
      <c r="S830" s="62"/>
      <c r="T830" s="62"/>
      <c r="U830" s="62"/>
    </row>
    <row r="831" spans="2:21" ht="15.75" customHeight="1" x14ac:dyDescent="0.3">
      <c r="B831" s="36"/>
      <c r="C831" s="36"/>
      <c r="D831" s="6"/>
      <c r="E831" s="36"/>
      <c r="F831" s="36"/>
      <c r="G831" s="6"/>
      <c r="H831" s="37"/>
      <c r="I831" s="36"/>
      <c r="J831" s="36"/>
      <c r="K831" s="60"/>
      <c r="M831" s="61"/>
      <c r="N831" s="61"/>
      <c r="O831" s="61"/>
      <c r="P831" s="61"/>
      <c r="Q831" s="61"/>
      <c r="R831" s="61"/>
      <c r="S831" s="62"/>
      <c r="T831" s="62"/>
      <c r="U831" s="62"/>
    </row>
    <row r="832" spans="2:21" ht="15.75" customHeight="1" x14ac:dyDescent="0.3">
      <c r="B832" s="36"/>
      <c r="C832" s="36"/>
      <c r="D832" s="6"/>
      <c r="E832" s="36"/>
      <c r="F832" s="36"/>
      <c r="G832" s="6"/>
      <c r="H832" s="37"/>
      <c r="I832" s="36"/>
      <c r="J832" s="36"/>
      <c r="K832" s="60"/>
      <c r="M832" s="61"/>
      <c r="N832" s="61"/>
      <c r="O832" s="61"/>
      <c r="P832" s="61"/>
      <c r="Q832" s="61"/>
      <c r="R832" s="61"/>
      <c r="S832" s="62"/>
      <c r="T832" s="62"/>
      <c r="U832" s="62"/>
    </row>
    <row r="833" spans="2:21" ht="15.75" customHeight="1" x14ac:dyDescent="0.3">
      <c r="B833" s="36"/>
      <c r="C833" s="36"/>
      <c r="D833" s="6"/>
      <c r="E833" s="36"/>
      <c r="F833" s="36"/>
      <c r="G833" s="6"/>
      <c r="H833" s="37"/>
      <c r="I833" s="36"/>
      <c r="J833" s="36"/>
      <c r="K833" s="60"/>
      <c r="M833" s="61"/>
      <c r="N833" s="61"/>
      <c r="O833" s="61"/>
      <c r="P833" s="61"/>
      <c r="Q833" s="61"/>
      <c r="R833" s="61"/>
      <c r="S833" s="62"/>
      <c r="T833" s="62"/>
      <c r="U833" s="62"/>
    </row>
    <row r="834" spans="2:21" ht="15.75" customHeight="1" x14ac:dyDescent="0.3">
      <c r="B834" s="36"/>
      <c r="C834" s="36"/>
      <c r="D834" s="6"/>
      <c r="E834" s="36"/>
      <c r="F834" s="36"/>
      <c r="G834" s="6"/>
      <c r="H834" s="37"/>
      <c r="I834" s="36"/>
      <c r="J834" s="36"/>
      <c r="K834" s="60"/>
      <c r="M834" s="61"/>
      <c r="N834" s="61"/>
      <c r="O834" s="61"/>
      <c r="P834" s="61"/>
      <c r="Q834" s="61"/>
      <c r="R834" s="61"/>
      <c r="S834" s="62"/>
      <c r="T834" s="62"/>
      <c r="U834" s="62"/>
    </row>
    <row r="835" spans="2:21" ht="15.75" customHeight="1" x14ac:dyDescent="0.3">
      <c r="B835" s="36"/>
      <c r="C835" s="36"/>
      <c r="D835" s="6"/>
      <c r="E835" s="36"/>
      <c r="F835" s="36"/>
      <c r="G835" s="6"/>
      <c r="H835" s="37"/>
      <c r="I835" s="36"/>
      <c r="J835" s="36"/>
      <c r="K835" s="60"/>
      <c r="M835" s="61"/>
      <c r="N835" s="61"/>
      <c r="O835" s="61"/>
      <c r="P835" s="61"/>
      <c r="Q835" s="61"/>
      <c r="R835" s="61"/>
      <c r="S835" s="62"/>
      <c r="T835" s="62"/>
      <c r="U835" s="62"/>
    </row>
    <row r="836" spans="2:21" ht="15.75" customHeight="1" x14ac:dyDescent="0.3">
      <c r="B836" s="36"/>
      <c r="C836" s="36"/>
      <c r="D836" s="6"/>
      <c r="E836" s="36"/>
      <c r="F836" s="36"/>
      <c r="G836" s="6"/>
      <c r="H836" s="37"/>
      <c r="I836" s="36"/>
      <c r="J836" s="36"/>
      <c r="K836" s="60"/>
      <c r="M836" s="61"/>
      <c r="N836" s="61"/>
      <c r="O836" s="61"/>
      <c r="P836" s="61"/>
      <c r="Q836" s="61"/>
      <c r="R836" s="61"/>
      <c r="S836" s="62"/>
      <c r="T836" s="62"/>
      <c r="U836" s="62"/>
    </row>
    <row r="837" spans="2:21" ht="15.75" customHeight="1" x14ac:dyDescent="0.3">
      <c r="B837" s="36"/>
      <c r="C837" s="36"/>
      <c r="D837" s="6"/>
      <c r="E837" s="36"/>
      <c r="F837" s="36"/>
      <c r="G837" s="6"/>
      <c r="H837" s="37"/>
      <c r="I837" s="36"/>
      <c r="J837" s="36"/>
      <c r="K837" s="60"/>
      <c r="M837" s="61"/>
      <c r="N837" s="61"/>
      <c r="O837" s="61"/>
      <c r="P837" s="61"/>
      <c r="Q837" s="61"/>
      <c r="R837" s="61"/>
      <c r="S837" s="62"/>
      <c r="T837" s="62"/>
      <c r="U837" s="62"/>
    </row>
    <row r="838" spans="2:21" ht="15.75" customHeight="1" x14ac:dyDescent="0.3">
      <c r="B838" s="36"/>
      <c r="C838" s="36"/>
      <c r="D838" s="6"/>
      <c r="E838" s="36"/>
      <c r="F838" s="36"/>
      <c r="G838" s="6"/>
      <c r="H838" s="37"/>
      <c r="I838" s="36"/>
      <c r="J838" s="36"/>
      <c r="K838" s="60"/>
      <c r="M838" s="61"/>
      <c r="N838" s="61"/>
      <c r="O838" s="61"/>
      <c r="P838" s="61"/>
      <c r="Q838" s="61"/>
      <c r="R838" s="61"/>
      <c r="S838" s="62"/>
      <c r="T838" s="62"/>
      <c r="U838" s="62"/>
    </row>
    <row r="839" spans="2:21" ht="15.75" customHeight="1" x14ac:dyDescent="0.3">
      <c r="B839" s="36"/>
      <c r="C839" s="36"/>
      <c r="D839" s="6"/>
      <c r="E839" s="36"/>
      <c r="F839" s="36"/>
      <c r="G839" s="6"/>
      <c r="H839" s="37"/>
      <c r="I839" s="36"/>
      <c r="J839" s="36"/>
      <c r="K839" s="60"/>
      <c r="M839" s="61"/>
      <c r="N839" s="61"/>
      <c r="O839" s="61"/>
      <c r="P839" s="61"/>
      <c r="Q839" s="61"/>
      <c r="R839" s="61"/>
      <c r="S839" s="62"/>
      <c r="T839" s="62"/>
      <c r="U839" s="62"/>
    </row>
    <row r="840" spans="2:21" ht="15.75" customHeight="1" x14ac:dyDescent="0.3">
      <c r="B840" s="36"/>
      <c r="C840" s="36"/>
      <c r="D840" s="6"/>
      <c r="E840" s="36"/>
      <c r="F840" s="36"/>
      <c r="G840" s="6"/>
      <c r="H840" s="37"/>
      <c r="I840" s="36"/>
      <c r="J840" s="36"/>
      <c r="K840" s="60"/>
      <c r="M840" s="61"/>
      <c r="N840" s="61"/>
      <c r="O840" s="61"/>
      <c r="P840" s="61"/>
      <c r="Q840" s="61"/>
      <c r="R840" s="61"/>
      <c r="S840" s="62"/>
      <c r="T840" s="62"/>
      <c r="U840" s="62"/>
    </row>
    <row r="841" spans="2:21" ht="15.75" customHeight="1" x14ac:dyDescent="0.3">
      <c r="B841" s="36"/>
      <c r="C841" s="36"/>
      <c r="D841" s="6"/>
      <c r="E841" s="36"/>
      <c r="F841" s="36"/>
      <c r="G841" s="6"/>
      <c r="H841" s="37"/>
      <c r="I841" s="36"/>
      <c r="J841" s="36"/>
      <c r="K841" s="60"/>
      <c r="M841" s="61"/>
      <c r="N841" s="61"/>
      <c r="O841" s="61"/>
      <c r="P841" s="61"/>
      <c r="Q841" s="61"/>
      <c r="R841" s="61"/>
      <c r="S841" s="62"/>
      <c r="T841" s="62"/>
      <c r="U841" s="62"/>
    </row>
    <row r="842" spans="2:21" ht="15.75" customHeight="1" x14ac:dyDescent="0.3">
      <c r="B842" s="36"/>
      <c r="C842" s="36"/>
      <c r="D842" s="6"/>
      <c r="E842" s="36"/>
      <c r="F842" s="36"/>
      <c r="G842" s="6"/>
      <c r="H842" s="37"/>
      <c r="I842" s="36"/>
      <c r="J842" s="36"/>
      <c r="K842" s="60"/>
      <c r="M842" s="61"/>
      <c r="N842" s="61"/>
      <c r="O842" s="61"/>
      <c r="P842" s="61"/>
      <c r="Q842" s="61"/>
      <c r="R842" s="61"/>
      <c r="S842" s="62"/>
      <c r="T842" s="62"/>
      <c r="U842" s="62"/>
    </row>
    <row r="843" spans="2:21" ht="15.75" customHeight="1" x14ac:dyDescent="0.3">
      <c r="B843" s="36"/>
      <c r="C843" s="36"/>
      <c r="D843" s="6"/>
      <c r="E843" s="36"/>
      <c r="F843" s="36"/>
      <c r="G843" s="6"/>
      <c r="H843" s="37"/>
      <c r="I843" s="36"/>
      <c r="J843" s="36"/>
      <c r="K843" s="60"/>
      <c r="M843" s="61"/>
      <c r="N843" s="61"/>
      <c r="O843" s="61"/>
      <c r="P843" s="61"/>
      <c r="Q843" s="61"/>
      <c r="R843" s="61"/>
      <c r="S843" s="62"/>
      <c r="T843" s="62"/>
      <c r="U843" s="62"/>
    </row>
    <row r="844" spans="2:21" ht="15.75" customHeight="1" x14ac:dyDescent="0.3">
      <c r="B844" s="36"/>
      <c r="C844" s="36"/>
      <c r="D844" s="6"/>
      <c r="E844" s="36"/>
      <c r="F844" s="36"/>
      <c r="G844" s="6"/>
      <c r="H844" s="37"/>
      <c r="I844" s="36"/>
      <c r="J844" s="36"/>
      <c r="K844" s="60"/>
      <c r="M844" s="61"/>
      <c r="N844" s="61"/>
      <c r="O844" s="61"/>
      <c r="P844" s="61"/>
      <c r="Q844" s="61"/>
      <c r="R844" s="61"/>
      <c r="S844" s="62"/>
      <c r="T844" s="62"/>
      <c r="U844" s="62"/>
    </row>
    <row r="845" spans="2:21" ht="15.75" customHeight="1" x14ac:dyDescent="0.3">
      <c r="B845" s="36"/>
      <c r="C845" s="36"/>
      <c r="D845" s="6"/>
      <c r="E845" s="36"/>
      <c r="F845" s="36"/>
      <c r="G845" s="6"/>
      <c r="H845" s="37"/>
      <c r="I845" s="36"/>
      <c r="J845" s="36"/>
      <c r="K845" s="60"/>
      <c r="M845" s="61"/>
      <c r="N845" s="61"/>
      <c r="O845" s="61"/>
      <c r="P845" s="61"/>
      <c r="Q845" s="61"/>
      <c r="R845" s="61"/>
      <c r="S845" s="62"/>
      <c r="T845" s="62"/>
      <c r="U845" s="62"/>
    </row>
    <row r="846" spans="2:21" ht="15.75" customHeight="1" x14ac:dyDescent="0.3">
      <c r="B846" s="36"/>
      <c r="C846" s="36"/>
      <c r="D846" s="6"/>
      <c r="E846" s="36"/>
      <c r="F846" s="36"/>
      <c r="G846" s="6"/>
      <c r="H846" s="37"/>
      <c r="I846" s="36"/>
      <c r="J846" s="36"/>
      <c r="K846" s="60"/>
      <c r="M846" s="61"/>
      <c r="N846" s="61"/>
      <c r="O846" s="61"/>
      <c r="P846" s="61"/>
      <c r="Q846" s="61"/>
      <c r="R846" s="61"/>
      <c r="S846" s="62"/>
      <c r="T846" s="62"/>
      <c r="U846" s="62"/>
    </row>
    <row r="847" spans="2:21" ht="15.75" customHeight="1" x14ac:dyDescent="0.3">
      <c r="B847" s="36"/>
      <c r="C847" s="36"/>
      <c r="D847" s="6"/>
      <c r="E847" s="36"/>
      <c r="F847" s="36"/>
      <c r="G847" s="6"/>
      <c r="H847" s="37"/>
      <c r="I847" s="36"/>
      <c r="J847" s="36"/>
      <c r="K847" s="60"/>
      <c r="M847" s="61"/>
      <c r="N847" s="61"/>
      <c r="O847" s="61"/>
      <c r="P847" s="61"/>
      <c r="Q847" s="61"/>
      <c r="R847" s="61"/>
      <c r="S847" s="62"/>
      <c r="T847" s="62"/>
      <c r="U847" s="62"/>
    </row>
    <row r="848" spans="2:21" ht="15.75" customHeight="1" x14ac:dyDescent="0.3">
      <c r="B848" s="36"/>
      <c r="C848" s="36"/>
      <c r="D848" s="6"/>
      <c r="E848" s="36"/>
      <c r="F848" s="36"/>
      <c r="G848" s="6"/>
      <c r="H848" s="37"/>
      <c r="I848" s="36"/>
      <c r="J848" s="36"/>
      <c r="K848" s="60"/>
      <c r="M848" s="61"/>
      <c r="N848" s="61"/>
      <c r="O848" s="61"/>
      <c r="P848" s="61"/>
      <c r="Q848" s="61"/>
      <c r="R848" s="61"/>
      <c r="S848" s="62"/>
      <c r="T848" s="62"/>
      <c r="U848" s="62"/>
    </row>
    <row r="849" spans="2:21" ht="15.75" customHeight="1" x14ac:dyDescent="0.3">
      <c r="B849" s="36"/>
      <c r="C849" s="36"/>
      <c r="D849" s="6"/>
      <c r="E849" s="36"/>
      <c r="F849" s="36"/>
      <c r="G849" s="6"/>
      <c r="H849" s="37"/>
      <c r="I849" s="36"/>
      <c r="J849" s="36"/>
      <c r="K849" s="60"/>
      <c r="M849" s="61"/>
      <c r="N849" s="61"/>
      <c r="O849" s="61"/>
      <c r="P849" s="61"/>
      <c r="Q849" s="61"/>
      <c r="R849" s="61"/>
      <c r="S849" s="62"/>
      <c r="T849" s="62"/>
      <c r="U849" s="62"/>
    </row>
    <row r="850" spans="2:21" ht="15.75" customHeight="1" x14ac:dyDescent="0.3">
      <c r="B850" s="36"/>
      <c r="C850" s="36"/>
      <c r="D850" s="6"/>
      <c r="E850" s="36"/>
      <c r="F850" s="36"/>
      <c r="G850" s="6"/>
      <c r="H850" s="37"/>
      <c r="I850" s="36"/>
      <c r="J850" s="36"/>
      <c r="K850" s="60"/>
      <c r="M850" s="61"/>
      <c r="N850" s="61"/>
      <c r="O850" s="61"/>
      <c r="P850" s="61"/>
      <c r="Q850" s="61"/>
      <c r="R850" s="61"/>
      <c r="S850" s="62"/>
      <c r="T850" s="62"/>
      <c r="U850" s="62"/>
    </row>
    <row r="851" spans="2:21" ht="15.75" customHeight="1" x14ac:dyDescent="0.3">
      <c r="B851" s="36"/>
      <c r="C851" s="36"/>
      <c r="D851" s="6"/>
      <c r="E851" s="36"/>
      <c r="F851" s="36"/>
      <c r="G851" s="6"/>
      <c r="H851" s="37"/>
      <c r="I851" s="36"/>
      <c r="J851" s="36"/>
      <c r="K851" s="60"/>
      <c r="M851" s="61"/>
      <c r="N851" s="61"/>
      <c r="O851" s="61"/>
      <c r="P851" s="61"/>
      <c r="Q851" s="61"/>
      <c r="R851" s="61"/>
      <c r="S851" s="62"/>
      <c r="T851" s="62"/>
      <c r="U851" s="62"/>
    </row>
    <row r="852" spans="2:21" ht="15.75" customHeight="1" x14ac:dyDescent="0.3">
      <c r="B852" s="36"/>
      <c r="C852" s="36"/>
      <c r="D852" s="6"/>
      <c r="E852" s="36"/>
      <c r="F852" s="36"/>
      <c r="G852" s="6"/>
      <c r="H852" s="37"/>
      <c r="I852" s="36"/>
      <c r="J852" s="36"/>
      <c r="K852" s="60"/>
      <c r="M852" s="61"/>
      <c r="N852" s="61"/>
      <c r="O852" s="61"/>
      <c r="P852" s="61"/>
      <c r="Q852" s="61"/>
      <c r="R852" s="61"/>
      <c r="S852" s="62"/>
      <c r="T852" s="62"/>
      <c r="U852" s="62"/>
    </row>
    <row r="853" spans="2:21" ht="15.75" customHeight="1" x14ac:dyDescent="0.3">
      <c r="B853" s="36"/>
      <c r="C853" s="36"/>
      <c r="D853" s="6"/>
      <c r="E853" s="36"/>
      <c r="F853" s="36"/>
      <c r="G853" s="6"/>
      <c r="H853" s="37"/>
      <c r="I853" s="36"/>
      <c r="J853" s="36"/>
      <c r="K853" s="60"/>
      <c r="M853" s="61"/>
      <c r="N853" s="61"/>
      <c r="O853" s="61"/>
      <c r="P853" s="61"/>
      <c r="Q853" s="61"/>
      <c r="R853" s="61"/>
      <c r="S853" s="62"/>
      <c r="T853" s="62"/>
      <c r="U853" s="62"/>
    </row>
    <row r="854" spans="2:21" ht="15.75" customHeight="1" x14ac:dyDescent="0.3">
      <c r="B854" s="36"/>
      <c r="C854" s="36"/>
      <c r="D854" s="6"/>
      <c r="E854" s="36"/>
      <c r="F854" s="36"/>
      <c r="G854" s="6"/>
      <c r="H854" s="37"/>
      <c r="I854" s="36"/>
      <c r="J854" s="36"/>
      <c r="K854" s="60"/>
      <c r="M854" s="61"/>
      <c r="N854" s="61"/>
      <c r="O854" s="61"/>
      <c r="P854" s="61"/>
      <c r="Q854" s="61"/>
      <c r="R854" s="61"/>
      <c r="S854" s="62"/>
      <c r="T854" s="62"/>
      <c r="U854" s="62"/>
    </row>
    <row r="855" spans="2:21" ht="15.75" customHeight="1" x14ac:dyDescent="0.3">
      <c r="B855" s="36"/>
      <c r="C855" s="36"/>
      <c r="D855" s="6"/>
      <c r="E855" s="36"/>
      <c r="F855" s="36"/>
      <c r="G855" s="6"/>
      <c r="H855" s="37"/>
      <c r="I855" s="36"/>
      <c r="J855" s="36"/>
      <c r="K855" s="60"/>
      <c r="M855" s="61"/>
      <c r="N855" s="61"/>
      <c r="O855" s="61"/>
      <c r="P855" s="61"/>
      <c r="Q855" s="61"/>
      <c r="R855" s="61"/>
      <c r="S855" s="62"/>
      <c r="T855" s="62"/>
      <c r="U855" s="62"/>
    </row>
    <row r="856" spans="2:21" ht="15.75" customHeight="1" x14ac:dyDescent="0.3">
      <c r="B856" s="36"/>
      <c r="C856" s="36"/>
      <c r="D856" s="6"/>
      <c r="E856" s="36"/>
      <c r="F856" s="36"/>
      <c r="G856" s="6"/>
      <c r="H856" s="37"/>
      <c r="I856" s="36"/>
      <c r="J856" s="36"/>
      <c r="K856" s="60"/>
      <c r="M856" s="61"/>
      <c r="N856" s="61"/>
      <c r="O856" s="61"/>
      <c r="P856" s="61"/>
      <c r="Q856" s="61"/>
      <c r="R856" s="61"/>
      <c r="S856" s="62"/>
      <c r="T856" s="62"/>
      <c r="U856" s="62"/>
    </row>
    <row r="857" spans="2:21" ht="15.75" customHeight="1" x14ac:dyDescent="0.3">
      <c r="B857" s="36"/>
      <c r="C857" s="36"/>
      <c r="D857" s="6"/>
      <c r="E857" s="36"/>
      <c r="F857" s="36"/>
      <c r="G857" s="6"/>
      <c r="H857" s="37"/>
      <c r="I857" s="36"/>
      <c r="J857" s="36"/>
      <c r="K857" s="60"/>
      <c r="M857" s="61"/>
      <c r="N857" s="61"/>
      <c r="O857" s="61"/>
      <c r="P857" s="61"/>
      <c r="Q857" s="61"/>
      <c r="R857" s="61"/>
      <c r="S857" s="62"/>
      <c r="T857" s="62"/>
      <c r="U857" s="62"/>
    </row>
    <row r="858" spans="2:21" ht="15.75" customHeight="1" x14ac:dyDescent="0.3">
      <c r="B858" s="36"/>
      <c r="C858" s="36"/>
      <c r="D858" s="6"/>
      <c r="E858" s="36"/>
      <c r="F858" s="36"/>
      <c r="G858" s="6"/>
      <c r="H858" s="37"/>
      <c r="I858" s="36"/>
      <c r="J858" s="36"/>
      <c r="K858" s="60"/>
      <c r="M858" s="61"/>
      <c r="N858" s="61"/>
      <c r="O858" s="61"/>
      <c r="P858" s="61"/>
      <c r="Q858" s="61"/>
      <c r="R858" s="61"/>
      <c r="S858" s="62"/>
      <c r="T858" s="62"/>
      <c r="U858" s="62"/>
    </row>
    <row r="859" spans="2:21" ht="15.75" customHeight="1" x14ac:dyDescent="0.3">
      <c r="B859" s="36"/>
      <c r="C859" s="36"/>
      <c r="D859" s="6"/>
      <c r="E859" s="36"/>
      <c r="F859" s="36"/>
      <c r="G859" s="6"/>
      <c r="H859" s="37"/>
      <c r="I859" s="36"/>
      <c r="J859" s="36"/>
      <c r="K859" s="60"/>
      <c r="M859" s="61"/>
      <c r="N859" s="61"/>
      <c r="O859" s="61"/>
      <c r="P859" s="61"/>
      <c r="Q859" s="61"/>
      <c r="R859" s="61"/>
      <c r="S859" s="62"/>
      <c r="T859" s="62"/>
      <c r="U859" s="62"/>
    </row>
    <row r="860" spans="2:21" ht="15.75" customHeight="1" x14ac:dyDescent="0.3">
      <c r="B860" s="36"/>
      <c r="C860" s="36"/>
      <c r="D860" s="6"/>
      <c r="E860" s="36"/>
      <c r="F860" s="36"/>
      <c r="G860" s="6"/>
      <c r="H860" s="37"/>
      <c r="I860" s="36"/>
      <c r="J860" s="36"/>
      <c r="K860" s="60"/>
      <c r="M860" s="61"/>
      <c r="N860" s="61"/>
      <c r="O860" s="61"/>
      <c r="P860" s="61"/>
      <c r="Q860" s="61"/>
      <c r="R860" s="61"/>
      <c r="S860" s="62"/>
      <c r="T860" s="62"/>
      <c r="U860" s="62"/>
    </row>
    <row r="861" spans="2:21" ht="15.75" customHeight="1" x14ac:dyDescent="0.3">
      <c r="B861" s="36"/>
      <c r="C861" s="36"/>
      <c r="D861" s="6"/>
      <c r="E861" s="36"/>
      <c r="F861" s="36"/>
      <c r="G861" s="6"/>
      <c r="H861" s="37"/>
      <c r="I861" s="36"/>
      <c r="J861" s="36"/>
      <c r="K861" s="60"/>
      <c r="M861" s="61"/>
      <c r="N861" s="61"/>
      <c r="O861" s="61"/>
      <c r="P861" s="61"/>
      <c r="Q861" s="61"/>
      <c r="R861" s="61"/>
      <c r="S861" s="62"/>
      <c r="T861" s="62"/>
      <c r="U861" s="62"/>
    </row>
    <row r="862" spans="2:21" ht="15.75" customHeight="1" x14ac:dyDescent="0.3">
      <c r="B862" s="36"/>
      <c r="C862" s="36"/>
      <c r="D862" s="6"/>
      <c r="E862" s="36"/>
      <c r="F862" s="36"/>
      <c r="G862" s="6"/>
      <c r="H862" s="37"/>
      <c r="I862" s="36"/>
      <c r="J862" s="36"/>
      <c r="K862" s="60"/>
      <c r="M862" s="61"/>
      <c r="N862" s="61"/>
      <c r="O862" s="61"/>
      <c r="P862" s="61"/>
      <c r="Q862" s="61"/>
      <c r="R862" s="61"/>
      <c r="S862" s="62"/>
      <c r="T862" s="62"/>
      <c r="U862" s="62"/>
    </row>
    <row r="863" spans="2:21" ht="15.75" customHeight="1" x14ac:dyDescent="0.3">
      <c r="B863" s="36"/>
      <c r="C863" s="36"/>
      <c r="D863" s="6"/>
      <c r="E863" s="36"/>
      <c r="F863" s="36"/>
      <c r="G863" s="6"/>
      <c r="H863" s="37"/>
      <c r="I863" s="36"/>
      <c r="J863" s="36"/>
      <c r="K863" s="60"/>
      <c r="M863" s="61"/>
      <c r="N863" s="61"/>
      <c r="O863" s="61"/>
      <c r="P863" s="61"/>
      <c r="Q863" s="61"/>
      <c r="R863" s="61"/>
      <c r="S863" s="62"/>
      <c r="T863" s="62"/>
      <c r="U863" s="62"/>
    </row>
    <row r="864" spans="2:21" ht="15.75" customHeight="1" x14ac:dyDescent="0.3">
      <c r="B864" s="36"/>
      <c r="C864" s="36"/>
      <c r="D864" s="6"/>
      <c r="E864" s="36"/>
      <c r="F864" s="36"/>
      <c r="G864" s="6"/>
      <c r="H864" s="37"/>
      <c r="I864" s="36"/>
      <c r="J864" s="36"/>
      <c r="K864" s="60"/>
      <c r="M864" s="61"/>
      <c r="N864" s="61"/>
      <c r="O864" s="61"/>
      <c r="P864" s="61"/>
      <c r="Q864" s="61"/>
      <c r="R864" s="61"/>
      <c r="S864" s="62"/>
      <c r="T864" s="62"/>
      <c r="U864" s="62"/>
    </row>
    <row r="865" spans="2:21" ht="15.75" customHeight="1" x14ac:dyDescent="0.3">
      <c r="B865" s="36"/>
      <c r="C865" s="36"/>
      <c r="D865" s="6"/>
      <c r="E865" s="36"/>
      <c r="F865" s="36"/>
      <c r="G865" s="6"/>
      <c r="H865" s="37"/>
      <c r="I865" s="36"/>
      <c r="J865" s="36"/>
      <c r="K865" s="60"/>
      <c r="M865" s="61"/>
      <c r="N865" s="61"/>
      <c r="O865" s="61"/>
      <c r="P865" s="61"/>
      <c r="Q865" s="61"/>
      <c r="R865" s="61"/>
      <c r="S865" s="62"/>
      <c r="T865" s="62"/>
      <c r="U865" s="62"/>
    </row>
    <row r="866" spans="2:21" ht="15.75" customHeight="1" x14ac:dyDescent="0.3">
      <c r="B866" s="36"/>
      <c r="C866" s="36"/>
      <c r="D866" s="6"/>
      <c r="E866" s="36"/>
      <c r="F866" s="36"/>
      <c r="G866" s="6"/>
      <c r="H866" s="37"/>
      <c r="I866" s="36"/>
      <c r="J866" s="36"/>
      <c r="K866" s="60"/>
      <c r="M866" s="61"/>
      <c r="N866" s="61"/>
      <c r="O866" s="61"/>
      <c r="P866" s="61"/>
      <c r="Q866" s="61"/>
      <c r="R866" s="61"/>
      <c r="S866" s="62"/>
      <c r="T866" s="62"/>
      <c r="U866" s="62"/>
    </row>
    <row r="867" spans="2:21" ht="15.75" customHeight="1" x14ac:dyDescent="0.3">
      <c r="B867" s="36"/>
      <c r="C867" s="36"/>
      <c r="D867" s="6"/>
      <c r="E867" s="36"/>
      <c r="F867" s="36"/>
      <c r="G867" s="6"/>
      <c r="H867" s="37"/>
      <c r="I867" s="36"/>
      <c r="J867" s="36"/>
      <c r="K867" s="60"/>
      <c r="M867" s="61"/>
      <c r="N867" s="61"/>
      <c r="O867" s="61"/>
      <c r="P867" s="61"/>
      <c r="Q867" s="61"/>
      <c r="R867" s="61"/>
      <c r="S867" s="62"/>
      <c r="T867" s="62"/>
      <c r="U867" s="62"/>
    </row>
    <row r="868" spans="2:21" ht="15.75" customHeight="1" x14ac:dyDescent="0.3">
      <c r="B868" s="36"/>
      <c r="C868" s="36"/>
      <c r="D868" s="6"/>
      <c r="E868" s="36"/>
      <c r="F868" s="36"/>
      <c r="G868" s="6"/>
      <c r="H868" s="37"/>
      <c r="I868" s="36"/>
      <c r="J868" s="36"/>
      <c r="K868" s="60"/>
      <c r="M868" s="61"/>
      <c r="N868" s="61"/>
      <c r="O868" s="61"/>
      <c r="P868" s="61"/>
      <c r="Q868" s="61"/>
      <c r="R868" s="61"/>
      <c r="S868" s="62"/>
      <c r="T868" s="62"/>
      <c r="U868" s="62"/>
    </row>
    <row r="869" spans="2:21" ht="15.75" customHeight="1" x14ac:dyDescent="0.3">
      <c r="B869" s="36"/>
      <c r="C869" s="36"/>
      <c r="D869" s="6"/>
      <c r="E869" s="36"/>
      <c r="F869" s="36"/>
      <c r="G869" s="6"/>
      <c r="H869" s="37"/>
      <c r="I869" s="36"/>
      <c r="J869" s="36"/>
      <c r="K869" s="60"/>
      <c r="M869" s="61"/>
      <c r="N869" s="61"/>
      <c r="O869" s="61"/>
      <c r="P869" s="61"/>
      <c r="Q869" s="61"/>
      <c r="R869" s="61"/>
      <c r="S869" s="62"/>
      <c r="T869" s="62"/>
      <c r="U869" s="62"/>
    </row>
    <row r="870" spans="2:21" ht="15.75" customHeight="1" x14ac:dyDescent="0.3">
      <c r="B870" s="36"/>
      <c r="C870" s="36"/>
      <c r="D870" s="6"/>
      <c r="E870" s="36"/>
      <c r="F870" s="36"/>
      <c r="G870" s="6"/>
      <c r="H870" s="37"/>
      <c r="I870" s="36"/>
      <c r="J870" s="36"/>
      <c r="K870" s="60"/>
      <c r="M870" s="61"/>
      <c r="N870" s="61"/>
      <c r="O870" s="61"/>
      <c r="P870" s="61"/>
      <c r="Q870" s="61"/>
      <c r="R870" s="61"/>
      <c r="S870" s="62"/>
      <c r="T870" s="62"/>
      <c r="U870" s="62"/>
    </row>
    <row r="871" spans="2:21" ht="15.75" customHeight="1" x14ac:dyDescent="0.3">
      <c r="B871" s="36"/>
      <c r="C871" s="36"/>
      <c r="D871" s="6"/>
      <c r="E871" s="36"/>
      <c r="F871" s="36"/>
      <c r="G871" s="6"/>
      <c r="H871" s="37"/>
      <c r="I871" s="36"/>
      <c r="J871" s="36"/>
      <c r="K871" s="60"/>
      <c r="M871" s="61"/>
      <c r="N871" s="61"/>
      <c r="O871" s="61"/>
      <c r="P871" s="61"/>
      <c r="Q871" s="61"/>
      <c r="R871" s="61"/>
      <c r="S871" s="62"/>
      <c r="T871" s="62"/>
      <c r="U871" s="62"/>
    </row>
    <row r="872" spans="2:21" ht="15.75" customHeight="1" x14ac:dyDescent="0.3">
      <c r="B872" s="36"/>
      <c r="C872" s="36"/>
      <c r="D872" s="6"/>
      <c r="E872" s="36"/>
      <c r="F872" s="36"/>
      <c r="G872" s="6"/>
      <c r="H872" s="37"/>
      <c r="I872" s="36"/>
      <c r="J872" s="36"/>
      <c r="K872" s="60"/>
      <c r="M872" s="61"/>
      <c r="N872" s="61"/>
      <c r="O872" s="61"/>
      <c r="P872" s="61"/>
      <c r="Q872" s="61"/>
      <c r="R872" s="61"/>
      <c r="S872" s="62"/>
      <c r="T872" s="62"/>
      <c r="U872" s="62"/>
    </row>
    <row r="873" spans="2:21" ht="15.75" customHeight="1" x14ac:dyDescent="0.3">
      <c r="B873" s="36"/>
      <c r="C873" s="36"/>
      <c r="D873" s="6"/>
      <c r="E873" s="36"/>
      <c r="F873" s="36"/>
      <c r="G873" s="6"/>
      <c r="H873" s="37"/>
      <c r="I873" s="36"/>
      <c r="J873" s="36"/>
      <c r="K873" s="60"/>
      <c r="M873" s="61"/>
      <c r="N873" s="61"/>
      <c r="O873" s="61"/>
      <c r="P873" s="61"/>
      <c r="Q873" s="61"/>
      <c r="R873" s="61"/>
      <c r="S873" s="62"/>
      <c r="T873" s="62"/>
      <c r="U873" s="62"/>
    </row>
    <row r="874" spans="2:21" ht="15.75" customHeight="1" x14ac:dyDescent="0.3">
      <c r="B874" s="36"/>
      <c r="C874" s="36"/>
      <c r="D874" s="6"/>
      <c r="E874" s="36"/>
      <c r="F874" s="36"/>
      <c r="G874" s="6"/>
      <c r="H874" s="37"/>
      <c r="I874" s="36"/>
      <c r="J874" s="36"/>
      <c r="K874" s="60"/>
      <c r="M874" s="61"/>
      <c r="N874" s="61"/>
      <c r="O874" s="61"/>
      <c r="P874" s="61"/>
      <c r="Q874" s="61"/>
      <c r="R874" s="61"/>
      <c r="S874" s="62"/>
      <c r="T874" s="62"/>
      <c r="U874" s="62"/>
    </row>
    <row r="875" spans="2:21" ht="15.75" customHeight="1" x14ac:dyDescent="0.3">
      <c r="B875" s="36"/>
      <c r="C875" s="36"/>
      <c r="D875" s="6"/>
      <c r="E875" s="36"/>
      <c r="F875" s="36"/>
      <c r="G875" s="6"/>
      <c r="H875" s="37"/>
      <c r="I875" s="36"/>
      <c r="J875" s="36"/>
      <c r="K875" s="60"/>
      <c r="M875" s="61"/>
      <c r="N875" s="61"/>
      <c r="O875" s="61"/>
      <c r="P875" s="61"/>
      <c r="Q875" s="61"/>
      <c r="R875" s="61"/>
      <c r="S875" s="62"/>
      <c r="T875" s="62"/>
      <c r="U875" s="62"/>
    </row>
    <row r="876" spans="2:21" ht="15.75" customHeight="1" x14ac:dyDescent="0.3">
      <c r="B876" s="36"/>
      <c r="C876" s="36"/>
      <c r="D876" s="6"/>
      <c r="E876" s="36"/>
      <c r="F876" s="36"/>
      <c r="G876" s="6"/>
      <c r="H876" s="37"/>
      <c r="I876" s="36"/>
      <c r="J876" s="36"/>
      <c r="K876" s="60"/>
      <c r="M876" s="61"/>
      <c r="N876" s="61"/>
      <c r="O876" s="61"/>
      <c r="P876" s="61"/>
      <c r="Q876" s="61"/>
      <c r="R876" s="61"/>
      <c r="S876" s="62"/>
      <c r="T876" s="62"/>
      <c r="U876" s="62"/>
    </row>
    <row r="877" spans="2:21" ht="15.75" customHeight="1" x14ac:dyDescent="0.3">
      <c r="B877" s="36"/>
      <c r="C877" s="36"/>
      <c r="D877" s="6"/>
      <c r="E877" s="36"/>
      <c r="F877" s="36"/>
      <c r="G877" s="6"/>
      <c r="H877" s="37"/>
      <c r="I877" s="36"/>
      <c r="J877" s="36"/>
      <c r="K877" s="60"/>
      <c r="M877" s="61"/>
      <c r="N877" s="61"/>
      <c r="O877" s="61"/>
      <c r="P877" s="61"/>
      <c r="Q877" s="61"/>
      <c r="R877" s="61"/>
      <c r="S877" s="62"/>
      <c r="T877" s="62"/>
      <c r="U877" s="62"/>
    </row>
    <row r="878" spans="2:21" ht="15.75" customHeight="1" x14ac:dyDescent="0.3">
      <c r="B878" s="36"/>
      <c r="C878" s="36"/>
      <c r="D878" s="6"/>
      <c r="E878" s="36"/>
      <c r="F878" s="36"/>
      <c r="G878" s="6"/>
      <c r="H878" s="37"/>
      <c r="I878" s="36"/>
      <c r="J878" s="36"/>
      <c r="K878" s="60"/>
      <c r="M878" s="61"/>
      <c r="N878" s="61"/>
      <c r="O878" s="61"/>
      <c r="P878" s="61"/>
      <c r="Q878" s="61"/>
      <c r="R878" s="61"/>
      <c r="S878" s="62"/>
      <c r="T878" s="62"/>
      <c r="U878" s="62"/>
    </row>
    <row r="879" spans="2:21" ht="15.75" customHeight="1" x14ac:dyDescent="0.3">
      <c r="B879" s="36"/>
      <c r="C879" s="36"/>
      <c r="D879" s="6"/>
      <c r="E879" s="36"/>
      <c r="F879" s="36"/>
      <c r="G879" s="6"/>
      <c r="H879" s="37"/>
      <c r="I879" s="36"/>
      <c r="J879" s="36"/>
      <c r="K879" s="60"/>
      <c r="M879" s="61"/>
      <c r="N879" s="61"/>
      <c r="O879" s="61"/>
      <c r="P879" s="61"/>
      <c r="Q879" s="61"/>
      <c r="R879" s="61"/>
      <c r="S879" s="62"/>
      <c r="T879" s="62"/>
      <c r="U879" s="62"/>
    </row>
    <row r="880" spans="2:21" ht="15.75" customHeight="1" x14ac:dyDescent="0.3">
      <c r="B880" s="36"/>
      <c r="C880" s="36"/>
      <c r="D880" s="6"/>
      <c r="E880" s="36"/>
      <c r="F880" s="36"/>
      <c r="G880" s="6"/>
      <c r="H880" s="37"/>
      <c r="I880" s="36"/>
      <c r="J880" s="36"/>
      <c r="K880" s="60"/>
      <c r="M880" s="61"/>
      <c r="N880" s="61"/>
      <c r="O880" s="61"/>
      <c r="P880" s="61"/>
      <c r="Q880" s="61"/>
      <c r="R880" s="61"/>
      <c r="S880" s="62"/>
      <c r="T880" s="62"/>
      <c r="U880" s="62"/>
    </row>
    <row r="881" spans="2:21" ht="15.75" customHeight="1" x14ac:dyDescent="0.3">
      <c r="B881" s="36"/>
      <c r="C881" s="36"/>
      <c r="D881" s="6"/>
      <c r="E881" s="36"/>
      <c r="F881" s="36"/>
      <c r="G881" s="6"/>
      <c r="H881" s="37"/>
      <c r="I881" s="36"/>
      <c r="J881" s="36"/>
      <c r="K881" s="60"/>
      <c r="M881" s="61"/>
      <c r="N881" s="61"/>
      <c r="O881" s="61"/>
      <c r="P881" s="61"/>
      <c r="Q881" s="61"/>
      <c r="R881" s="61"/>
      <c r="S881" s="62"/>
      <c r="T881" s="62"/>
      <c r="U881" s="62"/>
    </row>
    <row r="882" spans="2:21" ht="15.75" customHeight="1" x14ac:dyDescent="0.3">
      <c r="B882" s="36"/>
      <c r="C882" s="36"/>
      <c r="D882" s="6"/>
      <c r="E882" s="36"/>
      <c r="F882" s="36"/>
      <c r="G882" s="6"/>
      <c r="H882" s="37"/>
      <c r="I882" s="36"/>
      <c r="J882" s="36"/>
      <c r="K882" s="60"/>
      <c r="M882" s="61"/>
      <c r="N882" s="61"/>
      <c r="O882" s="61"/>
      <c r="P882" s="61"/>
      <c r="Q882" s="61"/>
      <c r="R882" s="61"/>
      <c r="S882" s="62"/>
      <c r="T882" s="62"/>
      <c r="U882" s="62"/>
    </row>
    <row r="883" spans="2:21" ht="15.75" customHeight="1" x14ac:dyDescent="0.3">
      <c r="B883" s="36"/>
      <c r="C883" s="36"/>
      <c r="D883" s="6"/>
      <c r="E883" s="36"/>
      <c r="F883" s="36"/>
      <c r="G883" s="6"/>
      <c r="H883" s="37"/>
      <c r="I883" s="36"/>
      <c r="J883" s="36"/>
      <c r="K883" s="60"/>
      <c r="M883" s="61"/>
      <c r="N883" s="61"/>
      <c r="O883" s="61"/>
      <c r="P883" s="61"/>
      <c r="Q883" s="61"/>
      <c r="R883" s="61"/>
      <c r="S883" s="62"/>
      <c r="T883" s="62"/>
      <c r="U883" s="62"/>
    </row>
    <row r="884" spans="2:21" ht="15.75" customHeight="1" x14ac:dyDescent="0.3">
      <c r="B884" s="36"/>
      <c r="C884" s="36"/>
      <c r="D884" s="6"/>
      <c r="E884" s="36"/>
      <c r="F884" s="36"/>
      <c r="G884" s="6"/>
      <c r="H884" s="37"/>
      <c r="I884" s="36"/>
      <c r="J884" s="36"/>
      <c r="K884" s="60"/>
      <c r="M884" s="61"/>
      <c r="N884" s="61"/>
      <c r="O884" s="61"/>
      <c r="P884" s="61"/>
      <c r="Q884" s="61"/>
      <c r="R884" s="61"/>
      <c r="S884" s="62"/>
      <c r="T884" s="62"/>
      <c r="U884" s="62"/>
    </row>
    <row r="885" spans="2:21" ht="15.75" customHeight="1" x14ac:dyDescent="0.3">
      <c r="B885" s="36"/>
      <c r="C885" s="36"/>
      <c r="D885" s="6"/>
      <c r="E885" s="36"/>
      <c r="F885" s="36"/>
      <c r="G885" s="6"/>
      <c r="H885" s="37"/>
      <c r="I885" s="36"/>
      <c r="J885" s="36"/>
      <c r="K885" s="60"/>
      <c r="M885" s="61"/>
      <c r="N885" s="61"/>
      <c r="O885" s="61"/>
      <c r="P885" s="61"/>
      <c r="Q885" s="61"/>
      <c r="R885" s="61"/>
      <c r="S885" s="62"/>
      <c r="T885" s="62"/>
      <c r="U885" s="62"/>
    </row>
    <row r="886" spans="2:21" ht="15.75" customHeight="1" x14ac:dyDescent="0.3">
      <c r="B886" s="36"/>
      <c r="C886" s="36"/>
      <c r="D886" s="6"/>
      <c r="E886" s="36"/>
      <c r="F886" s="36"/>
      <c r="G886" s="6"/>
      <c r="H886" s="37"/>
      <c r="I886" s="36"/>
      <c r="J886" s="36"/>
      <c r="K886" s="60"/>
      <c r="M886" s="61"/>
      <c r="N886" s="61"/>
      <c r="O886" s="61"/>
      <c r="P886" s="61"/>
      <c r="Q886" s="61"/>
      <c r="R886" s="61"/>
      <c r="S886" s="62"/>
      <c r="T886" s="62"/>
      <c r="U886" s="62"/>
    </row>
    <row r="887" spans="2:21" ht="15.75" customHeight="1" x14ac:dyDescent="0.3">
      <c r="B887" s="36"/>
      <c r="C887" s="36"/>
      <c r="D887" s="6"/>
      <c r="E887" s="36"/>
      <c r="F887" s="36"/>
      <c r="G887" s="6"/>
      <c r="H887" s="37"/>
      <c r="I887" s="36"/>
      <c r="J887" s="36"/>
      <c r="K887" s="60"/>
      <c r="M887" s="61"/>
      <c r="N887" s="61"/>
      <c r="O887" s="61"/>
      <c r="P887" s="61"/>
      <c r="Q887" s="61"/>
      <c r="R887" s="61"/>
      <c r="S887" s="62"/>
      <c r="T887" s="62"/>
      <c r="U887" s="62"/>
    </row>
    <row r="888" spans="2:21" ht="15.75" customHeight="1" x14ac:dyDescent="0.3">
      <c r="B888" s="36"/>
      <c r="C888" s="36"/>
      <c r="D888" s="6"/>
      <c r="E888" s="36"/>
      <c r="F888" s="36"/>
      <c r="G888" s="6"/>
      <c r="H888" s="37"/>
      <c r="I888" s="36"/>
      <c r="J888" s="36"/>
      <c r="K888" s="60"/>
      <c r="M888" s="61"/>
      <c r="N888" s="61"/>
      <c r="O888" s="61"/>
      <c r="P888" s="61"/>
      <c r="Q888" s="61"/>
      <c r="R888" s="61"/>
      <c r="S888" s="62"/>
      <c r="T888" s="62"/>
      <c r="U888" s="62"/>
    </row>
    <row r="889" spans="2:21" ht="15.75" customHeight="1" x14ac:dyDescent="0.3">
      <c r="B889" s="36"/>
      <c r="C889" s="36"/>
      <c r="D889" s="6"/>
      <c r="E889" s="36"/>
      <c r="F889" s="36"/>
      <c r="G889" s="6"/>
      <c r="H889" s="37"/>
      <c r="I889" s="36"/>
      <c r="J889" s="36"/>
      <c r="K889" s="60"/>
      <c r="M889" s="61"/>
      <c r="N889" s="61"/>
      <c r="O889" s="61"/>
      <c r="P889" s="61"/>
      <c r="Q889" s="61"/>
      <c r="R889" s="61"/>
      <c r="S889" s="62"/>
      <c r="T889" s="62"/>
      <c r="U889" s="62"/>
    </row>
    <row r="890" spans="2:21" ht="15.75" customHeight="1" x14ac:dyDescent="0.3">
      <c r="B890" s="36"/>
      <c r="C890" s="36"/>
      <c r="D890" s="6"/>
      <c r="E890" s="36"/>
      <c r="F890" s="36"/>
      <c r="G890" s="6"/>
      <c r="H890" s="37"/>
      <c r="I890" s="36"/>
      <c r="J890" s="36"/>
      <c r="K890" s="60"/>
      <c r="M890" s="61"/>
      <c r="N890" s="61"/>
      <c r="O890" s="61"/>
      <c r="P890" s="61"/>
      <c r="Q890" s="61"/>
      <c r="R890" s="61"/>
      <c r="S890" s="62"/>
      <c r="T890" s="62"/>
      <c r="U890" s="62"/>
    </row>
    <row r="891" spans="2:21" ht="15.75" customHeight="1" x14ac:dyDescent="0.3">
      <c r="B891" s="36"/>
      <c r="C891" s="36"/>
      <c r="D891" s="6"/>
      <c r="E891" s="36"/>
      <c r="F891" s="36"/>
      <c r="G891" s="6"/>
      <c r="H891" s="37"/>
      <c r="I891" s="36"/>
      <c r="J891" s="36"/>
      <c r="K891" s="60"/>
      <c r="M891" s="61"/>
      <c r="N891" s="61"/>
      <c r="O891" s="61"/>
      <c r="P891" s="61"/>
      <c r="Q891" s="61"/>
      <c r="R891" s="61"/>
      <c r="S891" s="62"/>
      <c r="T891" s="62"/>
      <c r="U891" s="62"/>
    </row>
    <row r="892" spans="2:21" ht="15.75" customHeight="1" x14ac:dyDescent="0.3">
      <c r="B892" s="36"/>
      <c r="C892" s="36"/>
      <c r="D892" s="6"/>
      <c r="E892" s="36"/>
      <c r="F892" s="36"/>
      <c r="G892" s="6"/>
      <c r="H892" s="37"/>
      <c r="I892" s="36"/>
      <c r="J892" s="36"/>
      <c r="K892" s="60"/>
      <c r="M892" s="61"/>
      <c r="N892" s="61"/>
      <c r="O892" s="61"/>
      <c r="P892" s="61"/>
      <c r="Q892" s="61"/>
      <c r="R892" s="61"/>
      <c r="S892" s="62"/>
      <c r="T892" s="62"/>
      <c r="U892" s="62"/>
    </row>
    <row r="893" spans="2:21" ht="15.75" customHeight="1" x14ac:dyDescent="0.3">
      <c r="B893" s="36"/>
      <c r="C893" s="36"/>
      <c r="D893" s="6"/>
      <c r="E893" s="36"/>
      <c r="F893" s="36"/>
      <c r="G893" s="6"/>
      <c r="H893" s="37"/>
      <c r="I893" s="36"/>
      <c r="J893" s="36"/>
      <c r="K893" s="60"/>
      <c r="M893" s="61"/>
      <c r="N893" s="61"/>
      <c r="O893" s="61"/>
      <c r="P893" s="61"/>
      <c r="Q893" s="61"/>
      <c r="R893" s="61"/>
      <c r="S893" s="62"/>
      <c r="T893" s="62"/>
      <c r="U893" s="62"/>
    </row>
    <row r="894" spans="2:21" ht="15.75" customHeight="1" x14ac:dyDescent="0.3">
      <c r="B894" s="36"/>
      <c r="C894" s="36"/>
      <c r="D894" s="6"/>
      <c r="E894" s="36"/>
      <c r="F894" s="36"/>
      <c r="G894" s="6"/>
      <c r="H894" s="37"/>
      <c r="I894" s="36"/>
      <c r="J894" s="36"/>
      <c r="K894" s="60"/>
      <c r="M894" s="61"/>
      <c r="N894" s="61"/>
      <c r="O894" s="61"/>
      <c r="P894" s="61"/>
      <c r="Q894" s="61"/>
      <c r="R894" s="61"/>
      <c r="S894" s="62"/>
      <c r="T894" s="62"/>
      <c r="U894" s="62"/>
    </row>
    <row r="895" spans="2:21" ht="15.75" customHeight="1" x14ac:dyDescent="0.3">
      <c r="B895" s="36"/>
      <c r="C895" s="36"/>
      <c r="D895" s="6"/>
      <c r="E895" s="36"/>
      <c r="F895" s="36"/>
      <c r="G895" s="6"/>
      <c r="H895" s="37"/>
      <c r="I895" s="36"/>
      <c r="J895" s="36"/>
      <c r="K895" s="60"/>
      <c r="M895" s="61"/>
      <c r="N895" s="61"/>
      <c r="O895" s="61"/>
      <c r="P895" s="61"/>
      <c r="Q895" s="61"/>
      <c r="R895" s="61"/>
      <c r="S895" s="62"/>
      <c r="T895" s="62"/>
      <c r="U895" s="62"/>
    </row>
    <row r="896" spans="2:21" ht="15.75" customHeight="1" x14ac:dyDescent="0.3">
      <c r="B896" s="36"/>
      <c r="C896" s="36"/>
      <c r="D896" s="6"/>
      <c r="E896" s="36"/>
      <c r="F896" s="36"/>
      <c r="G896" s="6"/>
      <c r="H896" s="37"/>
      <c r="I896" s="36"/>
      <c r="J896" s="36"/>
      <c r="K896" s="60"/>
      <c r="M896" s="61"/>
      <c r="N896" s="61"/>
      <c r="O896" s="61"/>
      <c r="P896" s="61"/>
      <c r="Q896" s="61"/>
      <c r="R896" s="61"/>
      <c r="S896" s="62"/>
      <c r="T896" s="62"/>
      <c r="U896" s="62"/>
    </row>
    <row r="897" spans="2:21" ht="15.75" customHeight="1" x14ac:dyDescent="0.3">
      <c r="B897" s="36"/>
      <c r="C897" s="36"/>
      <c r="D897" s="6"/>
      <c r="E897" s="36"/>
      <c r="F897" s="36"/>
      <c r="G897" s="6"/>
      <c r="H897" s="37"/>
      <c r="I897" s="36"/>
      <c r="J897" s="36"/>
      <c r="K897" s="60"/>
      <c r="M897" s="61"/>
      <c r="N897" s="61"/>
      <c r="O897" s="61"/>
      <c r="P897" s="61"/>
      <c r="Q897" s="61"/>
      <c r="R897" s="61"/>
      <c r="S897" s="62"/>
      <c r="T897" s="62"/>
      <c r="U897" s="62"/>
    </row>
    <row r="898" spans="2:21" ht="15.75" customHeight="1" x14ac:dyDescent="0.3">
      <c r="B898" s="36"/>
      <c r="C898" s="36"/>
      <c r="D898" s="6"/>
      <c r="E898" s="36"/>
      <c r="F898" s="36"/>
      <c r="G898" s="6"/>
      <c r="H898" s="37"/>
      <c r="I898" s="36"/>
      <c r="J898" s="36"/>
      <c r="K898" s="60"/>
      <c r="M898" s="61"/>
      <c r="N898" s="61"/>
      <c r="O898" s="61"/>
      <c r="P898" s="61"/>
      <c r="Q898" s="61"/>
      <c r="R898" s="61"/>
      <c r="S898" s="62"/>
      <c r="T898" s="62"/>
      <c r="U898" s="62"/>
    </row>
    <row r="899" spans="2:21" ht="15.75" customHeight="1" x14ac:dyDescent="0.3">
      <c r="B899" s="36"/>
      <c r="C899" s="36"/>
      <c r="D899" s="6"/>
      <c r="E899" s="36"/>
      <c r="F899" s="36"/>
      <c r="G899" s="6"/>
      <c r="H899" s="37"/>
      <c r="I899" s="36"/>
      <c r="J899" s="36"/>
      <c r="K899" s="60"/>
      <c r="M899" s="61"/>
      <c r="N899" s="61"/>
      <c r="O899" s="61"/>
      <c r="P899" s="61"/>
      <c r="Q899" s="61"/>
      <c r="R899" s="61"/>
      <c r="S899" s="62"/>
      <c r="T899" s="62"/>
      <c r="U899" s="62"/>
    </row>
    <row r="900" spans="2:21" ht="15.75" customHeight="1" x14ac:dyDescent="0.3">
      <c r="B900" s="36"/>
      <c r="C900" s="36"/>
      <c r="D900" s="6"/>
      <c r="E900" s="36"/>
      <c r="F900" s="36"/>
      <c r="G900" s="6"/>
      <c r="H900" s="37"/>
      <c r="I900" s="36"/>
      <c r="J900" s="36"/>
      <c r="K900" s="60"/>
      <c r="M900" s="61"/>
      <c r="N900" s="61"/>
      <c r="O900" s="61"/>
      <c r="P900" s="61"/>
      <c r="Q900" s="61"/>
      <c r="R900" s="61"/>
      <c r="S900" s="62"/>
      <c r="T900" s="62"/>
      <c r="U900" s="62"/>
    </row>
    <row r="901" spans="2:21" ht="15.75" customHeight="1" x14ac:dyDescent="0.3">
      <c r="B901" s="36"/>
      <c r="C901" s="36"/>
      <c r="D901" s="6"/>
      <c r="E901" s="36"/>
      <c r="F901" s="36"/>
      <c r="G901" s="6"/>
      <c r="H901" s="37"/>
      <c r="I901" s="36"/>
      <c r="J901" s="36"/>
      <c r="K901" s="60"/>
      <c r="M901" s="61"/>
      <c r="N901" s="61"/>
      <c r="O901" s="61"/>
      <c r="P901" s="61"/>
      <c r="Q901" s="61"/>
      <c r="R901" s="61"/>
      <c r="S901" s="62"/>
      <c r="T901" s="62"/>
      <c r="U901" s="62"/>
    </row>
    <row r="902" spans="2:21" ht="15.75" customHeight="1" x14ac:dyDescent="0.3">
      <c r="B902" s="36"/>
      <c r="C902" s="36"/>
      <c r="D902" s="6"/>
      <c r="E902" s="36"/>
      <c r="F902" s="36"/>
      <c r="G902" s="6"/>
      <c r="H902" s="37"/>
      <c r="I902" s="36"/>
      <c r="J902" s="36"/>
      <c r="K902" s="60"/>
      <c r="M902" s="61"/>
      <c r="N902" s="61"/>
      <c r="O902" s="61"/>
      <c r="P902" s="61"/>
      <c r="Q902" s="61"/>
      <c r="R902" s="61"/>
      <c r="S902" s="62"/>
      <c r="T902" s="62"/>
      <c r="U902" s="62"/>
    </row>
    <row r="903" spans="2:21" ht="15.75" customHeight="1" x14ac:dyDescent="0.3">
      <c r="B903" s="36"/>
      <c r="C903" s="36"/>
      <c r="D903" s="6"/>
      <c r="E903" s="36"/>
      <c r="F903" s="36"/>
      <c r="G903" s="6"/>
      <c r="H903" s="37"/>
      <c r="I903" s="36"/>
      <c r="J903" s="36"/>
      <c r="K903" s="60"/>
      <c r="M903" s="61"/>
      <c r="N903" s="61"/>
      <c r="O903" s="61"/>
      <c r="P903" s="61"/>
      <c r="Q903" s="61"/>
      <c r="R903" s="61"/>
      <c r="S903" s="62"/>
      <c r="T903" s="62"/>
      <c r="U903" s="62"/>
    </row>
    <row r="904" spans="2:21" ht="15.75" customHeight="1" x14ac:dyDescent="0.3">
      <c r="B904" s="36"/>
      <c r="C904" s="36"/>
      <c r="D904" s="6"/>
      <c r="E904" s="36"/>
      <c r="F904" s="36"/>
      <c r="G904" s="6"/>
      <c r="H904" s="37"/>
      <c r="I904" s="36"/>
      <c r="J904" s="36"/>
      <c r="K904" s="60"/>
      <c r="M904" s="61"/>
      <c r="N904" s="61"/>
      <c r="O904" s="61"/>
      <c r="P904" s="61"/>
      <c r="Q904" s="61"/>
      <c r="R904" s="61"/>
      <c r="S904" s="62"/>
      <c r="T904" s="62"/>
      <c r="U904" s="62"/>
    </row>
    <row r="905" spans="2:21" ht="15.75" customHeight="1" x14ac:dyDescent="0.3">
      <c r="B905" s="36"/>
      <c r="C905" s="36"/>
      <c r="D905" s="6"/>
      <c r="E905" s="36"/>
      <c r="F905" s="36"/>
      <c r="G905" s="6"/>
      <c r="H905" s="37"/>
      <c r="I905" s="36"/>
      <c r="J905" s="36"/>
      <c r="K905" s="60"/>
      <c r="M905" s="61"/>
      <c r="N905" s="61"/>
      <c r="O905" s="61"/>
      <c r="P905" s="61"/>
      <c r="Q905" s="61"/>
      <c r="R905" s="61"/>
      <c r="S905" s="62"/>
      <c r="T905" s="62"/>
      <c r="U905" s="62"/>
    </row>
    <row r="906" spans="2:21" ht="15.75" customHeight="1" x14ac:dyDescent="0.3">
      <c r="B906" s="36"/>
      <c r="C906" s="36"/>
      <c r="D906" s="6"/>
      <c r="E906" s="36"/>
      <c r="F906" s="36"/>
      <c r="G906" s="6"/>
      <c r="H906" s="37"/>
      <c r="I906" s="36"/>
      <c r="J906" s="36"/>
      <c r="K906" s="60"/>
      <c r="M906" s="61"/>
      <c r="N906" s="61"/>
      <c r="O906" s="61"/>
      <c r="P906" s="61"/>
      <c r="Q906" s="61"/>
      <c r="R906" s="61"/>
      <c r="S906" s="62"/>
      <c r="T906" s="62"/>
      <c r="U906" s="62"/>
    </row>
    <row r="907" spans="2:21" ht="15.75" customHeight="1" x14ac:dyDescent="0.3">
      <c r="B907" s="36"/>
      <c r="C907" s="36"/>
      <c r="D907" s="6"/>
      <c r="E907" s="36"/>
      <c r="F907" s="36"/>
      <c r="G907" s="6"/>
      <c r="H907" s="37"/>
      <c r="I907" s="36"/>
      <c r="J907" s="36"/>
      <c r="K907" s="60"/>
      <c r="M907" s="61"/>
      <c r="N907" s="61"/>
      <c r="O907" s="61"/>
      <c r="P907" s="61"/>
      <c r="Q907" s="61"/>
      <c r="R907" s="61"/>
      <c r="S907" s="62"/>
      <c r="T907" s="62"/>
      <c r="U907" s="62"/>
    </row>
    <row r="908" spans="2:21" ht="15.75" customHeight="1" x14ac:dyDescent="0.3">
      <c r="B908" s="36"/>
      <c r="C908" s="36"/>
      <c r="D908" s="6"/>
      <c r="E908" s="36"/>
      <c r="F908" s="36"/>
      <c r="G908" s="6"/>
      <c r="H908" s="37"/>
      <c r="I908" s="36"/>
      <c r="J908" s="36"/>
      <c r="K908" s="60"/>
      <c r="M908" s="61"/>
      <c r="N908" s="61"/>
      <c r="O908" s="61"/>
      <c r="P908" s="61"/>
      <c r="Q908" s="61"/>
      <c r="R908" s="61"/>
      <c r="S908" s="62"/>
      <c r="T908" s="62"/>
      <c r="U908" s="62"/>
    </row>
    <row r="909" spans="2:21" ht="15.75" customHeight="1" x14ac:dyDescent="0.3">
      <c r="B909" s="36"/>
      <c r="C909" s="36"/>
      <c r="D909" s="6"/>
      <c r="E909" s="36"/>
      <c r="F909" s="36"/>
      <c r="G909" s="6"/>
      <c r="H909" s="37"/>
      <c r="I909" s="36"/>
      <c r="J909" s="36"/>
      <c r="K909" s="60"/>
      <c r="M909" s="61"/>
      <c r="N909" s="61"/>
      <c r="O909" s="61"/>
      <c r="P909" s="61"/>
      <c r="Q909" s="61"/>
      <c r="R909" s="61"/>
      <c r="S909" s="62"/>
      <c r="T909" s="62"/>
      <c r="U909" s="62"/>
    </row>
    <row r="910" spans="2:21" ht="15.75" customHeight="1" x14ac:dyDescent="0.3">
      <c r="B910" s="36"/>
      <c r="C910" s="36"/>
      <c r="D910" s="6"/>
      <c r="E910" s="36"/>
      <c r="F910" s="36"/>
      <c r="G910" s="6"/>
      <c r="H910" s="37"/>
      <c r="I910" s="36"/>
      <c r="J910" s="36"/>
      <c r="K910" s="60"/>
      <c r="M910" s="61"/>
      <c r="N910" s="61"/>
      <c r="O910" s="61"/>
      <c r="P910" s="61"/>
      <c r="Q910" s="61"/>
      <c r="R910" s="61"/>
      <c r="S910" s="62"/>
      <c r="T910" s="62"/>
      <c r="U910" s="62"/>
    </row>
    <row r="911" spans="2:21" ht="15.75" customHeight="1" x14ac:dyDescent="0.3">
      <c r="B911" s="36"/>
      <c r="C911" s="36"/>
      <c r="D911" s="6"/>
      <c r="E911" s="36"/>
      <c r="F911" s="36"/>
      <c r="G911" s="6"/>
      <c r="H911" s="37"/>
      <c r="I911" s="36"/>
      <c r="J911" s="36"/>
      <c r="K911" s="60"/>
      <c r="M911" s="61"/>
      <c r="N911" s="61"/>
      <c r="O911" s="61"/>
      <c r="P911" s="61"/>
      <c r="Q911" s="61"/>
      <c r="R911" s="61"/>
      <c r="S911" s="62"/>
      <c r="T911" s="62"/>
      <c r="U911" s="62"/>
    </row>
    <row r="912" spans="2:21" ht="15.75" customHeight="1" x14ac:dyDescent="0.3">
      <c r="B912" s="36"/>
      <c r="C912" s="36"/>
      <c r="D912" s="6"/>
      <c r="E912" s="36"/>
      <c r="F912" s="36"/>
      <c r="G912" s="6"/>
      <c r="H912" s="37"/>
      <c r="I912" s="36"/>
      <c r="J912" s="36"/>
      <c r="K912" s="60"/>
      <c r="M912" s="61"/>
      <c r="N912" s="61"/>
      <c r="O912" s="61"/>
      <c r="P912" s="61"/>
      <c r="Q912" s="61"/>
      <c r="R912" s="61"/>
      <c r="S912" s="62"/>
      <c r="T912" s="62"/>
      <c r="U912" s="62"/>
    </row>
    <row r="913" spans="2:21" ht="15.75" customHeight="1" x14ac:dyDescent="0.3">
      <c r="B913" s="36"/>
      <c r="C913" s="36"/>
      <c r="D913" s="6"/>
      <c r="E913" s="36"/>
      <c r="F913" s="36"/>
      <c r="G913" s="6"/>
      <c r="H913" s="37"/>
      <c r="I913" s="36"/>
      <c r="J913" s="36"/>
      <c r="K913" s="60"/>
      <c r="M913" s="61"/>
      <c r="N913" s="61"/>
      <c r="O913" s="61"/>
      <c r="P913" s="61"/>
      <c r="Q913" s="61"/>
      <c r="R913" s="61"/>
      <c r="S913" s="62"/>
      <c r="T913" s="62"/>
      <c r="U913" s="62"/>
    </row>
    <row r="914" spans="2:21" ht="15.75" customHeight="1" x14ac:dyDescent="0.3">
      <c r="B914" s="36"/>
      <c r="C914" s="36"/>
      <c r="D914" s="6"/>
      <c r="E914" s="36"/>
      <c r="F914" s="36"/>
      <c r="G914" s="6"/>
      <c r="H914" s="37"/>
      <c r="I914" s="36"/>
      <c r="J914" s="36"/>
      <c r="K914" s="60"/>
      <c r="M914" s="61"/>
      <c r="N914" s="61"/>
      <c r="O914" s="61"/>
      <c r="P914" s="61"/>
      <c r="Q914" s="61"/>
      <c r="R914" s="61"/>
      <c r="S914" s="62"/>
      <c r="T914" s="62"/>
      <c r="U914" s="62"/>
    </row>
    <row r="915" spans="2:21" ht="15.75" customHeight="1" x14ac:dyDescent="0.3">
      <c r="B915" s="36"/>
      <c r="C915" s="36"/>
      <c r="D915" s="6"/>
      <c r="E915" s="36"/>
      <c r="F915" s="36"/>
      <c r="G915" s="6"/>
      <c r="H915" s="37"/>
      <c r="I915" s="36"/>
      <c r="J915" s="36"/>
      <c r="K915" s="60"/>
      <c r="M915" s="61"/>
      <c r="N915" s="61"/>
      <c r="O915" s="61"/>
      <c r="P915" s="61"/>
      <c r="Q915" s="61"/>
      <c r="R915" s="61"/>
      <c r="S915" s="62"/>
      <c r="T915" s="62"/>
      <c r="U915" s="62"/>
    </row>
    <row r="916" spans="2:21" ht="15.75" customHeight="1" x14ac:dyDescent="0.3">
      <c r="B916" s="36"/>
      <c r="C916" s="36"/>
      <c r="D916" s="6"/>
      <c r="E916" s="36"/>
      <c r="F916" s="36"/>
      <c r="G916" s="6"/>
      <c r="H916" s="37"/>
      <c r="I916" s="36"/>
      <c r="J916" s="36"/>
      <c r="K916" s="60"/>
      <c r="M916" s="61"/>
      <c r="N916" s="61"/>
      <c r="O916" s="61"/>
      <c r="P916" s="61"/>
      <c r="Q916" s="61"/>
      <c r="R916" s="61"/>
      <c r="S916" s="62"/>
      <c r="T916" s="62"/>
      <c r="U916" s="62"/>
    </row>
    <row r="917" spans="2:21" ht="15.75" customHeight="1" x14ac:dyDescent="0.3">
      <c r="B917" s="36"/>
      <c r="C917" s="36"/>
      <c r="D917" s="6"/>
      <c r="E917" s="36"/>
      <c r="F917" s="36"/>
      <c r="G917" s="6"/>
      <c r="H917" s="37"/>
      <c r="I917" s="36"/>
      <c r="J917" s="36"/>
      <c r="K917" s="60"/>
      <c r="M917" s="61"/>
      <c r="N917" s="61"/>
      <c r="O917" s="61"/>
      <c r="P917" s="61"/>
      <c r="Q917" s="61"/>
      <c r="R917" s="61"/>
      <c r="S917" s="62"/>
      <c r="T917" s="62"/>
      <c r="U917" s="62"/>
    </row>
    <row r="918" spans="2:21" ht="15.75" customHeight="1" x14ac:dyDescent="0.3">
      <c r="B918" s="36"/>
      <c r="C918" s="36"/>
      <c r="D918" s="6"/>
      <c r="E918" s="36"/>
      <c r="F918" s="36"/>
      <c r="G918" s="6"/>
      <c r="H918" s="37"/>
      <c r="I918" s="36"/>
      <c r="J918" s="36"/>
      <c r="K918" s="60"/>
      <c r="M918" s="61"/>
      <c r="N918" s="61"/>
      <c r="O918" s="61"/>
      <c r="P918" s="61"/>
      <c r="Q918" s="61"/>
      <c r="R918" s="61"/>
      <c r="S918" s="62"/>
      <c r="T918" s="62"/>
      <c r="U918" s="62"/>
    </row>
    <row r="919" spans="2:21" ht="15.75" customHeight="1" x14ac:dyDescent="0.3">
      <c r="B919" s="36"/>
      <c r="C919" s="36"/>
      <c r="D919" s="6"/>
      <c r="E919" s="36"/>
      <c r="F919" s="36"/>
      <c r="G919" s="6"/>
      <c r="H919" s="37"/>
      <c r="I919" s="36"/>
      <c r="J919" s="36"/>
      <c r="K919" s="60"/>
      <c r="M919" s="61"/>
      <c r="N919" s="61"/>
      <c r="O919" s="61"/>
      <c r="P919" s="61"/>
      <c r="Q919" s="61"/>
      <c r="R919" s="61"/>
      <c r="S919" s="62"/>
      <c r="T919" s="62"/>
      <c r="U919" s="62"/>
    </row>
    <row r="920" spans="2:21" ht="15.75" customHeight="1" x14ac:dyDescent="0.3">
      <c r="B920" s="36"/>
      <c r="C920" s="36"/>
      <c r="D920" s="6"/>
      <c r="E920" s="36"/>
      <c r="F920" s="36"/>
      <c r="G920" s="6"/>
      <c r="H920" s="37"/>
      <c r="I920" s="36"/>
      <c r="J920" s="36"/>
      <c r="K920" s="60"/>
      <c r="M920" s="61"/>
      <c r="N920" s="61"/>
      <c r="O920" s="61"/>
      <c r="P920" s="61"/>
      <c r="Q920" s="61"/>
      <c r="R920" s="61"/>
      <c r="S920" s="62"/>
      <c r="T920" s="62"/>
      <c r="U920" s="62"/>
    </row>
    <row r="921" spans="2:21" ht="15.75" customHeight="1" x14ac:dyDescent="0.3">
      <c r="B921" s="36"/>
      <c r="C921" s="36"/>
      <c r="D921" s="6"/>
      <c r="E921" s="36"/>
      <c r="F921" s="36"/>
      <c r="G921" s="6"/>
      <c r="H921" s="37"/>
      <c r="I921" s="36"/>
      <c r="J921" s="36"/>
      <c r="K921" s="60"/>
      <c r="M921" s="61"/>
      <c r="N921" s="61"/>
      <c r="O921" s="61"/>
      <c r="P921" s="61"/>
      <c r="Q921" s="61"/>
      <c r="R921" s="61"/>
      <c r="S921" s="62"/>
      <c r="T921" s="62"/>
      <c r="U921" s="62"/>
    </row>
    <row r="922" spans="2:21" ht="15.75" customHeight="1" x14ac:dyDescent="0.3">
      <c r="B922" s="36"/>
      <c r="C922" s="36"/>
      <c r="D922" s="6"/>
      <c r="E922" s="36"/>
      <c r="F922" s="36"/>
      <c r="G922" s="6"/>
      <c r="H922" s="37"/>
      <c r="I922" s="36"/>
      <c r="J922" s="36"/>
      <c r="K922" s="60"/>
      <c r="M922" s="61"/>
      <c r="N922" s="61"/>
      <c r="O922" s="61"/>
      <c r="P922" s="61"/>
      <c r="Q922" s="61"/>
      <c r="R922" s="61"/>
      <c r="S922" s="62"/>
      <c r="T922" s="62"/>
      <c r="U922" s="62"/>
    </row>
    <row r="923" spans="2:21" ht="15.75" customHeight="1" x14ac:dyDescent="0.3">
      <c r="B923" s="36"/>
      <c r="C923" s="36"/>
      <c r="D923" s="6"/>
      <c r="E923" s="36"/>
      <c r="F923" s="36"/>
      <c r="G923" s="6"/>
      <c r="H923" s="37"/>
      <c r="I923" s="36"/>
      <c r="J923" s="36"/>
      <c r="K923" s="60"/>
      <c r="M923" s="61"/>
      <c r="N923" s="61"/>
      <c r="O923" s="61"/>
      <c r="P923" s="61"/>
      <c r="Q923" s="61"/>
      <c r="R923" s="61"/>
      <c r="S923" s="62"/>
      <c r="T923" s="62"/>
      <c r="U923" s="62"/>
    </row>
    <row r="924" spans="2:21" ht="15.75" customHeight="1" x14ac:dyDescent="0.3">
      <c r="B924" s="36"/>
      <c r="C924" s="36"/>
      <c r="D924" s="6"/>
      <c r="E924" s="36"/>
      <c r="F924" s="36"/>
      <c r="G924" s="6"/>
      <c r="H924" s="37"/>
      <c r="I924" s="36"/>
      <c r="J924" s="36"/>
      <c r="K924" s="60"/>
      <c r="M924" s="61"/>
      <c r="N924" s="61"/>
      <c r="O924" s="61"/>
      <c r="P924" s="61"/>
      <c r="Q924" s="61"/>
      <c r="R924" s="61"/>
      <c r="S924" s="62"/>
      <c r="T924" s="62"/>
      <c r="U924" s="62"/>
    </row>
    <row r="925" spans="2:21" ht="15.75" customHeight="1" x14ac:dyDescent="0.3">
      <c r="B925" s="36"/>
      <c r="C925" s="36"/>
      <c r="D925" s="6"/>
      <c r="E925" s="36"/>
      <c r="F925" s="36"/>
      <c r="G925" s="6"/>
      <c r="H925" s="37"/>
      <c r="I925" s="36"/>
      <c r="J925" s="36"/>
      <c r="K925" s="60"/>
      <c r="M925" s="61"/>
      <c r="N925" s="61"/>
      <c r="O925" s="61"/>
      <c r="P925" s="61"/>
      <c r="Q925" s="61"/>
      <c r="R925" s="61"/>
      <c r="S925" s="62"/>
      <c r="T925" s="62"/>
      <c r="U925" s="62"/>
    </row>
    <row r="926" spans="2:21" ht="15.75" customHeight="1" x14ac:dyDescent="0.3">
      <c r="B926" s="36"/>
      <c r="C926" s="36"/>
      <c r="D926" s="6"/>
      <c r="E926" s="36"/>
      <c r="F926" s="36"/>
      <c r="G926" s="6"/>
      <c r="H926" s="37"/>
      <c r="I926" s="36"/>
      <c r="J926" s="36"/>
      <c r="K926" s="60"/>
      <c r="M926" s="61"/>
      <c r="N926" s="61"/>
      <c r="O926" s="61"/>
      <c r="P926" s="61"/>
      <c r="Q926" s="61"/>
      <c r="R926" s="61"/>
      <c r="S926" s="62"/>
      <c r="T926" s="62"/>
      <c r="U926" s="62"/>
    </row>
    <row r="927" spans="2:21" ht="15.75" customHeight="1" x14ac:dyDescent="0.3">
      <c r="B927" s="36"/>
      <c r="C927" s="36"/>
      <c r="D927" s="6"/>
      <c r="E927" s="36"/>
      <c r="F927" s="36"/>
      <c r="G927" s="6"/>
      <c r="H927" s="37"/>
      <c r="I927" s="36"/>
      <c r="J927" s="36"/>
      <c r="K927" s="60"/>
      <c r="M927" s="61"/>
      <c r="N927" s="61"/>
      <c r="O927" s="61"/>
      <c r="P927" s="61"/>
      <c r="Q927" s="61"/>
      <c r="R927" s="61"/>
      <c r="S927" s="62"/>
      <c r="T927" s="62"/>
      <c r="U927" s="62"/>
    </row>
    <row r="928" spans="2:21" ht="15.75" customHeight="1" x14ac:dyDescent="0.3">
      <c r="B928" s="36"/>
      <c r="C928" s="36"/>
      <c r="D928" s="6"/>
      <c r="E928" s="36"/>
      <c r="F928" s="36"/>
      <c r="G928" s="6"/>
      <c r="H928" s="37"/>
      <c r="I928" s="36"/>
      <c r="J928" s="36"/>
      <c r="K928" s="60"/>
      <c r="M928" s="61"/>
      <c r="N928" s="61"/>
      <c r="O928" s="61"/>
      <c r="P928" s="61"/>
      <c r="Q928" s="61"/>
      <c r="R928" s="61"/>
      <c r="S928" s="62"/>
      <c r="T928" s="62"/>
      <c r="U928" s="62"/>
    </row>
    <row r="929" spans="2:21" ht="15.75" customHeight="1" x14ac:dyDescent="0.3">
      <c r="B929" s="36"/>
      <c r="C929" s="36"/>
      <c r="D929" s="6"/>
      <c r="E929" s="36"/>
      <c r="F929" s="36"/>
      <c r="G929" s="6"/>
      <c r="H929" s="37"/>
      <c r="I929" s="36"/>
      <c r="J929" s="36"/>
      <c r="K929" s="60"/>
      <c r="M929" s="61"/>
      <c r="N929" s="61"/>
      <c r="O929" s="61"/>
      <c r="P929" s="61"/>
      <c r="Q929" s="61"/>
      <c r="R929" s="61"/>
      <c r="S929" s="62"/>
      <c r="T929" s="62"/>
      <c r="U929" s="62"/>
    </row>
    <row r="930" spans="2:21" ht="15.75" customHeight="1" x14ac:dyDescent="0.3">
      <c r="B930" s="36"/>
      <c r="C930" s="36"/>
      <c r="D930" s="6"/>
      <c r="E930" s="36"/>
      <c r="F930" s="36"/>
      <c r="G930" s="6"/>
      <c r="H930" s="37"/>
      <c r="I930" s="36"/>
      <c r="J930" s="36"/>
      <c r="K930" s="60"/>
      <c r="M930" s="61"/>
      <c r="N930" s="61"/>
      <c r="O930" s="61"/>
      <c r="P930" s="61"/>
      <c r="Q930" s="61"/>
      <c r="R930" s="61"/>
      <c r="S930" s="62"/>
      <c r="T930" s="62"/>
      <c r="U930" s="62"/>
    </row>
    <row r="931" spans="2:21" ht="15.75" customHeight="1" x14ac:dyDescent="0.3">
      <c r="B931" s="36"/>
      <c r="C931" s="36"/>
      <c r="D931" s="6"/>
      <c r="E931" s="36"/>
      <c r="F931" s="36"/>
      <c r="G931" s="6"/>
      <c r="H931" s="37"/>
      <c r="I931" s="36"/>
      <c r="J931" s="36"/>
      <c r="K931" s="60"/>
      <c r="M931" s="61"/>
      <c r="N931" s="61"/>
      <c r="O931" s="61"/>
      <c r="P931" s="61"/>
      <c r="Q931" s="61"/>
      <c r="R931" s="61"/>
      <c r="S931" s="62"/>
      <c r="T931" s="62"/>
      <c r="U931" s="62"/>
    </row>
    <row r="932" spans="2:21" ht="15.75" customHeight="1" x14ac:dyDescent="0.3">
      <c r="B932" s="36"/>
      <c r="C932" s="36"/>
      <c r="D932" s="6"/>
      <c r="E932" s="36"/>
      <c r="F932" s="36"/>
      <c r="G932" s="6"/>
      <c r="H932" s="37"/>
      <c r="I932" s="36"/>
      <c r="J932" s="36"/>
      <c r="K932" s="60"/>
      <c r="M932" s="61"/>
      <c r="N932" s="61"/>
      <c r="O932" s="61"/>
      <c r="P932" s="61"/>
      <c r="Q932" s="61"/>
      <c r="R932" s="61"/>
      <c r="S932" s="62"/>
      <c r="T932" s="62"/>
      <c r="U932" s="62"/>
    </row>
    <row r="933" spans="2:21" ht="15.75" customHeight="1" x14ac:dyDescent="0.3">
      <c r="B933" s="36"/>
      <c r="C933" s="36"/>
      <c r="D933" s="6"/>
      <c r="E933" s="36"/>
      <c r="F933" s="36"/>
      <c r="G933" s="6"/>
      <c r="H933" s="37"/>
      <c r="I933" s="36"/>
      <c r="J933" s="36"/>
      <c r="K933" s="60"/>
      <c r="M933" s="61"/>
      <c r="N933" s="61"/>
      <c r="O933" s="61"/>
      <c r="P933" s="61"/>
      <c r="Q933" s="61"/>
      <c r="R933" s="61"/>
      <c r="S933" s="62"/>
      <c r="T933" s="62"/>
      <c r="U933" s="62"/>
    </row>
    <row r="934" spans="2:21" ht="15.75" customHeight="1" x14ac:dyDescent="0.3">
      <c r="B934" s="36"/>
      <c r="C934" s="36"/>
      <c r="D934" s="6"/>
      <c r="E934" s="36"/>
      <c r="F934" s="36"/>
      <c r="G934" s="6"/>
      <c r="H934" s="37"/>
      <c r="I934" s="36"/>
      <c r="J934" s="36"/>
      <c r="K934" s="60"/>
      <c r="M934" s="61"/>
      <c r="N934" s="61"/>
      <c r="O934" s="61"/>
      <c r="P934" s="61"/>
      <c r="Q934" s="61"/>
      <c r="R934" s="61"/>
      <c r="S934" s="62"/>
      <c r="T934" s="62"/>
      <c r="U934" s="62"/>
    </row>
    <row r="935" spans="2:21" ht="15.75" customHeight="1" x14ac:dyDescent="0.3">
      <c r="B935" s="36"/>
      <c r="C935" s="36"/>
      <c r="D935" s="6"/>
      <c r="E935" s="36"/>
      <c r="F935" s="36"/>
      <c r="G935" s="6"/>
      <c r="H935" s="37"/>
      <c r="I935" s="36"/>
      <c r="J935" s="36"/>
      <c r="K935" s="60"/>
      <c r="M935" s="61"/>
      <c r="N935" s="61"/>
      <c r="O935" s="61"/>
      <c r="P935" s="61"/>
      <c r="Q935" s="61"/>
      <c r="R935" s="61"/>
      <c r="S935" s="62"/>
      <c r="T935" s="62"/>
      <c r="U935" s="62"/>
    </row>
    <row r="936" spans="2:21" ht="15.75" customHeight="1" x14ac:dyDescent="0.3">
      <c r="B936" s="36"/>
      <c r="C936" s="36"/>
      <c r="D936" s="6"/>
      <c r="E936" s="36"/>
      <c r="F936" s="36"/>
      <c r="G936" s="6"/>
      <c r="H936" s="37"/>
      <c r="I936" s="36"/>
      <c r="J936" s="36"/>
      <c r="K936" s="60"/>
      <c r="M936" s="61"/>
      <c r="N936" s="61"/>
      <c r="O936" s="61"/>
      <c r="P936" s="61"/>
      <c r="Q936" s="61"/>
      <c r="R936" s="61"/>
      <c r="S936" s="62"/>
      <c r="T936" s="62"/>
      <c r="U936" s="62"/>
    </row>
    <row r="937" spans="2:21" ht="15.75" customHeight="1" x14ac:dyDescent="0.3">
      <c r="B937" s="36"/>
      <c r="C937" s="36"/>
      <c r="D937" s="6"/>
      <c r="E937" s="36"/>
      <c r="F937" s="36"/>
      <c r="G937" s="6"/>
      <c r="H937" s="37"/>
      <c r="I937" s="36"/>
      <c r="J937" s="36"/>
      <c r="K937" s="60"/>
      <c r="M937" s="61"/>
      <c r="N937" s="61"/>
      <c r="O937" s="61"/>
      <c r="P937" s="61"/>
      <c r="Q937" s="61"/>
      <c r="R937" s="61"/>
      <c r="S937" s="62"/>
      <c r="T937" s="62"/>
      <c r="U937" s="62"/>
    </row>
    <row r="938" spans="2:21" ht="15.75" customHeight="1" x14ac:dyDescent="0.3">
      <c r="B938" s="36"/>
      <c r="C938" s="36"/>
      <c r="D938" s="6"/>
      <c r="E938" s="36"/>
      <c r="F938" s="36"/>
      <c r="G938" s="6"/>
      <c r="H938" s="37"/>
      <c r="I938" s="36"/>
      <c r="J938" s="36"/>
      <c r="K938" s="60"/>
      <c r="M938" s="61"/>
      <c r="N938" s="61"/>
      <c r="O938" s="61"/>
      <c r="P938" s="61"/>
      <c r="Q938" s="61"/>
      <c r="R938" s="61"/>
      <c r="S938" s="62"/>
      <c r="T938" s="62"/>
      <c r="U938" s="62"/>
    </row>
    <row r="939" spans="2:21" ht="15.75" customHeight="1" x14ac:dyDescent="0.3">
      <c r="B939" s="36"/>
      <c r="C939" s="36"/>
      <c r="D939" s="6"/>
      <c r="E939" s="36"/>
      <c r="F939" s="36"/>
      <c r="G939" s="6"/>
      <c r="H939" s="37"/>
      <c r="I939" s="36"/>
      <c r="J939" s="36"/>
      <c r="K939" s="60"/>
      <c r="M939" s="61"/>
      <c r="N939" s="61"/>
      <c r="O939" s="61"/>
      <c r="P939" s="61"/>
      <c r="Q939" s="61"/>
      <c r="R939" s="61"/>
      <c r="S939" s="62"/>
      <c r="T939" s="62"/>
      <c r="U939" s="62"/>
    </row>
    <row r="940" spans="2:21" ht="15.75" customHeight="1" x14ac:dyDescent="0.3">
      <c r="B940" s="36"/>
      <c r="C940" s="36"/>
      <c r="D940" s="6"/>
      <c r="E940" s="36"/>
      <c r="F940" s="36"/>
      <c r="G940" s="6"/>
      <c r="H940" s="37"/>
      <c r="I940" s="36"/>
      <c r="J940" s="36"/>
      <c r="K940" s="60"/>
      <c r="M940" s="61"/>
      <c r="N940" s="61"/>
      <c r="O940" s="61"/>
      <c r="P940" s="61"/>
      <c r="Q940" s="61"/>
      <c r="R940" s="61"/>
      <c r="S940" s="62"/>
      <c r="T940" s="62"/>
      <c r="U940" s="62"/>
    </row>
    <row r="941" spans="2:21" ht="15.75" customHeight="1" x14ac:dyDescent="0.3">
      <c r="B941" s="36"/>
      <c r="C941" s="36"/>
      <c r="D941" s="6"/>
      <c r="E941" s="36"/>
      <c r="F941" s="36"/>
      <c r="G941" s="6"/>
      <c r="H941" s="37"/>
      <c r="I941" s="36"/>
      <c r="J941" s="36"/>
      <c r="K941" s="60"/>
      <c r="M941" s="61"/>
      <c r="N941" s="61"/>
      <c r="O941" s="61"/>
      <c r="P941" s="61"/>
      <c r="Q941" s="61"/>
      <c r="R941" s="61"/>
      <c r="S941" s="62"/>
      <c r="T941" s="62"/>
      <c r="U941" s="62"/>
    </row>
    <row r="942" spans="2:21" ht="15.75" customHeight="1" x14ac:dyDescent="0.3">
      <c r="B942" s="36"/>
      <c r="C942" s="36"/>
      <c r="D942" s="6"/>
      <c r="E942" s="36"/>
      <c r="F942" s="36"/>
      <c r="G942" s="6"/>
      <c r="H942" s="37"/>
      <c r="I942" s="36"/>
      <c r="J942" s="36"/>
      <c r="K942" s="60"/>
      <c r="M942" s="61"/>
      <c r="N942" s="61"/>
      <c r="O942" s="61"/>
      <c r="P942" s="61"/>
      <c r="Q942" s="61"/>
      <c r="R942" s="61"/>
      <c r="S942" s="62"/>
      <c r="T942" s="62"/>
      <c r="U942" s="62"/>
    </row>
    <row r="943" spans="2:21" ht="15.75" customHeight="1" x14ac:dyDescent="0.3">
      <c r="B943" s="36"/>
      <c r="C943" s="36"/>
      <c r="D943" s="6"/>
      <c r="E943" s="36"/>
      <c r="F943" s="36"/>
      <c r="G943" s="6"/>
      <c r="H943" s="37"/>
      <c r="I943" s="36"/>
      <c r="J943" s="36"/>
      <c r="K943" s="60"/>
      <c r="M943" s="61"/>
      <c r="N943" s="61"/>
      <c r="O943" s="61"/>
      <c r="P943" s="61"/>
      <c r="Q943" s="61"/>
      <c r="R943" s="61"/>
      <c r="S943" s="62"/>
      <c r="T943" s="62"/>
      <c r="U943" s="62"/>
    </row>
    <row r="944" spans="2:21" ht="15.75" customHeight="1" x14ac:dyDescent="0.3">
      <c r="B944" s="36"/>
      <c r="C944" s="36"/>
      <c r="D944" s="6"/>
      <c r="E944" s="36"/>
      <c r="F944" s="36"/>
      <c r="G944" s="6"/>
      <c r="H944" s="37"/>
      <c r="I944" s="36"/>
      <c r="J944" s="36"/>
      <c r="K944" s="60"/>
      <c r="M944" s="61"/>
      <c r="N944" s="61"/>
      <c r="O944" s="61"/>
      <c r="P944" s="61"/>
      <c r="Q944" s="61"/>
      <c r="R944" s="61"/>
      <c r="S944" s="62"/>
      <c r="T944" s="62"/>
      <c r="U944" s="62"/>
    </row>
    <row r="945" spans="2:21" ht="15.75" customHeight="1" x14ac:dyDescent="0.3">
      <c r="B945" s="36"/>
      <c r="C945" s="36"/>
      <c r="D945" s="6"/>
      <c r="E945" s="36"/>
      <c r="F945" s="36"/>
      <c r="G945" s="6"/>
      <c r="H945" s="37"/>
      <c r="I945" s="36"/>
      <c r="J945" s="36"/>
      <c r="K945" s="60"/>
      <c r="M945" s="61"/>
      <c r="N945" s="61"/>
      <c r="O945" s="61"/>
      <c r="P945" s="61"/>
      <c r="Q945" s="61"/>
      <c r="R945" s="61"/>
      <c r="S945" s="62"/>
      <c r="T945" s="62"/>
      <c r="U945" s="62"/>
    </row>
    <row r="946" spans="2:21" ht="15.75" customHeight="1" x14ac:dyDescent="0.3">
      <c r="B946" s="36"/>
      <c r="C946" s="36"/>
      <c r="D946" s="6"/>
      <c r="E946" s="36"/>
      <c r="F946" s="36"/>
      <c r="G946" s="6"/>
      <c r="H946" s="37"/>
      <c r="I946" s="36"/>
      <c r="J946" s="36"/>
      <c r="K946" s="60"/>
      <c r="M946" s="61"/>
      <c r="N946" s="61"/>
      <c r="O946" s="61"/>
      <c r="P946" s="61"/>
      <c r="Q946" s="61"/>
      <c r="R946" s="61"/>
      <c r="S946" s="62"/>
      <c r="T946" s="62"/>
      <c r="U946" s="62"/>
    </row>
    <row r="947" spans="2:21" ht="15.75" customHeight="1" x14ac:dyDescent="0.3">
      <c r="B947" s="36"/>
      <c r="C947" s="36"/>
      <c r="D947" s="6"/>
      <c r="E947" s="36"/>
      <c r="F947" s="36"/>
      <c r="G947" s="6"/>
      <c r="H947" s="37"/>
      <c r="I947" s="36"/>
      <c r="J947" s="36"/>
      <c r="K947" s="60"/>
      <c r="M947" s="61"/>
      <c r="N947" s="61"/>
      <c r="O947" s="61"/>
      <c r="P947" s="61"/>
      <c r="Q947" s="61"/>
      <c r="R947" s="61"/>
      <c r="S947" s="62"/>
      <c r="T947" s="62"/>
      <c r="U947" s="62"/>
    </row>
    <row r="948" spans="2:21" ht="15.75" customHeight="1" x14ac:dyDescent="0.3">
      <c r="B948" s="36"/>
      <c r="C948" s="36"/>
      <c r="D948" s="6"/>
      <c r="E948" s="36"/>
      <c r="F948" s="36"/>
      <c r="G948" s="6"/>
      <c r="H948" s="37"/>
      <c r="I948" s="36"/>
      <c r="J948" s="36"/>
      <c r="K948" s="60"/>
      <c r="M948" s="61"/>
      <c r="N948" s="61"/>
      <c r="O948" s="61"/>
      <c r="P948" s="61"/>
      <c r="Q948" s="61"/>
      <c r="R948" s="61"/>
      <c r="S948" s="62"/>
      <c r="T948" s="62"/>
      <c r="U948" s="62"/>
    </row>
    <row r="949" spans="2:21" ht="15.75" customHeight="1" x14ac:dyDescent="0.3">
      <c r="B949" s="36"/>
      <c r="C949" s="36"/>
      <c r="D949" s="6"/>
      <c r="E949" s="36"/>
      <c r="F949" s="36"/>
      <c r="G949" s="6"/>
      <c r="H949" s="37"/>
      <c r="I949" s="36"/>
      <c r="J949" s="36"/>
      <c r="K949" s="60"/>
      <c r="M949" s="61"/>
      <c r="N949" s="61"/>
      <c r="O949" s="61"/>
      <c r="P949" s="61"/>
      <c r="Q949" s="61"/>
      <c r="R949" s="61"/>
      <c r="S949" s="62"/>
      <c r="T949" s="62"/>
      <c r="U949" s="62"/>
    </row>
    <row r="950" spans="2:21" ht="15.75" customHeight="1" x14ac:dyDescent="0.3">
      <c r="B950" s="36"/>
      <c r="C950" s="36"/>
      <c r="D950" s="6"/>
      <c r="E950" s="36"/>
      <c r="F950" s="36"/>
      <c r="G950" s="6"/>
      <c r="H950" s="37"/>
      <c r="I950" s="36"/>
      <c r="J950" s="36"/>
      <c r="K950" s="60"/>
      <c r="M950" s="61"/>
      <c r="N950" s="61"/>
      <c r="O950" s="61"/>
      <c r="P950" s="61"/>
      <c r="Q950" s="61"/>
      <c r="R950" s="61"/>
      <c r="S950" s="62"/>
      <c r="T950" s="62"/>
      <c r="U950" s="62"/>
    </row>
    <row r="951" spans="2:21" ht="15.75" customHeight="1" x14ac:dyDescent="0.3">
      <c r="B951" s="36"/>
      <c r="C951" s="36"/>
      <c r="D951" s="6"/>
      <c r="E951" s="36"/>
      <c r="F951" s="36"/>
      <c r="G951" s="6"/>
      <c r="H951" s="37"/>
      <c r="I951" s="36"/>
      <c r="J951" s="36"/>
      <c r="K951" s="60"/>
      <c r="M951" s="61"/>
      <c r="N951" s="61"/>
      <c r="O951" s="61"/>
      <c r="P951" s="61"/>
      <c r="Q951" s="61"/>
      <c r="R951" s="61"/>
      <c r="S951" s="62"/>
      <c r="T951" s="62"/>
      <c r="U951" s="62"/>
    </row>
    <row r="952" spans="2:21" ht="15.75" customHeight="1" x14ac:dyDescent="0.3">
      <c r="B952" s="36"/>
      <c r="C952" s="36"/>
      <c r="D952" s="6"/>
      <c r="E952" s="36"/>
      <c r="F952" s="36"/>
      <c r="G952" s="6"/>
      <c r="H952" s="37"/>
      <c r="I952" s="36"/>
      <c r="J952" s="36"/>
      <c r="K952" s="60"/>
      <c r="M952" s="61"/>
      <c r="N952" s="61"/>
      <c r="O952" s="61"/>
      <c r="P952" s="61"/>
      <c r="Q952" s="61"/>
      <c r="R952" s="61"/>
      <c r="S952" s="62"/>
      <c r="T952" s="62"/>
      <c r="U952" s="62"/>
    </row>
    <row r="953" spans="2:21" ht="15.75" customHeight="1" x14ac:dyDescent="0.3">
      <c r="B953" s="36"/>
      <c r="C953" s="36"/>
      <c r="D953" s="6"/>
      <c r="E953" s="36"/>
      <c r="F953" s="36"/>
      <c r="G953" s="6"/>
      <c r="H953" s="37"/>
      <c r="I953" s="36"/>
      <c r="J953" s="36"/>
      <c r="K953" s="60"/>
      <c r="M953" s="61"/>
      <c r="N953" s="61"/>
      <c r="O953" s="61"/>
      <c r="P953" s="61"/>
      <c r="Q953" s="61"/>
      <c r="R953" s="61"/>
      <c r="S953" s="62"/>
      <c r="T953" s="62"/>
      <c r="U953" s="62"/>
    </row>
    <row r="954" spans="2:21" ht="15.75" customHeight="1" x14ac:dyDescent="0.3">
      <c r="B954" s="36"/>
      <c r="C954" s="36"/>
      <c r="D954" s="6"/>
      <c r="E954" s="36"/>
      <c r="F954" s="36"/>
      <c r="G954" s="6"/>
      <c r="H954" s="37"/>
      <c r="I954" s="36"/>
      <c r="J954" s="36"/>
      <c r="K954" s="60"/>
      <c r="M954" s="61"/>
      <c r="N954" s="61"/>
      <c r="O954" s="61"/>
      <c r="P954" s="61"/>
      <c r="Q954" s="61"/>
      <c r="R954" s="61"/>
      <c r="S954" s="62"/>
      <c r="T954" s="62"/>
      <c r="U954" s="62"/>
    </row>
    <row r="955" spans="2:21" ht="15.75" customHeight="1" x14ac:dyDescent="0.3">
      <c r="B955" s="36"/>
      <c r="C955" s="36"/>
      <c r="D955" s="6"/>
      <c r="E955" s="36"/>
      <c r="F955" s="36"/>
      <c r="G955" s="6"/>
      <c r="H955" s="37"/>
      <c r="I955" s="36"/>
      <c r="J955" s="36"/>
      <c r="K955" s="60"/>
      <c r="M955" s="61"/>
      <c r="N955" s="61"/>
      <c r="O955" s="61"/>
      <c r="P955" s="61"/>
      <c r="Q955" s="61"/>
      <c r="R955" s="61"/>
      <c r="S955" s="62"/>
      <c r="T955" s="62"/>
      <c r="U955" s="62"/>
    </row>
    <row r="956" spans="2:21" ht="15.75" customHeight="1" x14ac:dyDescent="0.3">
      <c r="B956" s="36"/>
      <c r="C956" s="36"/>
      <c r="D956" s="6"/>
      <c r="E956" s="36"/>
      <c r="F956" s="36"/>
      <c r="G956" s="6"/>
      <c r="H956" s="37"/>
      <c r="I956" s="36"/>
      <c r="J956" s="36"/>
      <c r="K956" s="60"/>
      <c r="M956" s="61"/>
      <c r="N956" s="61"/>
      <c r="O956" s="61"/>
      <c r="P956" s="61"/>
      <c r="Q956" s="61"/>
      <c r="R956" s="61"/>
      <c r="S956" s="62"/>
      <c r="T956" s="62"/>
      <c r="U956" s="62"/>
    </row>
    <row r="957" spans="2:21" ht="15.75" customHeight="1" x14ac:dyDescent="0.3">
      <c r="B957" s="36"/>
      <c r="C957" s="36"/>
      <c r="D957" s="6"/>
      <c r="E957" s="36"/>
      <c r="F957" s="36"/>
      <c r="G957" s="6"/>
      <c r="H957" s="37"/>
      <c r="I957" s="36"/>
      <c r="J957" s="36"/>
      <c r="K957" s="60"/>
      <c r="M957" s="61"/>
      <c r="N957" s="61"/>
      <c r="O957" s="61"/>
      <c r="P957" s="61"/>
      <c r="Q957" s="61"/>
      <c r="R957" s="61"/>
      <c r="S957" s="62"/>
      <c r="T957" s="62"/>
      <c r="U957" s="62"/>
    </row>
    <row r="958" spans="2:21" ht="15.75" customHeight="1" x14ac:dyDescent="0.3">
      <c r="B958" s="36"/>
      <c r="C958" s="36"/>
      <c r="D958" s="6"/>
      <c r="E958" s="36"/>
      <c r="F958" s="36"/>
      <c r="G958" s="6"/>
      <c r="H958" s="37"/>
      <c r="I958" s="36"/>
      <c r="J958" s="36"/>
      <c r="K958" s="60"/>
      <c r="M958" s="61"/>
      <c r="N958" s="61"/>
      <c r="O958" s="61"/>
      <c r="P958" s="61"/>
      <c r="Q958" s="61"/>
      <c r="R958" s="61"/>
      <c r="S958" s="62"/>
      <c r="T958" s="62"/>
      <c r="U958" s="62"/>
    </row>
    <row r="959" spans="2:21" ht="15.75" customHeight="1" x14ac:dyDescent="0.3">
      <c r="B959" s="36"/>
      <c r="C959" s="36"/>
      <c r="D959" s="6"/>
      <c r="E959" s="36"/>
      <c r="F959" s="36"/>
      <c r="G959" s="6"/>
      <c r="H959" s="37"/>
      <c r="I959" s="36"/>
      <c r="J959" s="36"/>
      <c r="K959" s="60"/>
      <c r="M959" s="61"/>
      <c r="N959" s="61"/>
      <c r="O959" s="61"/>
      <c r="P959" s="61"/>
      <c r="Q959" s="61"/>
      <c r="R959" s="61"/>
      <c r="S959" s="62"/>
      <c r="T959" s="62"/>
      <c r="U959" s="62"/>
    </row>
    <row r="960" spans="2:21" ht="15.75" customHeight="1" x14ac:dyDescent="0.3">
      <c r="B960" s="36"/>
      <c r="C960" s="36"/>
      <c r="D960" s="6"/>
      <c r="E960" s="36"/>
      <c r="F960" s="36"/>
      <c r="G960" s="6"/>
      <c r="H960" s="37"/>
      <c r="I960" s="36"/>
      <c r="J960" s="36"/>
      <c r="K960" s="60"/>
      <c r="M960" s="61"/>
      <c r="N960" s="61"/>
      <c r="O960" s="61"/>
      <c r="P960" s="61"/>
      <c r="Q960" s="61"/>
      <c r="R960" s="61"/>
      <c r="S960" s="62"/>
      <c r="T960" s="62"/>
      <c r="U960" s="62"/>
    </row>
    <row r="961" spans="2:21" ht="15.75" customHeight="1" x14ac:dyDescent="0.3">
      <c r="B961" s="36"/>
      <c r="C961" s="36"/>
      <c r="D961" s="6"/>
      <c r="E961" s="36"/>
      <c r="F961" s="36"/>
      <c r="G961" s="6"/>
      <c r="H961" s="37"/>
      <c r="I961" s="36"/>
      <c r="J961" s="36"/>
      <c r="K961" s="60"/>
      <c r="M961" s="61"/>
      <c r="N961" s="61"/>
      <c r="O961" s="61"/>
      <c r="P961" s="61"/>
      <c r="Q961" s="61"/>
      <c r="R961" s="61"/>
      <c r="S961" s="62"/>
      <c r="T961" s="62"/>
      <c r="U961" s="62"/>
    </row>
    <row r="962" spans="2:21" ht="15.75" customHeight="1" x14ac:dyDescent="0.3">
      <c r="B962" s="36"/>
      <c r="C962" s="36"/>
      <c r="D962" s="6"/>
      <c r="E962" s="36"/>
      <c r="F962" s="36"/>
      <c r="G962" s="6"/>
      <c r="H962" s="37"/>
      <c r="I962" s="36"/>
      <c r="J962" s="36"/>
      <c r="K962" s="60"/>
      <c r="M962" s="61"/>
      <c r="N962" s="61"/>
      <c r="O962" s="61"/>
      <c r="P962" s="61"/>
      <c r="Q962" s="61"/>
      <c r="R962" s="61"/>
      <c r="S962" s="62"/>
      <c r="T962" s="62"/>
      <c r="U962" s="62"/>
    </row>
    <row r="963" spans="2:21" ht="15.75" customHeight="1" x14ac:dyDescent="0.3">
      <c r="B963" s="36"/>
      <c r="C963" s="36"/>
      <c r="D963" s="6"/>
      <c r="E963" s="36"/>
      <c r="F963" s="36"/>
      <c r="G963" s="6"/>
      <c r="H963" s="37"/>
      <c r="I963" s="36"/>
      <c r="J963" s="36"/>
      <c r="K963" s="60"/>
      <c r="M963" s="61"/>
      <c r="N963" s="61"/>
      <c r="O963" s="61"/>
      <c r="P963" s="61"/>
      <c r="Q963" s="61"/>
      <c r="R963" s="61"/>
      <c r="S963" s="62"/>
      <c r="T963" s="62"/>
      <c r="U963" s="62"/>
    </row>
    <row r="964" spans="2:21" ht="15.75" customHeight="1" x14ac:dyDescent="0.3">
      <c r="B964" s="36"/>
      <c r="C964" s="36"/>
      <c r="D964" s="6"/>
      <c r="E964" s="36"/>
      <c r="F964" s="36"/>
      <c r="G964" s="6"/>
      <c r="H964" s="37"/>
      <c r="I964" s="36"/>
      <c r="J964" s="36"/>
      <c r="K964" s="60"/>
      <c r="M964" s="61"/>
      <c r="N964" s="61"/>
      <c r="O964" s="61"/>
      <c r="P964" s="61"/>
      <c r="Q964" s="61"/>
      <c r="R964" s="61"/>
      <c r="S964" s="62"/>
      <c r="T964" s="62"/>
      <c r="U964" s="62"/>
    </row>
    <row r="965" spans="2:21" ht="15.75" customHeight="1" x14ac:dyDescent="0.3">
      <c r="B965" s="36"/>
      <c r="C965" s="36"/>
      <c r="D965" s="6"/>
      <c r="E965" s="36"/>
      <c r="F965" s="36"/>
      <c r="G965" s="6"/>
      <c r="H965" s="37"/>
      <c r="I965" s="36"/>
      <c r="J965" s="36"/>
      <c r="K965" s="60"/>
      <c r="M965" s="61"/>
      <c r="N965" s="61"/>
      <c r="O965" s="61"/>
      <c r="P965" s="61"/>
      <c r="Q965" s="61"/>
      <c r="R965" s="61"/>
      <c r="S965" s="62"/>
      <c r="T965" s="62"/>
      <c r="U965" s="62"/>
    </row>
    <row r="966" spans="2:21" ht="15.75" customHeight="1" x14ac:dyDescent="0.3">
      <c r="B966" s="36"/>
      <c r="C966" s="36"/>
      <c r="D966" s="6"/>
      <c r="E966" s="36"/>
      <c r="F966" s="36"/>
      <c r="G966" s="6"/>
      <c r="H966" s="37"/>
      <c r="I966" s="36"/>
      <c r="J966" s="36"/>
      <c r="K966" s="60"/>
      <c r="M966" s="61"/>
      <c r="N966" s="61"/>
      <c r="O966" s="61"/>
      <c r="P966" s="61"/>
      <c r="Q966" s="61"/>
      <c r="R966" s="61"/>
      <c r="S966" s="62"/>
      <c r="T966" s="62"/>
      <c r="U966" s="62"/>
    </row>
    <row r="967" spans="2:21" ht="15.75" customHeight="1" x14ac:dyDescent="0.3">
      <c r="B967" s="36"/>
      <c r="C967" s="36"/>
      <c r="D967" s="6"/>
      <c r="E967" s="36"/>
      <c r="F967" s="36"/>
      <c r="G967" s="6"/>
      <c r="H967" s="37"/>
      <c r="I967" s="36"/>
      <c r="J967" s="36"/>
      <c r="K967" s="60"/>
      <c r="M967" s="61"/>
      <c r="N967" s="61"/>
      <c r="O967" s="61"/>
      <c r="P967" s="61"/>
      <c r="Q967" s="61"/>
      <c r="R967" s="61"/>
      <c r="S967" s="62"/>
      <c r="T967" s="62"/>
      <c r="U967" s="62"/>
    </row>
    <row r="968" spans="2:21" ht="15.75" customHeight="1" x14ac:dyDescent="0.3">
      <c r="B968" s="36"/>
      <c r="C968" s="36"/>
      <c r="D968" s="6"/>
      <c r="E968" s="36"/>
      <c r="F968" s="36"/>
      <c r="G968" s="6"/>
      <c r="H968" s="37"/>
      <c r="I968" s="36"/>
      <c r="J968" s="36"/>
      <c r="K968" s="60"/>
      <c r="M968" s="61"/>
      <c r="N968" s="61"/>
      <c r="O968" s="61"/>
      <c r="P968" s="61"/>
      <c r="Q968" s="61"/>
      <c r="R968" s="61"/>
      <c r="S968" s="62"/>
      <c r="T968" s="62"/>
      <c r="U968" s="62"/>
    </row>
    <row r="969" spans="2:21" ht="15.75" customHeight="1" x14ac:dyDescent="0.3">
      <c r="B969" s="36"/>
      <c r="C969" s="36"/>
      <c r="D969" s="6"/>
      <c r="E969" s="36"/>
      <c r="F969" s="36"/>
      <c r="G969" s="6"/>
      <c r="H969" s="37"/>
      <c r="I969" s="36"/>
      <c r="J969" s="36"/>
      <c r="K969" s="60"/>
      <c r="M969" s="61"/>
      <c r="N969" s="61"/>
      <c r="O969" s="61"/>
      <c r="P969" s="61"/>
      <c r="Q969" s="61"/>
      <c r="R969" s="61"/>
      <c r="S969" s="62"/>
      <c r="T969" s="62"/>
      <c r="U969" s="62"/>
    </row>
    <row r="970" spans="2:21" ht="15.75" customHeight="1" x14ac:dyDescent="0.3">
      <c r="B970" s="36"/>
      <c r="C970" s="36"/>
      <c r="D970" s="6"/>
      <c r="E970" s="36"/>
      <c r="F970" s="36"/>
      <c r="G970" s="6"/>
      <c r="H970" s="37"/>
      <c r="I970" s="36"/>
      <c r="J970" s="36"/>
      <c r="K970" s="60"/>
      <c r="M970" s="61"/>
      <c r="N970" s="61"/>
      <c r="O970" s="61"/>
      <c r="P970" s="61"/>
      <c r="Q970" s="61"/>
      <c r="R970" s="61"/>
      <c r="S970" s="62"/>
      <c r="T970" s="62"/>
      <c r="U970" s="62"/>
    </row>
    <row r="971" spans="2:21" ht="15.75" customHeight="1" x14ac:dyDescent="0.3">
      <c r="B971" s="36"/>
      <c r="C971" s="36"/>
      <c r="D971" s="6"/>
      <c r="E971" s="36"/>
      <c r="F971" s="36"/>
      <c r="G971" s="6"/>
      <c r="H971" s="37"/>
      <c r="I971" s="36"/>
      <c r="J971" s="36"/>
      <c r="K971" s="60"/>
      <c r="M971" s="61"/>
      <c r="N971" s="61"/>
      <c r="O971" s="61"/>
      <c r="P971" s="61"/>
      <c r="Q971" s="61"/>
      <c r="R971" s="61"/>
      <c r="S971" s="62"/>
      <c r="T971" s="62"/>
      <c r="U971" s="62"/>
    </row>
    <row r="972" spans="2:21" ht="15.75" customHeight="1" x14ac:dyDescent="0.3">
      <c r="B972" s="36"/>
      <c r="C972" s="36"/>
      <c r="D972" s="6"/>
      <c r="E972" s="36"/>
      <c r="F972" s="36"/>
      <c r="G972" s="6"/>
      <c r="H972" s="37"/>
      <c r="I972" s="36"/>
      <c r="J972" s="36"/>
      <c r="K972" s="60"/>
      <c r="M972" s="61"/>
      <c r="N972" s="61"/>
      <c r="O972" s="61"/>
      <c r="P972" s="61"/>
      <c r="Q972" s="61"/>
      <c r="R972" s="61"/>
      <c r="S972" s="62"/>
      <c r="T972" s="62"/>
      <c r="U972" s="62"/>
    </row>
    <row r="973" spans="2:21" ht="15.75" customHeight="1" x14ac:dyDescent="0.3">
      <c r="B973" s="36"/>
      <c r="C973" s="36"/>
      <c r="D973" s="6"/>
      <c r="E973" s="36"/>
      <c r="F973" s="36"/>
      <c r="G973" s="6"/>
      <c r="H973" s="37"/>
      <c r="I973" s="36"/>
      <c r="J973" s="36"/>
      <c r="K973" s="60"/>
      <c r="M973" s="61"/>
      <c r="N973" s="61"/>
      <c r="O973" s="61"/>
      <c r="P973" s="61"/>
      <c r="Q973" s="61"/>
      <c r="R973" s="61"/>
      <c r="S973" s="62"/>
      <c r="T973" s="62"/>
      <c r="U973" s="62"/>
    </row>
    <row r="974" spans="2:21" ht="15.75" customHeight="1" x14ac:dyDescent="0.3">
      <c r="B974" s="36"/>
      <c r="C974" s="36"/>
      <c r="D974" s="6"/>
      <c r="E974" s="36"/>
      <c r="F974" s="36"/>
      <c r="G974" s="6"/>
      <c r="H974" s="37"/>
      <c r="I974" s="36"/>
      <c r="J974" s="36"/>
      <c r="K974" s="60"/>
      <c r="M974" s="61"/>
      <c r="N974" s="61"/>
      <c r="O974" s="61"/>
      <c r="P974" s="61"/>
      <c r="Q974" s="61"/>
      <c r="R974" s="61"/>
      <c r="S974" s="62"/>
      <c r="T974" s="62"/>
      <c r="U974" s="62"/>
    </row>
    <row r="975" spans="2:21" ht="15.75" customHeight="1" x14ac:dyDescent="0.3">
      <c r="B975" s="36"/>
      <c r="C975" s="36"/>
      <c r="D975" s="6"/>
      <c r="E975" s="36"/>
      <c r="F975" s="36"/>
      <c r="G975" s="6"/>
      <c r="H975" s="37"/>
      <c r="I975" s="36"/>
      <c r="J975" s="36"/>
      <c r="K975" s="60"/>
      <c r="M975" s="61"/>
      <c r="N975" s="61"/>
      <c r="O975" s="61"/>
      <c r="P975" s="61"/>
      <c r="Q975" s="61"/>
      <c r="R975" s="61"/>
      <c r="S975" s="62"/>
      <c r="T975" s="62"/>
      <c r="U975" s="62"/>
    </row>
    <row r="976" spans="2:21" ht="15.75" customHeight="1" x14ac:dyDescent="0.3">
      <c r="B976" s="36"/>
      <c r="C976" s="36"/>
      <c r="D976" s="6"/>
      <c r="E976" s="36"/>
      <c r="F976" s="36"/>
      <c r="G976" s="6"/>
      <c r="H976" s="37"/>
      <c r="I976" s="36"/>
      <c r="J976" s="36"/>
      <c r="K976" s="60"/>
      <c r="M976" s="61"/>
      <c r="N976" s="61"/>
      <c r="O976" s="61"/>
      <c r="P976" s="61"/>
      <c r="Q976" s="61"/>
      <c r="R976" s="61"/>
      <c r="S976" s="62"/>
      <c r="T976" s="62"/>
      <c r="U976" s="62"/>
    </row>
    <row r="977" spans="2:21" ht="15.75" customHeight="1" x14ac:dyDescent="0.3">
      <c r="B977" s="36"/>
      <c r="C977" s="36"/>
      <c r="D977" s="6"/>
      <c r="E977" s="36"/>
      <c r="F977" s="36"/>
      <c r="G977" s="6"/>
      <c r="H977" s="37"/>
      <c r="I977" s="36"/>
      <c r="J977" s="36"/>
      <c r="K977" s="60"/>
      <c r="M977" s="61"/>
      <c r="N977" s="61"/>
      <c r="O977" s="61"/>
      <c r="P977" s="61"/>
      <c r="Q977" s="61"/>
      <c r="R977" s="61"/>
      <c r="S977" s="62"/>
      <c r="T977" s="62"/>
      <c r="U977" s="62"/>
    </row>
    <row r="978" spans="2:21" ht="15.75" customHeight="1" x14ac:dyDescent="0.3">
      <c r="B978" s="36"/>
      <c r="C978" s="36"/>
      <c r="D978" s="6"/>
      <c r="E978" s="36"/>
      <c r="F978" s="36"/>
      <c r="G978" s="6"/>
      <c r="H978" s="37"/>
      <c r="I978" s="36"/>
      <c r="J978" s="36"/>
      <c r="K978" s="60"/>
      <c r="M978" s="61"/>
      <c r="N978" s="61"/>
      <c r="O978" s="61"/>
      <c r="P978" s="61"/>
      <c r="Q978" s="61"/>
      <c r="R978" s="61"/>
      <c r="S978" s="62"/>
      <c r="T978" s="62"/>
      <c r="U978" s="62"/>
    </row>
    <row r="979" spans="2:21" ht="15.75" customHeight="1" x14ac:dyDescent="0.3">
      <c r="B979" s="36"/>
      <c r="C979" s="36"/>
      <c r="D979" s="6"/>
      <c r="E979" s="36"/>
      <c r="F979" s="36"/>
      <c r="G979" s="6"/>
      <c r="H979" s="37"/>
      <c r="I979" s="36"/>
      <c r="J979" s="36"/>
      <c r="K979" s="60"/>
      <c r="M979" s="61"/>
      <c r="N979" s="61"/>
      <c r="O979" s="61"/>
      <c r="P979" s="61"/>
      <c r="Q979" s="61"/>
      <c r="R979" s="61"/>
      <c r="S979" s="62"/>
      <c r="T979" s="62"/>
      <c r="U979" s="62"/>
    </row>
    <row r="980" spans="2:21" ht="15.75" customHeight="1" x14ac:dyDescent="0.3">
      <c r="B980" s="36"/>
      <c r="C980" s="36"/>
      <c r="D980" s="6"/>
      <c r="E980" s="36"/>
      <c r="F980" s="36"/>
      <c r="G980" s="6"/>
      <c r="H980" s="37"/>
      <c r="I980" s="36"/>
      <c r="J980" s="36"/>
      <c r="K980" s="60"/>
      <c r="M980" s="61"/>
      <c r="N980" s="61"/>
      <c r="O980" s="61"/>
      <c r="P980" s="61"/>
      <c r="Q980" s="61"/>
      <c r="R980" s="61"/>
      <c r="S980" s="62"/>
      <c r="T980" s="62"/>
      <c r="U980" s="62"/>
    </row>
    <row r="981" spans="2:21" ht="15.75" customHeight="1" x14ac:dyDescent="0.3">
      <c r="B981" s="36"/>
      <c r="C981" s="36"/>
      <c r="D981" s="6"/>
      <c r="E981" s="36"/>
      <c r="F981" s="36"/>
      <c r="G981" s="6"/>
      <c r="H981" s="37"/>
      <c r="I981" s="36"/>
      <c r="J981" s="36"/>
      <c r="K981" s="60"/>
      <c r="M981" s="61"/>
      <c r="N981" s="61"/>
      <c r="O981" s="61"/>
      <c r="P981" s="61"/>
      <c r="Q981" s="61"/>
      <c r="R981" s="61"/>
      <c r="S981" s="62"/>
      <c r="T981" s="62"/>
      <c r="U981" s="62"/>
    </row>
    <row r="982" spans="2:21" ht="15.75" customHeight="1" x14ac:dyDescent="0.3">
      <c r="B982" s="36"/>
      <c r="C982" s="36"/>
      <c r="D982" s="6"/>
      <c r="E982" s="36"/>
      <c r="F982" s="36"/>
      <c r="G982" s="6"/>
      <c r="H982" s="37"/>
      <c r="I982" s="36"/>
      <c r="J982" s="36"/>
      <c r="K982" s="60"/>
      <c r="M982" s="61"/>
      <c r="N982" s="61"/>
      <c r="O982" s="61"/>
      <c r="P982" s="61"/>
      <c r="Q982" s="61"/>
      <c r="R982" s="61"/>
      <c r="S982" s="62"/>
      <c r="T982" s="62"/>
      <c r="U982" s="62"/>
    </row>
    <row r="983" spans="2:21" ht="15.75" customHeight="1" x14ac:dyDescent="0.3">
      <c r="B983" s="36"/>
      <c r="C983" s="36"/>
      <c r="D983" s="6"/>
      <c r="E983" s="36"/>
      <c r="F983" s="36"/>
      <c r="G983" s="6"/>
      <c r="H983" s="37"/>
      <c r="I983" s="36"/>
      <c r="J983" s="36"/>
      <c r="K983" s="60"/>
      <c r="M983" s="61"/>
      <c r="N983" s="61"/>
      <c r="O983" s="61"/>
      <c r="P983" s="61"/>
      <c r="Q983" s="61"/>
      <c r="R983" s="61"/>
      <c r="S983" s="62"/>
      <c r="T983" s="62"/>
      <c r="U983" s="62"/>
    </row>
    <row r="984" spans="2:21" ht="15.75" customHeight="1" x14ac:dyDescent="0.3">
      <c r="B984" s="36"/>
      <c r="C984" s="36"/>
      <c r="D984" s="6"/>
      <c r="E984" s="36"/>
      <c r="F984" s="36"/>
      <c r="G984" s="6"/>
      <c r="H984" s="37"/>
      <c r="I984" s="36"/>
      <c r="J984" s="36"/>
      <c r="K984" s="60"/>
      <c r="M984" s="61"/>
      <c r="N984" s="61"/>
      <c r="O984" s="61"/>
      <c r="P984" s="61"/>
      <c r="Q984" s="61"/>
      <c r="R984" s="61"/>
      <c r="S984" s="62"/>
      <c r="T984" s="62"/>
      <c r="U984" s="62"/>
    </row>
    <row r="985" spans="2:21" ht="15.75" customHeight="1" x14ac:dyDescent="0.3">
      <c r="B985" s="36"/>
      <c r="C985" s="36"/>
      <c r="D985" s="6"/>
      <c r="E985" s="36"/>
      <c r="F985" s="36"/>
      <c r="G985" s="6"/>
      <c r="H985" s="37"/>
      <c r="I985" s="36"/>
      <c r="J985" s="36"/>
      <c r="K985" s="60"/>
      <c r="M985" s="61"/>
      <c r="N985" s="61"/>
      <c r="O985" s="61"/>
      <c r="P985" s="61"/>
      <c r="Q985" s="61"/>
      <c r="R985" s="61"/>
      <c r="S985" s="62"/>
      <c r="T985" s="62"/>
      <c r="U985" s="62"/>
    </row>
    <row r="986" spans="2:21" ht="15.75" customHeight="1" x14ac:dyDescent="0.3">
      <c r="B986" s="36"/>
      <c r="C986" s="36"/>
      <c r="D986" s="6"/>
      <c r="E986" s="36"/>
      <c r="F986" s="36"/>
      <c r="G986" s="6"/>
      <c r="H986" s="37"/>
      <c r="I986" s="36"/>
      <c r="J986" s="36"/>
      <c r="K986" s="60"/>
      <c r="M986" s="61"/>
      <c r="N986" s="61"/>
      <c r="O986" s="61"/>
      <c r="P986" s="61"/>
      <c r="Q986" s="61"/>
      <c r="R986" s="61"/>
      <c r="S986" s="62"/>
      <c r="T986" s="62"/>
      <c r="U986" s="62"/>
    </row>
    <row r="987" spans="2:21" ht="15.75" customHeight="1" x14ac:dyDescent="0.3">
      <c r="B987" s="36"/>
      <c r="C987" s="36"/>
      <c r="D987" s="6"/>
      <c r="E987" s="36"/>
      <c r="F987" s="36"/>
      <c r="G987" s="6"/>
      <c r="H987" s="37"/>
      <c r="I987" s="36"/>
      <c r="J987" s="36"/>
      <c r="K987" s="60"/>
      <c r="M987" s="61"/>
      <c r="N987" s="61"/>
      <c r="O987" s="61"/>
      <c r="P987" s="61"/>
      <c r="Q987" s="61"/>
      <c r="R987" s="61"/>
      <c r="S987" s="62"/>
      <c r="T987" s="62"/>
      <c r="U987" s="62"/>
    </row>
    <row r="988" spans="2:21" ht="15.75" customHeight="1" x14ac:dyDescent="0.3">
      <c r="B988" s="36"/>
      <c r="C988" s="36"/>
      <c r="D988" s="6"/>
      <c r="E988" s="36"/>
      <c r="F988" s="36"/>
      <c r="G988" s="6"/>
      <c r="H988" s="37"/>
      <c r="I988" s="36"/>
      <c r="J988" s="36"/>
      <c r="K988" s="60"/>
      <c r="M988" s="61"/>
      <c r="N988" s="61"/>
      <c r="O988" s="61"/>
      <c r="P988" s="61"/>
      <c r="Q988" s="61"/>
      <c r="R988" s="61"/>
      <c r="S988" s="62"/>
      <c r="T988" s="62"/>
      <c r="U988" s="62"/>
    </row>
    <row r="989" spans="2:21" ht="15.75" customHeight="1" x14ac:dyDescent="0.3">
      <c r="B989" s="36"/>
      <c r="C989" s="36"/>
      <c r="D989" s="6"/>
      <c r="E989" s="36"/>
      <c r="F989" s="36"/>
      <c r="G989" s="6"/>
      <c r="H989" s="37"/>
      <c r="I989" s="36"/>
      <c r="J989" s="36"/>
      <c r="K989" s="60"/>
      <c r="M989" s="61"/>
      <c r="N989" s="61"/>
      <c r="O989" s="61"/>
      <c r="P989" s="61"/>
      <c r="Q989" s="61"/>
      <c r="R989" s="61"/>
      <c r="S989" s="62"/>
      <c r="T989" s="62"/>
      <c r="U989" s="62"/>
    </row>
    <row r="990" spans="2:21" ht="15.75" customHeight="1" x14ac:dyDescent="0.3">
      <c r="B990" s="36"/>
      <c r="C990" s="36"/>
      <c r="D990" s="6"/>
      <c r="E990" s="36"/>
      <c r="F990" s="36"/>
      <c r="G990" s="6"/>
      <c r="H990" s="37"/>
      <c r="I990" s="36"/>
      <c r="J990" s="36"/>
      <c r="K990" s="60"/>
      <c r="M990" s="61"/>
      <c r="N990" s="61"/>
      <c r="O990" s="61"/>
      <c r="P990" s="61"/>
      <c r="Q990" s="61"/>
      <c r="R990" s="61"/>
      <c r="S990" s="62"/>
      <c r="T990" s="62"/>
      <c r="U990" s="62"/>
    </row>
    <row r="991" spans="2:21" ht="15.75" customHeight="1" x14ac:dyDescent="0.3">
      <c r="B991" s="36"/>
      <c r="C991" s="36"/>
      <c r="D991" s="6"/>
      <c r="E991" s="36"/>
      <c r="F991" s="36"/>
      <c r="G991" s="6"/>
      <c r="H991" s="37"/>
      <c r="I991" s="36"/>
      <c r="J991" s="36"/>
      <c r="K991" s="60"/>
      <c r="M991" s="61"/>
      <c r="N991" s="61"/>
      <c r="O991" s="61"/>
      <c r="P991" s="61"/>
      <c r="Q991" s="61"/>
      <c r="R991" s="61"/>
      <c r="S991" s="62"/>
      <c r="T991" s="62"/>
      <c r="U991" s="62"/>
    </row>
    <row r="992" spans="2:21" ht="15.75" customHeight="1" x14ac:dyDescent="0.3">
      <c r="B992" s="36"/>
      <c r="C992" s="36"/>
      <c r="D992" s="6"/>
      <c r="E992" s="36"/>
      <c r="F992" s="36"/>
      <c r="G992" s="6"/>
      <c r="H992" s="37"/>
      <c r="I992" s="36"/>
      <c r="J992" s="36"/>
      <c r="K992" s="60"/>
      <c r="M992" s="61"/>
      <c r="N992" s="61"/>
      <c r="O992" s="61"/>
      <c r="P992" s="61"/>
      <c r="Q992" s="61"/>
      <c r="R992" s="61"/>
      <c r="S992" s="62"/>
      <c r="T992" s="62"/>
      <c r="U992" s="62"/>
    </row>
    <row r="993" spans="2:21" ht="15.75" customHeight="1" x14ac:dyDescent="0.3">
      <c r="B993" s="36"/>
      <c r="C993" s="36"/>
      <c r="D993" s="6"/>
      <c r="E993" s="36"/>
      <c r="F993" s="36"/>
      <c r="G993" s="6"/>
      <c r="H993" s="37"/>
      <c r="I993" s="36"/>
      <c r="J993" s="36"/>
      <c r="K993" s="60"/>
      <c r="M993" s="61"/>
      <c r="N993" s="61"/>
      <c r="O993" s="61"/>
      <c r="P993" s="61"/>
      <c r="Q993" s="61"/>
      <c r="R993" s="61"/>
      <c r="S993" s="62"/>
      <c r="T993" s="62"/>
      <c r="U993" s="62"/>
    </row>
    <row r="994" spans="2:21" ht="15.75" customHeight="1" x14ac:dyDescent="0.3">
      <c r="B994" s="36"/>
      <c r="C994" s="36"/>
      <c r="D994" s="6"/>
      <c r="E994" s="36"/>
      <c r="F994" s="36"/>
      <c r="G994" s="6"/>
      <c r="H994" s="37"/>
      <c r="I994" s="36"/>
      <c r="J994" s="36"/>
      <c r="K994" s="60"/>
      <c r="M994" s="61"/>
      <c r="N994" s="61"/>
      <c r="O994" s="61"/>
      <c r="P994" s="61"/>
      <c r="Q994" s="61"/>
      <c r="R994" s="61"/>
      <c r="S994" s="62"/>
      <c r="T994" s="62"/>
      <c r="U994" s="62"/>
    </row>
    <row r="995" spans="2:21" ht="15.75" customHeight="1" x14ac:dyDescent="0.3">
      <c r="B995" s="36"/>
      <c r="C995" s="36"/>
      <c r="D995" s="6"/>
      <c r="E995" s="36"/>
      <c r="F995" s="36"/>
      <c r="G995" s="6"/>
      <c r="H995" s="37"/>
      <c r="I995" s="36"/>
      <c r="J995" s="36"/>
      <c r="K995" s="60"/>
      <c r="M995" s="61"/>
      <c r="N995" s="61"/>
      <c r="O995" s="61"/>
      <c r="P995" s="61"/>
      <c r="Q995" s="61"/>
      <c r="R995" s="61"/>
      <c r="S995" s="62"/>
      <c r="T995" s="62"/>
      <c r="U995" s="62"/>
    </row>
  </sheetData>
  <mergeCells count="48">
    <mergeCell ref="C27:G27"/>
    <mergeCell ref="C28:G28"/>
    <mergeCell ref="C36:D36"/>
    <mergeCell ref="C37:D37"/>
    <mergeCell ref="C22:G22"/>
    <mergeCell ref="C23:G23"/>
    <mergeCell ref="C24:G24"/>
    <mergeCell ref="C25:G25"/>
    <mergeCell ref="C26:G26"/>
    <mergeCell ref="C34:J34"/>
    <mergeCell ref="C29:G29"/>
    <mergeCell ref="C30:G30"/>
    <mergeCell ref="C31:G31"/>
    <mergeCell ref="C32:J32"/>
    <mergeCell ref="C33:J33"/>
    <mergeCell ref="C16:D16"/>
    <mergeCell ref="C18:J18"/>
    <mergeCell ref="B19:G19"/>
    <mergeCell ref="C20:G20"/>
    <mergeCell ref="C21:G21"/>
    <mergeCell ref="C10:J10"/>
    <mergeCell ref="B2:H2"/>
    <mergeCell ref="I2:K5"/>
    <mergeCell ref="B3:H3"/>
    <mergeCell ref="B4:H4"/>
    <mergeCell ref="B6:C6"/>
    <mergeCell ref="D6:I6"/>
    <mergeCell ref="B7:B8"/>
    <mergeCell ref="C7:D8"/>
    <mergeCell ref="E7:F7"/>
    <mergeCell ref="G7:G8"/>
    <mergeCell ref="H7:H8"/>
    <mergeCell ref="I7:I8"/>
    <mergeCell ref="J7:J8"/>
    <mergeCell ref="K7:K8"/>
    <mergeCell ref="H46:J46"/>
    <mergeCell ref="H47:J47"/>
    <mergeCell ref="E35:G39"/>
    <mergeCell ref="H35:I39"/>
    <mergeCell ref="C38:D38"/>
    <mergeCell ref="C39:D39"/>
    <mergeCell ref="B40:J40"/>
    <mergeCell ref="H41:I41"/>
    <mergeCell ref="H42:I42"/>
    <mergeCell ref="C35:D35"/>
    <mergeCell ref="H43:I43"/>
    <mergeCell ref="H44:I44"/>
    <mergeCell ref="H45:I45"/>
  </mergeCells>
  <hyperlinks>
    <hyperlink ref="C65" r:id="rId1" xr:uid="{00000000-0004-0000-0400-000000000000}"/>
    <hyperlink ref="C66" r:id="rId2" location=":~:text=La%20Direcci%C3%B3n%20de%20Impuestos%20y,1%C2%BA%20de%20enero%20del%202022." xr:uid="{00000000-0004-0000-0400-000001000000}"/>
    <hyperlink ref="C95" r:id="rId3" xr:uid="{00000000-0004-0000-0400-000002000000}"/>
  </hyperlinks>
  <printOptions horizontalCentered="1"/>
  <pageMargins left="0.51181102362204722" right="0.51181102362204722" top="0.55118110236220474" bottom="0.55118110236220474" header="0" footer="0"/>
  <pageSetup paperSize="9" scale="22" fitToHeight="0" orientation="portrait" r:id="rId4"/>
  <drawing r:id="rId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A8D08D"/>
    <pageSetUpPr fitToPage="1"/>
  </sheetPr>
  <dimension ref="A1:Z1000"/>
  <sheetViews>
    <sheetView workbookViewId="0">
      <selection activeCell="J3915" sqref="J3915"/>
    </sheetView>
  </sheetViews>
  <sheetFormatPr baseColWidth="10" defaultColWidth="14.44140625" defaultRowHeight="15" customHeight="1" x14ac:dyDescent="0.3"/>
  <cols>
    <col min="1" max="1" width="1" customWidth="1"/>
    <col min="2" max="2" width="10.6640625" customWidth="1"/>
    <col min="3" max="3" width="37.6640625" customWidth="1"/>
    <col min="4" max="4" width="14.5546875" customWidth="1"/>
    <col min="5" max="5" width="16.33203125" customWidth="1"/>
    <col min="6" max="6" width="7.109375" customWidth="1"/>
    <col min="7" max="7" width="18.33203125" customWidth="1"/>
    <col min="8" max="8" width="19.6640625" customWidth="1"/>
    <col min="9" max="9" width="25.44140625" customWidth="1"/>
    <col min="10" max="10" width="6" customWidth="1"/>
    <col min="11" max="11" width="8" customWidth="1"/>
    <col min="12" max="12" width="20" customWidth="1"/>
    <col min="13" max="26" width="10.6640625" customWidth="1"/>
  </cols>
  <sheetData>
    <row r="1" spans="1:26" ht="2.25" customHeight="1" x14ac:dyDescent="0.3">
      <c r="J1" s="61"/>
      <c r="K1" s="62"/>
    </row>
    <row r="2" spans="1:26" ht="18" x14ac:dyDescent="0.3">
      <c r="B2" s="455" t="s">
        <v>267</v>
      </c>
      <c r="C2" s="420"/>
      <c r="D2" s="420"/>
      <c r="E2" s="420"/>
      <c r="F2" s="420"/>
      <c r="G2" s="456"/>
      <c r="H2" s="420"/>
      <c r="J2" s="61"/>
      <c r="K2" s="62"/>
    </row>
    <row r="3" spans="1:26" ht="18" x14ac:dyDescent="0.3">
      <c r="B3" s="455" t="s">
        <v>326</v>
      </c>
      <c r="C3" s="420"/>
      <c r="D3" s="420"/>
      <c r="E3" s="420"/>
      <c r="F3" s="420"/>
      <c r="G3" s="420"/>
      <c r="H3" s="420"/>
      <c r="J3" s="61"/>
      <c r="K3" s="62"/>
    </row>
    <row r="4" spans="1:26" ht="14.4" x14ac:dyDescent="0.3">
      <c r="B4" s="456"/>
      <c r="C4" s="420"/>
      <c r="D4" s="420"/>
      <c r="E4" s="420"/>
      <c r="F4" s="420"/>
      <c r="G4" s="420"/>
      <c r="H4" s="420"/>
      <c r="J4" s="61"/>
      <c r="K4" s="62"/>
    </row>
    <row r="5" spans="1:26" ht="14.4" x14ac:dyDescent="0.3">
      <c r="D5" s="48"/>
      <c r="G5" s="457"/>
      <c r="H5" s="457"/>
      <c r="J5" s="61"/>
      <c r="K5" s="62"/>
    </row>
    <row r="6" spans="1:26" ht="18" x14ac:dyDescent="0.35">
      <c r="A6" s="65"/>
      <c r="B6" s="458" t="s">
        <v>269</v>
      </c>
      <c r="C6" s="459"/>
      <c r="D6" s="460" t="str">
        <f>PPTO!A1</f>
        <v>PARQUES NACIONALES NATURALES DE COLOMBIA
PNN TUPARRO
PRESUPUESTO ESTIMADO VIGENCIA 2023 - OBRA</v>
      </c>
      <c r="E6" s="452"/>
      <c r="F6" s="452"/>
      <c r="G6" s="452"/>
      <c r="H6" s="453"/>
      <c r="I6" s="112">
        <v>373642451</v>
      </c>
      <c r="J6" s="68"/>
      <c r="K6" s="69"/>
      <c r="L6" s="15">
        <f>1500*908526</f>
        <v>1362789000</v>
      </c>
      <c r="M6" s="47">
        <v>200</v>
      </c>
      <c r="N6" s="65"/>
      <c r="O6" s="65"/>
      <c r="P6" s="65"/>
      <c r="Q6" s="65"/>
      <c r="R6" s="65"/>
      <c r="S6" s="65"/>
      <c r="T6" s="65"/>
      <c r="U6" s="65"/>
      <c r="V6" s="65"/>
      <c r="W6" s="65"/>
      <c r="X6" s="65"/>
      <c r="Y6" s="65"/>
      <c r="Z6" s="65"/>
    </row>
    <row r="7" spans="1:26" ht="14.4" x14ac:dyDescent="0.3">
      <c r="B7" s="463" t="s">
        <v>327</v>
      </c>
      <c r="C7" s="452"/>
      <c r="D7" s="453"/>
      <c r="E7" s="467">
        <f>+I6</f>
        <v>373642451</v>
      </c>
      <c r="F7" s="452"/>
      <c r="G7" s="452"/>
      <c r="H7" s="453"/>
      <c r="I7" s="113">
        <f>+PPTO!E240</f>
        <v>0</v>
      </c>
      <c r="J7" s="114" t="s">
        <v>328</v>
      </c>
      <c r="K7" s="62" t="s">
        <v>329</v>
      </c>
      <c r="L7" s="15">
        <f>2500*908526</f>
        <v>2271315000</v>
      </c>
      <c r="M7" s="47">
        <v>300</v>
      </c>
    </row>
    <row r="8" spans="1:26" ht="14.4" x14ac:dyDescent="0.3">
      <c r="B8" s="463" t="s">
        <v>330</v>
      </c>
      <c r="C8" s="452"/>
      <c r="D8" s="453"/>
      <c r="E8" s="451">
        <f>PPTO!F226*20%</f>
        <v>0</v>
      </c>
      <c r="F8" s="452"/>
      <c r="G8" s="452"/>
      <c r="H8" s="453"/>
      <c r="J8" s="61"/>
      <c r="K8" s="62"/>
      <c r="L8" s="15">
        <f>5000*908526</f>
        <v>4542630000</v>
      </c>
      <c r="M8" s="47">
        <v>400</v>
      </c>
    </row>
    <row r="9" spans="1:26" ht="14.4" x14ac:dyDescent="0.3">
      <c r="B9" s="463" t="s">
        <v>331</v>
      </c>
      <c r="C9" s="452"/>
      <c r="D9" s="453"/>
      <c r="E9" s="454">
        <f>ROUND(K9,0)</f>
        <v>92</v>
      </c>
      <c r="F9" s="452"/>
      <c r="G9" s="452"/>
      <c r="H9" s="453"/>
      <c r="J9" s="115">
        <v>5</v>
      </c>
      <c r="K9" s="116">
        <v>92</v>
      </c>
      <c r="L9" s="15">
        <f>10000*908526</f>
        <v>9085260000</v>
      </c>
      <c r="M9" s="47">
        <v>500</v>
      </c>
    </row>
    <row r="10" spans="1:26" ht="15" customHeight="1" x14ac:dyDescent="0.3">
      <c r="B10" s="464" t="s">
        <v>43</v>
      </c>
      <c r="C10" s="464" t="s">
        <v>332</v>
      </c>
      <c r="D10" s="464" t="s">
        <v>333</v>
      </c>
      <c r="E10" s="464" t="s">
        <v>334</v>
      </c>
      <c r="F10" s="464" t="s">
        <v>335</v>
      </c>
      <c r="G10" s="466" t="s">
        <v>336</v>
      </c>
      <c r="H10" s="464" t="s">
        <v>337</v>
      </c>
      <c r="J10" s="61"/>
      <c r="K10" s="62"/>
      <c r="L10" s="117">
        <v>0.05</v>
      </c>
    </row>
    <row r="11" spans="1:26" ht="14.4" x14ac:dyDescent="0.3">
      <c r="B11" s="465"/>
      <c r="C11" s="465"/>
      <c r="D11" s="465"/>
      <c r="E11" s="465"/>
      <c r="F11" s="465"/>
      <c r="G11" s="465"/>
      <c r="H11" s="465"/>
      <c r="J11" s="61"/>
      <c r="K11" s="62"/>
    </row>
    <row r="12" spans="1:26" ht="14.4" x14ac:dyDescent="0.3">
      <c r="J12" s="61"/>
      <c r="K12" s="62"/>
    </row>
    <row r="13" spans="1:26" ht="14.4" x14ac:dyDescent="0.3">
      <c r="B13" s="118">
        <v>1</v>
      </c>
      <c r="C13" s="468" t="s">
        <v>338</v>
      </c>
      <c r="D13" s="452"/>
      <c r="E13" s="452"/>
      <c r="F13" s="452"/>
      <c r="G13" s="453"/>
      <c r="H13" s="119">
        <f>SUM(H14:H19)</f>
        <v>1005904.7200000001</v>
      </c>
      <c r="J13" s="61"/>
      <c r="K13" s="62"/>
    </row>
    <row r="14" spans="1:26" ht="14.4" x14ac:dyDescent="0.3">
      <c r="B14" s="120">
        <f t="shared" ref="B14:B19" si="0">B13+0.01</f>
        <v>1.01</v>
      </c>
      <c r="C14" s="121" t="s">
        <v>339</v>
      </c>
      <c r="D14" s="122">
        <v>0.1</v>
      </c>
      <c r="E14" s="123">
        <f>E7*$D$14</f>
        <v>37364245.100000001</v>
      </c>
      <c r="F14" s="124">
        <v>1.75E-3</v>
      </c>
      <c r="G14" s="125">
        <v>274</v>
      </c>
      <c r="H14" s="126">
        <f>ROUND(E14*F14/365*G14,2)</f>
        <v>49085.36</v>
      </c>
      <c r="J14" s="61"/>
      <c r="K14" s="62"/>
    </row>
    <row r="15" spans="1:26" ht="28.8" x14ac:dyDescent="0.3">
      <c r="B15" s="120">
        <f t="shared" si="0"/>
        <v>1.02</v>
      </c>
      <c r="C15" s="127" t="s">
        <v>340</v>
      </c>
      <c r="D15" s="122">
        <v>0.2</v>
      </c>
      <c r="E15" s="123">
        <f>E7*$D$15</f>
        <v>74728490.200000003</v>
      </c>
      <c r="F15" s="124">
        <v>1.75E-3</v>
      </c>
      <c r="G15" s="125">
        <v>274</v>
      </c>
      <c r="H15" s="126">
        <f t="shared" ref="H15:H19" si="1">ROUND(E15*F15/365*G15,2)</f>
        <v>98170.72</v>
      </c>
      <c r="J15" s="61"/>
      <c r="K15" s="62"/>
    </row>
    <row r="16" spans="1:26" ht="28.8" x14ac:dyDescent="0.3">
      <c r="B16" s="120">
        <f t="shared" si="0"/>
        <v>1.03</v>
      </c>
      <c r="C16" s="127" t="s">
        <v>341</v>
      </c>
      <c r="D16" s="122">
        <v>0.05</v>
      </c>
      <c r="E16" s="123">
        <f>E7*$D$16</f>
        <v>18682122.550000001</v>
      </c>
      <c r="F16" s="124">
        <v>1.75E-3</v>
      </c>
      <c r="G16" s="125">
        <v>1187</v>
      </c>
      <c r="H16" s="126">
        <f t="shared" si="1"/>
        <v>106321.75</v>
      </c>
      <c r="J16" s="61"/>
      <c r="K16" s="62"/>
    </row>
    <row r="17" spans="2:11" ht="28.8" x14ac:dyDescent="0.3">
      <c r="B17" s="120">
        <f t="shared" si="0"/>
        <v>1.04</v>
      </c>
      <c r="C17" s="127" t="s">
        <v>342</v>
      </c>
      <c r="D17" s="122">
        <v>1</v>
      </c>
      <c r="E17" s="123">
        <f>E8*$D$17</f>
        <v>0</v>
      </c>
      <c r="F17" s="124">
        <v>1.75E-3</v>
      </c>
      <c r="G17" s="125">
        <v>274</v>
      </c>
      <c r="H17" s="126">
        <f t="shared" si="1"/>
        <v>0</v>
      </c>
      <c r="J17" s="61"/>
      <c r="K17" s="62"/>
    </row>
    <row r="18" spans="2:11" ht="14.4" x14ac:dyDescent="0.3">
      <c r="B18" s="120">
        <f t="shared" si="0"/>
        <v>1.05</v>
      </c>
      <c r="C18" s="121" t="s">
        <v>343</v>
      </c>
      <c r="D18" s="122">
        <v>0.2</v>
      </c>
      <c r="E18" s="123">
        <f>E7*$D$18</f>
        <v>74728490.200000003</v>
      </c>
      <c r="F18" s="124">
        <v>1.75E-3</v>
      </c>
      <c r="G18" s="120">
        <f>(365*5)</f>
        <v>1825</v>
      </c>
      <c r="H18" s="126">
        <f t="shared" si="1"/>
        <v>653874.29</v>
      </c>
      <c r="J18" s="61"/>
      <c r="K18" s="62"/>
    </row>
    <row r="19" spans="2:11" ht="28.8" x14ac:dyDescent="0.3">
      <c r="B19" s="120">
        <f t="shared" si="0"/>
        <v>1.06</v>
      </c>
      <c r="C19" s="121" t="s">
        <v>344</v>
      </c>
      <c r="D19" s="128" t="s">
        <v>345</v>
      </c>
      <c r="E19" s="129">
        <f>+IF(I6&lt;=L6,M6*D22,IF(AND(I6&gt;L6,I6&lt;=L7),M7*D22,IF(AND(I6&gt;L7,I6&lt;=L8),M8*D22,IF(AND(I6&gt;L8,I6&lt;=L9),M9*D22,I6*L10))))</f>
        <v>223200000</v>
      </c>
      <c r="F19" s="124">
        <v>1.75E-3</v>
      </c>
      <c r="G19" s="125">
        <v>92</v>
      </c>
      <c r="H19" s="126">
        <f t="shared" si="1"/>
        <v>98452.6</v>
      </c>
      <c r="I19" s="15"/>
      <c r="J19" s="61"/>
      <c r="K19" s="62"/>
    </row>
    <row r="20" spans="2:11" ht="14.4" x14ac:dyDescent="0.3">
      <c r="B20" s="130"/>
      <c r="C20" s="469" t="s">
        <v>346</v>
      </c>
      <c r="D20" s="452"/>
      <c r="E20" s="452"/>
      <c r="F20" s="452"/>
      <c r="G20" s="453"/>
      <c r="H20" s="131">
        <f>H13</f>
        <v>1005904.7200000001</v>
      </c>
      <c r="J20" s="61"/>
      <c r="K20" s="62"/>
    </row>
    <row r="21" spans="2:11" ht="15.75" customHeight="1" x14ac:dyDescent="0.3">
      <c r="F21" s="461" t="s">
        <v>347</v>
      </c>
      <c r="G21" s="453"/>
      <c r="H21" s="132">
        <v>7000</v>
      </c>
      <c r="J21" s="61"/>
      <c r="K21" s="62"/>
    </row>
    <row r="22" spans="2:11" ht="15.75" customHeight="1" x14ac:dyDescent="0.3">
      <c r="C22" s="1" t="s">
        <v>617</v>
      </c>
      <c r="D22" s="49">
        <v>1116000</v>
      </c>
      <c r="F22" s="461" t="s">
        <v>348</v>
      </c>
      <c r="G22" s="453"/>
      <c r="H22" s="131">
        <f>H20+H21</f>
        <v>1012904.7200000001</v>
      </c>
      <c r="J22" s="61"/>
      <c r="K22" s="62"/>
    </row>
    <row r="23" spans="2:11" ht="15.75" customHeight="1" x14ac:dyDescent="0.3">
      <c r="F23" s="120" t="s">
        <v>349</v>
      </c>
      <c r="G23" s="122">
        <v>0.19</v>
      </c>
      <c r="H23" s="131">
        <f>H22*G23</f>
        <v>192451.89680000002</v>
      </c>
      <c r="J23" s="61"/>
      <c r="K23" s="62"/>
    </row>
    <row r="24" spans="2:11" ht="27" customHeight="1" x14ac:dyDescent="0.3">
      <c r="F24" s="462" t="s">
        <v>350</v>
      </c>
      <c r="G24" s="453"/>
      <c r="H24" s="133">
        <f>ROUND(H22+H23,0)</f>
        <v>1205357</v>
      </c>
      <c r="J24" s="61"/>
      <c r="K24" s="62"/>
    </row>
    <row r="25" spans="2:11" ht="15.75" customHeight="1" x14ac:dyDescent="0.3">
      <c r="J25" s="61"/>
      <c r="K25" s="62"/>
    </row>
    <row r="26" spans="2:11" ht="15.75" customHeight="1" x14ac:dyDescent="0.3">
      <c r="J26" s="61"/>
      <c r="K26" s="62"/>
    </row>
    <row r="27" spans="2:11" ht="15.75" customHeight="1" x14ac:dyDescent="0.3">
      <c r="J27" s="61"/>
      <c r="K27" s="62"/>
    </row>
    <row r="28" spans="2:11" ht="15.75" customHeight="1" x14ac:dyDescent="0.3">
      <c r="J28" s="61"/>
      <c r="K28" s="62"/>
    </row>
    <row r="29" spans="2:11" ht="15.75" customHeight="1" x14ac:dyDescent="0.3">
      <c r="J29" s="61"/>
      <c r="K29" s="62"/>
    </row>
    <row r="30" spans="2:11" ht="15.75" customHeight="1" x14ac:dyDescent="0.3">
      <c r="J30" s="61"/>
      <c r="K30" s="62"/>
    </row>
    <row r="31" spans="2:11" ht="15.75" customHeight="1" x14ac:dyDescent="0.3">
      <c r="J31" s="61"/>
      <c r="K31" s="62"/>
    </row>
    <row r="32" spans="2:11" ht="15.75" customHeight="1" x14ac:dyDescent="0.3">
      <c r="J32" s="61"/>
      <c r="K32" s="62"/>
    </row>
    <row r="33" spans="10:11" ht="15.75" customHeight="1" x14ac:dyDescent="0.3">
      <c r="J33" s="61"/>
      <c r="K33" s="62"/>
    </row>
    <row r="34" spans="10:11" ht="15.75" customHeight="1" x14ac:dyDescent="0.3">
      <c r="J34" s="61"/>
      <c r="K34" s="62"/>
    </row>
    <row r="35" spans="10:11" ht="15.75" customHeight="1" x14ac:dyDescent="0.3">
      <c r="J35" s="61"/>
      <c r="K35" s="62"/>
    </row>
    <row r="36" spans="10:11" ht="15.75" customHeight="1" x14ac:dyDescent="0.3">
      <c r="J36" s="61"/>
      <c r="K36" s="62"/>
    </row>
    <row r="37" spans="10:11" ht="15.75" customHeight="1" x14ac:dyDescent="0.3">
      <c r="J37" s="61"/>
      <c r="K37" s="62"/>
    </row>
    <row r="38" spans="10:11" ht="15.75" customHeight="1" x14ac:dyDescent="0.3">
      <c r="J38" s="61"/>
      <c r="K38" s="62"/>
    </row>
    <row r="39" spans="10:11" ht="15.75" customHeight="1" x14ac:dyDescent="0.3">
      <c r="J39" s="61"/>
      <c r="K39" s="62"/>
    </row>
    <row r="40" spans="10:11" ht="15.75" customHeight="1" x14ac:dyDescent="0.3">
      <c r="J40" s="61"/>
      <c r="K40" s="62"/>
    </row>
    <row r="41" spans="10:11" ht="15.75" customHeight="1" x14ac:dyDescent="0.3">
      <c r="J41" s="61"/>
      <c r="K41" s="62"/>
    </row>
    <row r="42" spans="10:11" ht="15.75" customHeight="1" x14ac:dyDescent="0.3">
      <c r="J42" s="61"/>
      <c r="K42" s="62"/>
    </row>
    <row r="43" spans="10:11" ht="15.75" customHeight="1" x14ac:dyDescent="0.3">
      <c r="J43" s="61"/>
      <c r="K43" s="62"/>
    </row>
    <row r="44" spans="10:11" ht="15.75" customHeight="1" x14ac:dyDescent="0.3">
      <c r="J44" s="61"/>
      <c r="K44" s="62"/>
    </row>
    <row r="45" spans="10:11" ht="15.75" customHeight="1" x14ac:dyDescent="0.3">
      <c r="J45" s="61"/>
      <c r="K45" s="62"/>
    </row>
    <row r="46" spans="10:11" ht="15.75" customHeight="1" x14ac:dyDescent="0.3">
      <c r="J46" s="61"/>
      <c r="K46" s="62"/>
    </row>
    <row r="47" spans="10:11" ht="15.75" customHeight="1" x14ac:dyDescent="0.3">
      <c r="J47" s="61"/>
      <c r="K47" s="62"/>
    </row>
    <row r="48" spans="10:11" ht="15.75" customHeight="1" x14ac:dyDescent="0.3">
      <c r="J48" s="61"/>
      <c r="K48" s="62"/>
    </row>
    <row r="49" spans="10:11" ht="15.75" customHeight="1" x14ac:dyDescent="0.3">
      <c r="J49" s="61"/>
      <c r="K49" s="62"/>
    </row>
    <row r="50" spans="10:11" ht="15.75" customHeight="1" x14ac:dyDescent="0.3">
      <c r="J50" s="61"/>
      <c r="K50" s="62"/>
    </row>
    <row r="51" spans="10:11" ht="15.75" customHeight="1" x14ac:dyDescent="0.3">
      <c r="J51" s="61"/>
      <c r="K51" s="62"/>
    </row>
    <row r="52" spans="10:11" ht="15.75" customHeight="1" x14ac:dyDescent="0.3">
      <c r="J52" s="61"/>
      <c r="K52" s="62"/>
    </row>
    <row r="53" spans="10:11" ht="15.75" customHeight="1" x14ac:dyDescent="0.3">
      <c r="J53" s="61"/>
      <c r="K53" s="62"/>
    </row>
    <row r="54" spans="10:11" ht="15.75" customHeight="1" x14ac:dyDescent="0.3">
      <c r="J54" s="61"/>
      <c r="K54" s="62"/>
    </row>
    <row r="55" spans="10:11" ht="15.75" customHeight="1" x14ac:dyDescent="0.3">
      <c r="J55" s="61"/>
      <c r="K55" s="62"/>
    </row>
    <row r="56" spans="10:11" ht="15.75" customHeight="1" x14ac:dyDescent="0.3">
      <c r="J56" s="61"/>
      <c r="K56" s="62"/>
    </row>
    <row r="57" spans="10:11" ht="15.75" customHeight="1" x14ac:dyDescent="0.3">
      <c r="J57" s="61"/>
      <c r="K57" s="62"/>
    </row>
    <row r="58" spans="10:11" ht="15.75" customHeight="1" x14ac:dyDescent="0.3">
      <c r="J58" s="61"/>
      <c r="K58" s="62"/>
    </row>
    <row r="59" spans="10:11" ht="15.75" customHeight="1" x14ac:dyDescent="0.3">
      <c r="J59" s="61"/>
      <c r="K59" s="62"/>
    </row>
    <row r="60" spans="10:11" ht="15.75" customHeight="1" x14ac:dyDescent="0.3">
      <c r="J60" s="61"/>
      <c r="K60" s="62"/>
    </row>
    <row r="61" spans="10:11" ht="15.75" customHeight="1" x14ac:dyDescent="0.3">
      <c r="J61" s="61"/>
      <c r="K61" s="62"/>
    </row>
    <row r="62" spans="10:11" ht="15.75" customHeight="1" x14ac:dyDescent="0.3">
      <c r="J62" s="61"/>
      <c r="K62" s="62"/>
    </row>
    <row r="63" spans="10:11" ht="15.75" customHeight="1" x14ac:dyDescent="0.3">
      <c r="J63" s="61"/>
      <c r="K63" s="62"/>
    </row>
    <row r="64" spans="10:11" ht="15.75" customHeight="1" x14ac:dyDescent="0.3">
      <c r="J64" s="61"/>
      <c r="K64" s="62"/>
    </row>
    <row r="65" spans="10:11" ht="15.75" customHeight="1" x14ac:dyDescent="0.3">
      <c r="J65" s="61"/>
      <c r="K65" s="62"/>
    </row>
    <row r="66" spans="10:11" ht="15.75" customHeight="1" x14ac:dyDescent="0.3">
      <c r="J66" s="61"/>
      <c r="K66" s="62"/>
    </row>
    <row r="67" spans="10:11" ht="15.75" customHeight="1" x14ac:dyDescent="0.3">
      <c r="J67" s="61"/>
      <c r="K67" s="62"/>
    </row>
    <row r="68" spans="10:11" ht="15.75" customHeight="1" x14ac:dyDescent="0.3">
      <c r="J68" s="61"/>
      <c r="K68" s="62"/>
    </row>
    <row r="69" spans="10:11" ht="15.75" customHeight="1" x14ac:dyDescent="0.3">
      <c r="J69" s="61"/>
      <c r="K69" s="62"/>
    </row>
    <row r="70" spans="10:11" ht="15.75" customHeight="1" x14ac:dyDescent="0.3">
      <c r="J70" s="61"/>
      <c r="K70" s="62"/>
    </row>
    <row r="71" spans="10:11" ht="15.75" customHeight="1" x14ac:dyDescent="0.3">
      <c r="J71" s="61"/>
      <c r="K71" s="62"/>
    </row>
    <row r="72" spans="10:11" ht="15.75" customHeight="1" x14ac:dyDescent="0.3">
      <c r="J72" s="61"/>
      <c r="K72" s="62"/>
    </row>
    <row r="73" spans="10:11" ht="15.75" customHeight="1" x14ac:dyDescent="0.3">
      <c r="J73" s="61"/>
      <c r="K73" s="62"/>
    </row>
    <row r="74" spans="10:11" ht="15.75" customHeight="1" x14ac:dyDescent="0.3">
      <c r="J74" s="61"/>
      <c r="K74" s="62"/>
    </row>
    <row r="75" spans="10:11" ht="15.75" customHeight="1" x14ac:dyDescent="0.3">
      <c r="J75" s="61"/>
      <c r="K75" s="62"/>
    </row>
    <row r="76" spans="10:11" ht="15.75" customHeight="1" x14ac:dyDescent="0.3">
      <c r="J76" s="61"/>
      <c r="K76" s="62"/>
    </row>
    <row r="77" spans="10:11" ht="15.75" customHeight="1" x14ac:dyDescent="0.3">
      <c r="J77" s="61"/>
      <c r="K77" s="62"/>
    </row>
    <row r="78" spans="10:11" ht="15.75" customHeight="1" x14ac:dyDescent="0.3">
      <c r="J78" s="61"/>
      <c r="K78" s="62"/>
    </row>
    <row r="79" spans="10:11" ht="15.75" customHeight="1" x14ac:dyDescent="0.3">
      <c r="J79" s="61"/>
      <c r="K79" s="62"/>
    </row>
    <row r="80" spans="10:11" ht="15.75" customHeight="1" x14ac:dyDescent="0.3">
      <c r="J80" s="61"/>
      <c r="K80" s="62"/>
    </row>
    <row r="81" spans="10:11" ht="15.75" customHeight="1" x14ac:dyDescent="0.3">
      <c r="J81" s="61"/>
      <c r="K81" s="62"/>
    </row>
    <row r="82" spans="10:11" ht="15.75" customHeight="1" x14ac:dyDescent="0.3">
      <c r="J82" s="61"/>
      <c r="K82" s="62"/>
    </row>
    <row r="83" spans="10:11" ht="15.75" customHeight="1" x14ac:dyDescent="0.3">
      <c r="J83" s="61"/>
      <c r="K83" s="62"/>
    </row>
    <row r="84" spans="10:11" ht="15.75" customHeight="1" x14ac:dyDescent="0.3">
      <c r="J84" s="61"/>
      <c r="K84" s="62"/>
    </row>
    <row r="85" spans="10:11" ht="15.75" customHeight="1" x14ac:dyDescent="0.3">
      <c r="J85" s="61"/>
      <c r="K85" s="62"/>
    </row>
    <row r="86" spans="10:11" ht="15.75" customHeight="1" x14ac:dyDescent="0.3">
      <c r="J86" s="61"/>
      <c r="K86" s="62"/>
    </row>
    <row r="87" spans="10:11" ht="15.75" customHeight="1" x14ac:dyDescent="0.3">
      <c r="J87" s="61"/>
      <c r="K87" s="62"/>
    </row>
    <row r="88" spans="10:11" ht="15.75" customHeight="1" x14ac:dyDescent="0.3">
      <c r="J88" s="61"/>
      <c r="K88" s="62"/>
    </row>
    <row r="89" spans="10:11" ht="15.75" customHeight="1" x14ac:dyDescent="0.3">
      <c r="J89" s="61"/>
      <c r="K89" s="62"/>
    </row>
    <row r="90" spans="10:11" ht="15.75" customHeight="1" x14ac:dyDescent="0.3">
      <c r="J90" s="61"/>
      <c r="K90" s="62"/>
    </row>
    <row r="91" spans="10:11" ht="15.75" customHeight="1" x14ac:dyDescent="0.3">
      <c r="J91" s="61"/>
      <c r="K91" s="62"/>
    </row>
    <row r="92" spans="10:11" ht="15.75" customHeight="1" x14ac:dyDescent="0.3">
      <c r="J92" s="61"/>
      <c r="K92" s="62"/>
    </row>
    <row r="93" spans="10:11" ht="15.75" customHeight="1" x14ac:dyDescent="0.3">
      <c r="J93" s="61"/>
      <c r="K93" s="62"/>
    </row>
    <row r="94" spans="10:11" ht="15.75" customHeight="1" x14ac:dyDescent="0.3">
      <c r="J94" s="61"/>
      <c r="K94" s="62"/>
    </row>
    <row r="95" spans="10:11" ht="15.75" customHeight="1" x14ac:dyDescent="0.3">
      <c r="J95" s="61"/>
      <c r="K95" s="62"/>
    </row>
    <row r="96" spans="10:11" ht="15.75" customHeight="1" x14ac:dyDescent="0.3">
      <c r="J96" s="61"/>
      <c r="K96" s="62"/>
    </row>
    <row r="97" spans="10:11" ht="15.75" customHeight="1" x14ac:dyDescent="0.3">
      <c r="J97" s="61"/>
      <c r="K97" s="62"/>
    </row>
    <row r="98" spans="10:11" ht="15.75" customHeight="1" x14ac:dyDescent="0.3">
      <c r="J98" s="61"/>
      <c r="K98" s="62"/>
    </row>
    <row r="99" spans="10:11" ht="15.75" customHeight="1" x14ac:dyDescent="0.3">
      <c r="J99" s="61"/>
      <c r="K99" s="62"/>
    </row>
    <row r="100" spans="10:11" ht="15.75" customHeight="1" x14ac:dyDescent="0.3">
      <c r="J100" s="61"/>
      <c r="K100" s="62"/>
    </row>
    <row r="101" spans="10:11" ht="15.75" customHeight="1" x14ac:dyDescent="0.3">
      <c r="J101" s="61"/>
      <c r="K101" s="62"/>
    </row>
    <row r="102" spans="10:11" ht="15.75" customHeight="1" x14ac:dyDescent="0.3">
      <c r="J102" s="61"/>
      <c r="K102" s="62"/>
    </row>
    <row r="103" spans="10:11" ht="15.75" customHeight="1" x14ac:dyDescent="0.3">
      <c r="J103" s="61"/>
      <c r="K103" s="62"/>
    </row>
    <row r="104" spans="10:11" ht="15.75" customHeight="1" x14ac:dyDescent="0.3">
      <c r="J104" s="61"/>
      <c r="K104" s="62"/>
    </row>
    <row r="105" spans="10:11" ht="15.75" customHeight="1" x14ac:dyDescent="0.3">
      <c r="J105" s="61"/>
      <c r="K105" s="62"/>
    </row>
    <row r="106" spans="10:11" ht="15.75" customHeight="1" x14ac:dyDescent="0.3">
      <c r="J106" s="61"/>
      <c r="K106" s="62"/>
    </row>
    <row r="107" spans="10:11" ht="15.75" customHeight="1" x14ac:dyDescent="0.3">
      <c r="J107" s="61"/>
      <c r="K107" s="62"/>
    </row>
    <row r="108" spans="10:11" ht="15.75" customHeight="1" x14ac:dyDescent="0.3">
      <c r="J108" s="61"/>
      <c r="K108" s="62"/>
    </row>
    <row r="109" spans="10:11" ht="15.75" customHeight="1" x14ac:dyDescent="0.3">
      <c r="J109" s="61"/>
      <c r="K109" s="62"/>
    </row>
    <row r="110" spans="10:11" ht="15.75" customHeight="1" x14ac:dyDescent="0.3">
      <c r="J110" s="61"/>
      <c r="K110" s="62"/>
    </row>
    <row r="111" spans="10:11" ht="15.75" customHeight="1" x14ac:dyDescent="0.3">
      <c r="J111" s="61"/>
      <c r="K111" s="62"/>
    </row>
    <row r="112" spans="10:11" ht="15.75" customHeight="1" x14ac:dyDescent="0.3">
      <c r="J112" s="61"/>
      <c r="K112" s="62"/>
    </row>
    <row r="113" spans="10:11" ht="15.75" customHeight="1" x14ac:dyDescent="0.3">
      <c r="J113" s="61"/>
      <c r="K113" s="62"/>
    </row>
    <row r="114" spans="10:11" ht="15.75" customHeight="1" x14ac:dyDescent="0.3">
      <c r="J114" s="61"/>
      <c r="K114" s="62"/>
    </row>
    <row r="115" spans="10:11" ht="15.75" customHeight="1" x14ac:dyDescent="0.3">
      <c r="J115" s="61"/>
      <c r="K115" s="62"/>
    </row>
    <row r="116" spans="10:11" ht="15.75" customHeight="1" x14ac:dyDescent="0.3">
      <c r="J116" s="61"/>
      <c r="K116" s="62"/>
    </row>
    <row r="117" spans="10:11" ht="15.75" customHeight="1" x14ac:dyDescent="0.3">
      <c r="J117" s="61"/>
      <c r="K117" s="62"/>
    </row>
    <row r="118" spans="10:11" ht="15.75" customHeight="1" x14ac:dyDescent="0.3">
      <c r="J118" s="61"/>
      <c r="K118" s="62"/>
    </row>
    <row r="119" spans="10:11" ht="15.75" customHeight="1" x14ac:dyDescent="0.3">
      <c r="J119" s="61"/>
      <c r="K119" s="62"/>
    </row>
    <row r="120" spans="10:11" ht="15.75" customHeight="1" x14ac:dyDescent="0.3">
      <c r="J120" s="61"/>
      <c r="K120" s="62"/>
    </row>
    <row r="121" spans="10:11" ht="15.75" customHeight="1" x14ac:dyDescent="0.3">
      <c r="J121" s="61"/>
      <c r="K121" s="62"/>
    </row>
    <row r="122" spans="10:11" ht="15.75" customHeight="1" x14ac:dyDescent="0.3">
      <c r="J122" s="61"/>
      <c r="K122" s="62"/>
    </row>
    <row r="123" spans="10:11" ht="15.75" customHeight="1" x14ac:dyDescent="0.3">
      <c r="J123" s="61"/>
      <c r="K123" s="62"/>
    </row>
    <row r="124" spans="10:11" ht="15.75" customHeight="1" x14ac:dyDescent="0.3">
      <c r="J124" s="61"/>
      <c r="K124" s="62"/>
    </row>
    <row r="125" spans="10:11" ht="15.75" customHeight="1" x14ac:dyDescent="0.3">
      <c r="J125" s="61"/>
      <c r="K125" s="62"/>
    </row>
    <row r="126" spans="10:11" ht="15.75" customHeight="1" x14ac:dyDescent="0.3">
      <c r="J126" s="61"/>
      <c r="K126" s="62"/>
    </row>
    <row r="127" spans="10:11" ht="15.75" customHeight="1" x14ac:dyDescent="0.3">
      <c r="J127" s="61"/>
      <c r="K127" s="62"/>
    </row>
    <row r="128" spans="10:11" ht="15.75" customHeight="1" x14ac:dyDescent="0.3">
      <c r="J128" s="61"/>
      <c r="K128" s="62"/>
    </row>
    <row r="129" spans="10:11" ht="15.75" customHeight="1" x14ac:dyDescent="0.3">
      <c r="J129" s="61"/>
      <c r="K129" s="62"/>
    </row>
    <row r="130" spans="10:11" ht="15.75" customHeight="1" x14ac:dyDescent="0.3">
      <c r="J130" s="61"/>
      <c r="K130" s="62"/>
    </row>
    <row r="131" spans="10:11" ht="15.75" customHeight="1" x14ac:dyDescent="0.3">
      <c r="J131" s="61"/>
      <c r="K131" s="62"/>
    </row>
    <row r="132" spans="10:11" ht="15.75" customHeight="1" x14ac:dyDescent="0.3">
      <c r="J132" s="61"/>
      <c r="K132" s="62"/>
    </row>
    <row r="133" spans="10:11" ht="15.75" customHeight="1" x14ac:dyDescent="0.3">
      <c r="J133" s="61"/>
      <c r="K133" s="62"/>
    </row>
    <row r="134" spans="10:11" ht="15.75" customHeight="1" x14ac:dyDescent="0.3">
      <c r="J134" s="61"/>
      <c r="K134" s="62"/>
    </row>
    <row r="135" spans="10:11" ht="15.75" customHeight="1" x14ac:dyDescent="0.3">
      <c r="J135" s="61"/>
      <c r="K135" s="62"/>
    </row>
    <row r="136" spans="10:11" ht="15.75" customHeight="1" x14ac:dyDescent="0.3">
      <c r="J136" s="61"/>
      <c r="K136" s="62"/>
    </row>
    <row r="137" spans="10:11" ht="15.75" customHeight="1" x14ac:dyDescent="0.3">
      <c r="J137" s="61"/>
      <c r="K137" s="62"/>
    </row>
    <row r="138" spans="10:11" ht="15.75" customHeight="1" x14ac:dyDescent="0.3">
      <c r="J138" s="61"/>
      <c r="K138" s="62"/>
    </row>
    <row r="139" spans="10:11" ht="15.75" customHeight="1" x14ac:dyDescent="0.3">
      <c r="J139" s="61"/>
      <c r="K139" s="62"/>
    </row>
    <row r="140" spans="10:11" ht="15.75" customHeight="1" x14ac:dyDescent="0.3">
      <c r="J140" s="61"/>
      <c r="K140" s="62"/>
    </row>
    <row r="141" spans="10:11" ht="15.75" customHeight="1" x14ac:dyDescent="0.3">
      <c r="J141" s="61"/>
      <c r="K141" s="62"/>
    </row>
    <row r="142" spans="10:11" ht="15.75" customHeight="1" x14ac:dyDescent="0.3">
      <c r="J142" s="61"/>
      <c r="K142" s="62"/>
    </row>
    <row r="143" spans="10:11" ht="15.75" customHeight="1" x14ac:dyDescent="0.3">
      <c r="J143" s="61"/>
      <c r="K143" s="62"/>
    </row>
    <row r="144" spans="10:11" ht="15.75" customHeight="1" x14ac:dyDescent="0.3">
      <c r="J144" s="61"/>
      <c r="K144" s="62"/>
    </row>
    <row r="145" spans="10:11" ht="15.75" customHeight="1" x14ac:dyDescent="0.3">
      <c r="J145" s="61"/>
      <c r="K145" s="62"/>
    </row>
    <row r="146" spans="10:11" ht="15.75" customHeight="1" x14ac:dyDescent="0.3">
      <c r="J146" s="61"/>
      <c r="K146" s="62"/>
    </row>
    <row r="147" spans="10:11" ht="15.75" customHeight="1" x14ac:dyDescent="0.3">
      <c r="J147" s="61"/>
      <c r="K147" s="62"/>
    </row>
    <row r="148" spans="10:11" ht="15.75" customHeight="1" x14ac:dyDescent="0.3">
      <c r="J148" s="61"/>
      <c r="K148" s="62"/>
    </row>
    <row r="149" spans="10:11" ht="15.75" customHeight="1" x14ac:dyDescent="0.3">
      <c r="J149" s="61"/>
      <c r="K149" s="62"/>
    </row>
    <row r="150" spans="10:11" ht="15.75" customHeight="1" x14ac:dyDescent="0.3">
      <c r="J150" s="61"/>
      <c r="K150" s="62"/>
    </row>
    <row r="151" spans="10:11" ht="15.75" customHeight="1" x14ac:dyDescent="0.3">
      <c r="J151" s="61"/>
      <c r="K151" s="62"/>
    </row>
    <row r="152" spans="10:11" ht="15.75" customHeight="1" x14ac:dyDescent="0.3">
      <c r="J152" s="61"/>
      <c r="K152" s="62"/>
    </row>
    <row r="153" spans="10:11" ht="15.75" customHeight="1" x14ac:dyDescent="0.3">
      <c r="J153" s="61"/>
      <c r="K153" s="62"/>
    </row>
    <row r="154" spans="10:11" ht="15.75" customHeight="1" x14ac:dyDescent="0.3">
      <c r="J154" s="61"/>
      <c r="K154" s="62"/>
    </row>
    <row r="155" spans="10:11" ht="15.75" customHeight="1" x14ac:dyDescent="0.3">
      <c r="J155" s="61"/>
      <c r="K155" s="62"/>
    </row>
    <row r="156" spans="10:11" ht="15.75" customHeight="1" x14ac:dyDescent="0.3">
      <c r="J156" s="61"/>
      <c r="K156" s="62"/>
    </row>
    <row r="157" spans="10:11" ht="15.75" customHeight="1" x14ac:dyDescent="0.3">
      <c r="J157" s="61"/>
      <c r="K157" s="62"/>
    </row>
    <row r="158" spans="10:11" ht="15.75" customHeight="1" x14ac:dyDescent="0.3">
      <c r="J158" s="61"/>
      <c r="K158" s="62"/>
    </row>
    <row r="159" spans="10:11" ht="15.75" customHeight="1" x14ac:dyDescent="0.3">
      <c r="J159" s="61"/>
      <c r="K159" s="62"/>
    </row>
    <row r="160" spans="10:11" ht="15.75" customHeight="1" x14ac:dyDescent="0.3">
      <c r="J160" s="61"/>
      <c r="K160" s="62"/>
    </row>
    <row r="161" spans="10:11" ht="15.75" customHeight="1" x14ac:dyDescent="0.3">
      <c r="J161" s="61"/>
      <c r="K161" s="62"/>
    </row>
    <row r="162" spans="10:11" ht="15.75" customHeight="1" x14ac:dyDescent="0.3">
      <c r="J162" s="61"/>
      <c r="K162" s="62"/>
    </row>
    <row r="163" spans="10:11" ht="15.75" customHeight="1" x14ac:dyDescent="0.3">
      <c r="J163" s="61"/>
      <c r="K163" s="62"/>
    </row>
    <row r="164" spans="10:11" ht="15.75" customHeight="1" x14ac:dyDescent="0.3">
      <c r="J164" s="61"/>
      <c r="K164" s="62"/>
    </row>
    <row r="165" spans="10:11" ht="15.75" customHeight="1" x14ac:dyDescent="0.3">
      <c r="J165" s="61"/>
      <c r="K165" s="62"/>
    </row>
    <row r="166" spans="10:11" ht="15.75" customHeight="1" x14ac:dyDescent="0.3">
      <c r="J166" s="61"/>
      <c r="K166" s="62"/>
    </row>
    <row r="167" spans="10:11" ht="15.75" customHeight="1" x14ac:dyDescent="0.3">
      <c r="J167" s="61"/>
      <c r="K167" s="62"/>
    </row>
    <row r="168" spans="10:11" ht="15.75" customHeight="1" x14ac:dyDescent="0.3">
      <c r="J168" s="61"/>
      <c r="K168" s="62"/>
    </row>
    <row r="169" spans="10:11" ht="15.75" customHeight="1" x14ac:dyDescent="0.3">
      <c r="J169" s="61"/>
      <c r="K169" s="62"/>
    </row>
    <row r="170" spans="10:11" ht="15.75" customHeight="1" x14ac:dyDescent="0.3">
      <c r="J170" s="61"/>
      <c r="K170" s="62"/>
    </row>
    <row r="171" spans="10:11" ht="15.75" customHeight="1" x14ac:dyDescent="0.3">
      <c r="J171" s="61"/>
      <c r="K171" s="62"/>
    </row>
    <row r="172" spans="10:11" ht="15.75" customHeight="1" x14ac:dyDescent="0.3">
      <c r="J172" s="61"/>
      <c r="K172" s="62"/>
    </row>
    <row r="173" spans="10:11" ht="15.75" customHeight="1" x14ac:dyDescent="0.3">
      <c r="J173" s="61"/>
      <c r="K173" s="62"/>
    </row>
    <row r="174" spans="10:11" ht="15.75" customHeight="1" x14ac:dyDescent="0.3">
      <c r="J174" s="61"/>
      <c r="K174" s="62"/>
    </row>
    <row r="175" spans="10:11" ht="15.75" customHeight="1" x14ac:dyDescent="0.3">
      <c r="J175" s="61"/>
      <c r="K175" s="62"/>
    </row>
    <row r="176" spans="10:11" ht="15.75" customHeight="1" x14ac:dyDescent="0.3">
      <c r="J176" s="61"/>
      <c r="K176" s="62"/>
    </row>
    <row r="177" spans="10:11" ht="15.75" customHeight="1" x14ac:dyDescent="0.3">
      <c r="J177" s="61"/>
      <c r="K177" s="62"/>
    </row>
    <row r="178" spans="10:11" ht="15.75" customHeight="1" x14ac:dyDescent="0.3">
      <c r="J178" s="61"/>
      <c r="K178" s="62"/>
    </row>
    <row r="179" spans="10:11" ht="15.75" customHeight="1" x14ac:dyDescent="0.3">
      <c r="J179" s="61"/>
      <c r="K179" s="62"/>
    </row>
    <row r="180" spans="10:11" ht="15.75" customHeight="1" x14ac:dyDescent="0.3">
      <c r="J180" s="61"/>
      <c r="K180" s="62"/>
    </row>
    <row r="181" spans="10:11" ht="15.75" customHeight="1" x14ac:dyDescent="0.3">
      <c r="J181" s="61"/>
      <c r="K181" s="62"/>
    </row>
    <row r="182" spans="10:11" ht="15.75" customHeight="1" x14ac:dyDescent="0.3">
      <c r="J182" s="61"/>
      <c r="K182" s="62"/>
    </row>
    <row r="183" spans="10:11" ht="15.75" customHeight="1" x14ac:dyDescent="0.3">
      <c r="J183" s="61"/>
      <c r="K183" s="62"/>
    </row>
    <row r="184" spans="10:11" ht="15.75" customHeight="1" x14ac:dyDescent="0.3">
      <c r="J184" s="61"/>
      <c r="K184" s="62"/>
    </row>
    <row r="185" spans="10:11" ht="15.75" customHeight="1" x14ac:dyDescent="0.3">
      <c r="J185" s="61"/>
      <c r="K185" s="62"/>
    </row>
    <row r="186" spans="10:11" ht="15.75" customHeight="1" x14ac:dyDescent="0.3">
      <c r="J186" s="61"/>
      <c r="K186" s="62"/>
    </row>
    <row r="187" spans="10:11" ht="15.75" customHeight="1" x14ac:dyDescent="0.3">
      <c r="J187" s="61"/>
      <c r="K187" s="62"/>
    </row>
    <row r="188" spans="10:11" ht="15.75" customHeight="1" x14ac:dyDescent="0.3">
      <c r="J188" s="61"/>
      <c r="K188" s="62"/>
    </row>
    <row r="189" spans="10:11" ht="15.75" customHeight="1" x14ac:dyDescent="0.3">
      <c r="J189" s="61"/>
      <c r="K189" s="62"/>
    </row>
    <row r="190" spans="10:11" ht="15.75" customHeight="1" x14ac:dyDescent="0.3">
      <c r="J190" s="61"/>
      <c r="K190" s="62"/>
    </row>
    <row r="191" spans="10:11" ht="15.75" customHeight="1" x14ac:dyDescent="0.3">
      <c r="J191" s="61"/>
      <c r="K191" s="62"/>
    </row>
    <row r="192" spans="10:11" ht="15.75" customHeight="1" x14ac:dyDescent="0.3">
      <c r="J192" s="61"/>
      <c r="K192" s="62"/>
    </row>
    <row r="193" spans="10:11" ht="15.75" customHeight="1" x14ac:dyDescent="0.3">
      <c r="J193" s="61"/>
      <c r="K193" s="62"/>
    </row>
    <row r="194" spans="10:11" ht="15.75" customHeight="1" x14ac:dyDescent="0.3">
      <c r="J194" s="61"/>
      <c r="K194" s="62"/>
    </row>
    <row r="195" spans="10:11" ht="15.75" customHeight="1" x14ac:dyDescent="0.3">
      <c r="J195" s="61"/>
      <c r="K195" s="62"/>
    </row>
    <row r="196" spans="10:11" ht="15.75" customHeight="1" x14ac:dyDescent="0.3">
      <c r="J196" s="61"/>
      <c r="K196" s="62"/>
    </row>
    <row r="197" spans="10:11" ht="15.75" customHeight="1" x14ac:dyDescent="0.3">
      <c r="J197" s="61"/>
      <c r="K197" s="62"/>
    </row>
    <row r="198" spans="10:11" ht="15.75" customHeight="1" x14ac:dyDescent="0.3">
      <c r="J198" s="61"/>
      <c r="K198" s="62"/>
    </row>
    <row r="199" spans="10:11" ht="15.75" customHeight="1" x14ac:dyDescent="0.3">
      <c r="J199" s="61"/>
      <c r="K199" s="62"/>
    </row>
    <row r="200" spans="10:11" ht="15.75" customHeight="1" x14ac:dyDescent="0.3">
      <c r="J200" s="61"/>
      <c r="K200" s="62"/>
    </row>
    <row r="201" spans="10:11" ht="15.75" customHeight="1" x14ac:dyDescent="0.3">
      <c r="J201" s="61"/>
      <c r="K201" s="62"/>
    </row>
    <row r="202" spans="10:11" ht="15.75" customHeight="1" x14ac:dyDescent="0.3">
      <c r="J202" s="61"/>
      <c r="K202" s="62"/>
    </row>
    <row r="203" spans="10:11" ht="15.75" customHeight="1" x14ac:dyDescent="0.3">
      <c r="J203" s="61"/>
      <c r="K203" s="62"/>
    </row>
    <row r="204" spans="10:11" ht="15.75" customHeight="1" x14ac:dyDescent="0.3">
      <c r="J204" s="61"/>
      <c r="K204" s="62"/>
    </row>
    <row r="205" spans="10:11" ht="15.75" customHeight="1" x14ac:dyDescent="0.3">
      <c r="J205" s="61"/>
      <c r="K205" s="62"/>
    </row>
    <row r="206" spans="10:11" ht="15.75" customHeight="1" x14ac:dyDescent="0.3">
      <c r="J206" s="61"/>
      <c r="K206" s="62"/>
    </row>
    <row r="207" spans="10:11" ht="15.75" customHeight="1" x14ac:dyDescent="0.3">
      <c r="J207" s="61"/>
      <c r="K207" s="62"/>
    </row>
    <row r="208" spans="10:11" ht="15.75" customHeight="1" x14ac:dyDescent="0.3">
      <c r="J208" s="61"/>
      <c r="K208" s="62"/>
    </row>
    <row r="209" spans="10:11" ht="15.75" customHeight="1" x14ac:dyDescent="0.3">
      <c r="J209" s="61"/>
      <c r="K209" s="62"/>
    </row>
    <row r="210" spans="10:11" ht="15.75" customHeight="1" x14ac:dyDescent="0.3">
      <c r="J210" s="61"/>
      <c r="K210" s="62"/>
    </row>
    <row r="211" spans="10:11" ht="15.75" customHeight="1" x14ac:dyDescent="0.3">
      <c r="J211" s="61"/>
      <c r="K211" s="62"/>
    </row>
    <row r="212" spans="10:11" ht="15.75" customHeight="1" x14ac:dyDescent="0.3">
      <c r="J212" s="61"/>
      <c r="K212" s="62"/>
    </row>
    <row r="213" spans="10:11" ht="15.75" customHeight="1" x14ac:dyDescent="0.3">
      <c r="J213" s="61"/>
      <c r="K213" s="62"/>
    </row>
    <row r="214" spans="10:11" ht="15.75" customHeight="1" x14ac:dyDescent="0.3">
      <c r="J214" s="61"/>
      <c r="K214" s="62"/>
    </row>
    <row r="215" spans="10:11" ht="15.75" customHeight="1" x14ac:dyDescent="0.3">
      <c r="J215" s="61"/>
      <c r="K215" s="62"/>
    </row>
    <row r="216" spans="10:11" ht="15.75" customHeight="1" x14ac:dyDescent="0.3">
      <c r="J216" s="61"/>
      <c r="K216" s="62"/>
    </row>
    <row r="217" spans="10:11" ht="15.75" customHeight="1" x14ac:dyDescent="0.3">
      <c r="J217" s="61"/>
      <c r="K217" s="62"/>
    </row>
    <row r="218" spans="10:11" ht="15.75" customHeight="1" x14ac:dyDescent="0.3">
      <c r="J218" s="61"/>
      <c r="K218" s="62"/>
    </row>
    <row r="219" spans="10:11" ht="15.75" customHeight="1" x14ac:dyDescent="0.3">
      <c r="J219" s="61"/>
      <c r="K219" s="62"/>
    </row>
    <row r="220" spans="10:11" ht="15.75" customHeight="1" x14ac:dyDescent="0.3">
      <c r="J220" s="61"/>
      <c r="K220" s="62"/>
    </row>
    <row r="221" spans="10:11" ht="15.75" customHeight="1" x14ac:dyDescent="0.3">
      <c r="J221" s="61"/>
      <c r="K221" s="62"/>
    </row>
    <row r="222" spans="10:11" ht="15.75" customHeight="1" x14ac:dyDescent="0.3">
      <c r="J222" s="61"/>
      <c r="K222" s="62"/>
    </row>
    <row r="223" spans="10:11" ht="15.75" customHeight="1" x14ac:dyDescent="0.3">
      <c r="J223" s="61"/>
      <c r="K223" s="62"/>
    </row>
    <row r="224" spans="10:11" ht="15.75" customHeight="1" x14ac:dyDescent="0.3">
      <c r="J224" s="61"/>
      <c r="K224" s="62"/>
    </row>
    <row r="225" spans="10:11" ht="15.75" customHeight="1" x14ac:dyDescent="0.3">
      <c r="J225" s="61"/>
      <c r="K225" s="62"/>
    </row>
    <row r="226" spans="10:11" ht="15.75" customHeight="1" x14ac:dyDescent="0.3">
      <c r="J226" s="61"/>
      <c r="K226" s="62"/>
    </row>
    <row r="227" spans="10:11" ht="15.75" customHeight="1" x14ac:dyDescent="0.3">
      <c r="J227" s="61"/>
      <c r="K227" s="62"/>
    </row>
    <row r="228" spans="10:11" ht="15.75" customHeight="1" x14ac:dyDescent="0.3">
      <c r="J228" s="61"/>
      <c r="K228" s="62"/>
    </row>
    <row r="229" spans="10:11" ht="15.75" customHeight="1" x14ac:dyDescent="0.3">
      <c r="J229" s="61"/>
      <c r="K229" s="62"/>
    </row>
    <row r="230" spans="10:11" ht="15.75" customHeight="1" x14ac:dyDescent="0.3">
      <c r="J230" s="61"/>
      <c r="K230" s="62"/>
    </row>
    <row r="231" spans="10:11" ht="15.75" customHeight="1" x14ac:dyDescent="0.3">
      <c r="J231" s="61"/>
      <c r="K231" s="62"/>
    </row>
    <row r="232" spans="10:11" ht="15.75" customHeight="1" x14ac:dyDescent="0.3">
      <c r="J232" s="61"/>
      <c r="K232" s="62"/>
    </row>
    <row r="233" spans="10:11" ht="15.75" customHeight="1" x14ac:dyDescent="0.3">
      <c r="J233" s="61"/>
      <c r="K233" s="62"/>
    </row>
    <row r="234" spans="10:11" ht="15.75" customHeight="1" x14ac:dyDescent="0.3">
      <c r="J234" s="61"/>
      <c r="K234" s="62"/>
    </row>
    <row r="235" spans="10:11" ht="15.75" customHeight="1" x14ac:dyDescent="0.3">
      <c r="J235" s="61"/>
      <c r="K235" s="62"/>
    </row>
    <row r="236" spans="10:11" ht="15.75" customHeight="1" x14ac:dyDescent="0.3">
      <c r="J236" s="61"/>
      <c r="K236" s="62"/>
    </row>
    <row r="237" spans="10:11" ht="15.75" customHeight="1" x14ac:dyDescent="0.3">
      <c r="J237" s="61"/>
      <c r="K237" s="62"/>
    </row>
    <row r="238" spans="10:11" ht="15.75" customHeight="1" x14ac:dyDescent="0.3">
      <c r="J238" s="61"/>
      <c r="K238" s="62"/>
    </row>
    <row r="239" spans="10:11" ht="15.75" customHeight="1" x14ac:dyDescent="0.3">
      <c r="J239" s="61"/>
      <c r="K239" s="62"/>
    </row>
    <row r="240" spans="10:11" ht="15.75" customHeight="1" x14ac:dyDescent="0.3">
      <c r="J240" s="61"/>
      <c r="K240" s="62"/>
    </row>
    <row r="241" spans="10:11" ht="15.75" customHeight="1" x14ac:dyDescent="0.3">
      <c r="J241" s="61"/>
      <c r="K241" s="62"/>
    </row>
    <row r="242" spans="10:11" ht="15.75" customHeight="1" x14ac:dyDescent="0.3">
      <c r="J242" s="61"/>
      <c r="K242" s="62"/>
    </row>
    <row r="243" spans="10:11" ht="15.75" customHeight="1" x14ac:dyDescent="0.3">
      <c r="J243" s="61"/>
      <c r="K243" s="62"/>
    </row>
    <row r="244" spans="10:11" ht="15.75" customHeight="1" x14ac:dyDescent="0.3">
      <c r="J244" s="61"/>
      <c r="K244" s="62"/>
    </row>
    <row r="245" spans="10:11" ht="15.75" customHeight="1" x14ac:dyDescent="0.3">
      <c r="J245" s="61"/>
      <c r="K245" s="62"/>
    </row>
    <row r="246" spans="10:11" ht="15.75" customHeight="1" x14ac:dyDescent="0.3">
      <c r="J246" s="61"/>
      <c r="K246" s="62"/>
    </row>
    <row r="247" spans="10:11" ht="15.75" customHeight="1" x14ac:dyDescent="0.3">
      <c r="J247" s="61"/>
      <c r="K247" s="62"/>
    </row>
    <row r="248" spans="10:11" ht="15.75" customHeight="1" x14ac:dyDescent="0.3">
      <c r="J248" s="61"/>
      <c r="K248" s="62"/>
    </row>
    <row r="249" spans="10:11" ht="15.75" customHeight="1" x14ac:dyDescent="0.3">
      <c r="J249" s="61"/>
      <c r="K249" s="62"/>
    </row>
    <row r="250" spans="10:11" ht="15.75" customHeight="1" x14ac:dyDescent="0.3">
      <c r="J250" s="61"/>
      <c r="K250" s="62"/>
    </row>
    <row r="251" spans="10:11" ht="15.75" customHeight="1" x14ac:dyDescent="0.3">
      <c r="J251" s="61"/>
      <c r="K251" s="62"/>
    </row>
    <row r="252" spans="10:11" ht="15.75" customHeight="1" x14ac:dyDescent="0.3">
      <c r="J252" s="61"/>
      <c r="K252" s="62"/>
    </row>
    <row r="253" spans="10:11" ht="15.75" customHeight="1" x14ac:dyDescent="0.3">
      <c r="J253" s="61"/>
      <c r="K253" s="62"/>
    </row>
    <row r="254" spans="10:11" ht="15.75" customHeight="1" x14ac:dyDescent="0.3">
      <c r="J254" s="61"/>
      <c r="K254" s="62"/>
    </row>
    <row r="255" spans="10:11" ht="15.75" customHeight="1" x14ac:dyDescent="0.3">
      <c r="J255" s="61"/>
      <c r="K255" s="62"/>
    </row>
    <row r="256" spans="10:11" ht="15.75" customHeight="1" x14ac:dyDescent="0.3">
      <c r="J256" s="61"/>
      <c r="K256" s="62"/>
    </row>
    <row r="257" spans="10:11" ht="15.75" customHeight="1" x14ac:dyDescent="0.3">
      <c r="J257" s="61"/>
      <c r="K257" s="62"/>
    </row>
    <row r="258" spans="10:11" ht="15.75" customHeight="1" x14ac:dyDescent="0.3">
      <c r="J258" s="61"/>
      <c r="K258" s="62"/>
    </row>
    <row r="259" spans="10:11" ht="15.75" customHeight="1" x14ac:dyDescent="0.3">
      <c r="J259" s="61"/>
      <c r="K259" s="62"/>
    </row>
    <row r="260" spans="10:11" ht="15.75" customHeight="1" x14ac:dyDescent="0.3">
      <c r="J260" s="61"/>
      <c r="K260" s="62"/>
    </row>
    <row r="261" spans="10:11" ht="15.75" customHeight="1" x14ac:dyDescent="0.3">
      <c r="J261" s="61"/>
      <c r="K261" s="62"/>
    </row>
    <row r="262" spans="10:11" ht="15.75" customHeight="1" x14ac:dyDescent="0.3">
      <c r="J262" s="61"/>
      <c r="K262" s="62"/>
    </row>
    <row r="263" spans="10:11" ht="15.75" customHeight="1" x14ac:dyDescent="0.3">
      <c r="J263" s="61"/>
      <c r="K263" s="62"/>
    </row>
    <row r="264" spans="10:11" ht="15.75" customHeight="1" x14ac:dyDescent="0.3">
      <c r="J264" s="61"/>
      <c r="K264" s="62"/>
    </row>
    <row r="265" spans="10:11" ht="15.75" customHeight="1" x14ac:dyDescent="0.3">
      <c r="J265" s="61"/>
      <c r="K265" s="62"/>
    </row>
    <row r="266" spans="10:11" ht="15.75" customHeight="1" x14ac:dyDescent="0.3">
      <c r="J266" s="61"/>
      <c r="K266" s="62"/>
    </row>
    <row r="267" spans="10:11" ht="15.75" customHeight="1" x14ac:dyDescent="0.3">
      <c r="J267" s="61"/>
      <c r="K267" s="62"/>
    </row>
    <row r="268" spans="10:11" ht="15.75" customHeight="1" x14ac:dyDescent="0.3">
      <c r="J268" s="61"/>
      <c r="K268" s="62"/>
    </row>
    <row r="269" spans="10:11" ht="15.75" customHeight="1" x14ac:dyDescent="0.3">
      <c r="J269" s="61"/>
      <c r="K269" s="62"/>
    </row>
    <row r="270" spans="10:11" ht="15.75" customHeight="1" x14ac:dyDescent="0.3">
      <c r="J270" s="61"/>
      <c r="K270" s="62"/>
    </row>
    <row r="271" spans="10:11" ht="15.75" customHeight="1" x14ac:dyDescent="0.3">
      <c r="J271" s="61"/>
      <c r="K271" s="62"/>
    </row>
    <row r="272" spans="10:11" ht="15.75" customHeight="1" x14ac:dyDescent="0.3">
      <c r="J272" s="61"/>
      <c r="K272" s="62"/>
    </row>
    <row r="273" spans="10:11" ht="15.75" customHeight="1" x14ac:dyDescent="0.3">
      <c r="J273" s="61"/>
      <c r="K273" s="62"/>
    </row>
    <row r="274" spans="10:11" ht="15.75" customHeight="1" x14ac:dyDescent="0.3">
      <c r="J274" s="61"/>
      <c r="K274" s="62"/>
    </row>
    <row r="275" spans="10:11" ht="15.75" customHeight="1" x14ac:dyDescent="0.3">
      <c r="J275" s="61"/>
      <c r="K275" s="62"/>
    </row>
    <row r="276" spans="10:11" ht="15.75" customHeight="1" x14ac:dyDescent="0.3">
      <c r="J276" s="61"/>
      <c r="K276" s="62"/>
    </row>
    <row r="277" spans="10:11" ht="15.75" customHeight="1" x14ac:dyDescent="0.3">
      <c r="J277" s="61"/>
      <c r="K277" s="62"/>
    </row>
    <row r="278" spans="10:11" ht="15.75" customHeight="1" x14ac:dyDescent="0.3">
      <c r="J278" s="61"/>
      <c r="K278" s="62"/>
    </row>
    <row r="279" spans="10:11" ht="15.75" customHeight="1" x14ac:dyDescent="0.3">
      <c r="J279" s="61"/>
      <c r="K279" s="62"/>
    </row>
    <row r="280" spans="10:11" ht="15.75" customHeight="1" x14ac:dyDescent="0.3">
      <c r="J280" s="61"/>
      <c r="K280" s="62"/>
    </row>
    <row r="281" spans="10:11" ht="15.75" customHeight="1" x14ac:dyDescent="0.3">
      <c r="J281" s="61"/>
      <c r="K281" s="62"/>
    </row>
    <row r="282" spans="10:11" ht="15.75" customHeight="1" x14ac:dyDescent="0.3">
      <c r="J282" s="61"/>
      <c r="K282" s="62"/>
    </row>
    <row r="283" spans="10:11" ht="15.75" customHeight="1" x14ac:dyDescent="0.3">
      <c r="J283" s="61"/>
      <c r="K283" s="62"/>
    </row>
    <row r="284" spans="10:11" ht="15.75" customHeight="1" x14ac:dyDescent="0.3">
      <c r="J284" s="61"/>
      <c r="K284" s="62"/>
    </row>
    <row r="285" spans="10:11" ht="15.75" customHeight="1" x14ac:dyDescent="0.3">
      <c r="J285" s="61"/>
      <c r="K285" s="62"/>
    </row>
    <row r="286" spans="10:11" ht="15.75" customHeight="1" x14ac:dyDescent="0.3">
      <c r="J286" s="61"/>
      <c r="K286" s="62"/>
    </row>
    <row r="287" spans="10:11" ht="15.75" customHeight="1" x14ac:dyDescent="0.3">
      <c r="J287" s="61"/>
      <c r="K287" s="62"/>
    </row>
    <row r="288" spans="10:11" ht="15.75" customHeight="1" x14ac:dyDescent="0.3">
      <c r="J288" s="61"/>
      <c r="K288" s="62"/>
    </row>
    <row r="289" spans="10:11" ht="15.75" customHeight="1" x14ac:dyDescent="0.3">
      <c r="J289" s="61"/>
      <c r="K289" s="62"/>
    </row>
    <row r="290" spans="10:11" ht="15.75" customHeight="1" x14ac:dyDescent="0.3">
      <c r="J290" s="61"/>
      <c r="K290" s="62"/>
    </row>
    <row r="291" spans="10:11" ht="15.75" customHeight="1" x14ac:dyDescent="0.3">
      <c r="J291" s="61"/>
      <c r="K291" s="62"/>
    </row>
    <row r="292" spans="10:11" ht="15.75" customHeight="1" x14ac:dyDescent="0.3">
      <c r="J292" s="61"/>
      <c r="K292" s="62"/>
    </row>
    <row r="293" spans="10:11" ht="15.75" customHeight="1" x14ac:dyDescent="0.3">
      <c r="J293" s="61"/>
      <c r="K293" s="62"/>
    </row>
    <row r="294" spans="10:11" ht="15.75" customHeight="1" x14ac:dyDescent="0.3">
      <c r="J294" s="61"/>
      <c r="K294" s="62"/>
    </row>
    <row r="295" spans="10:11" ht="15.75" customHeight="1" x14ac:dyDescent="0.3">
      <c r="J295" s="61"/>
      <c r="K295" s="62"/>
    </row>
    <row r="296" spans="10:11" ht="15.75" customHeight="1" x14ac:dyDescent="0.3">
      <c r="J296" s="61"/>
      <c r="K296" s="62"/>
    </row>
    <row r="297" spans="10:11" ht="15.75" customHeight="1" x14ac:dyDescent="0.3">
      <c r="J297" s="61"/>
      <c r="K297" s="62"/>
    </row>
    <row r="298" spans="10:11" ht="15.75" customHeight="1" x14ac:dyDescent="0.3">
      <c r="J298" s="61"/>
      <c r="K298" s="62"/>
    </row>
    <row r="299" spans="10:11" ht="15.75" customHeight="1" x14ac:dyDescent="0.3">
      <c r="J299" s="61"/>
      <c r="K299" s="62"/>
    </row>
    <row r="300" spans="10:11" ht="15.75" customHeight="1" x14ac:dyDescent="0.3">
      <c r="J300" s="61"/>
      <c r="K300" s="62"/>
    </row>
    <row r="301" spans="10:11" ht="15.75" customHeight="1" x14ac:dyDescent="0.3">
      <c r="J301" s="61"/>
      <c r="K301" s="62"/>
    </row>
    <row r="302" spans="10:11" ht="15.75" customHeight="1" x14ac:dyDescent="0.3">
      <c r="J302" s="61"/>
      <c r="K302" s="62"/>
    </row>
    <row r="303" spans="10:11" ht="15.75" customHeight="1" x14ac:dyDescent="0.3">
      <c r="J303" s="61"/>
      <c r="K303" s="62"/>
    </row>
    <row r="304" spans="10:11" ht="15.75" customHeight="1" x14ac:dyDescent="0.3">
      <c r="J304" s="61"/>
      <c r="K304" s="62"/>
    </row>
    <row r="305" spans="10:11" ht="15.75" customHeight="1" x14ac:dyDescent="0.3">
      <c r="J305" s="61"/>
      <c r="K305" s="62"/>
    </row>
    <row r="306" spans="10:11" ht="15.75" customHeight="1" x14ac:dyDescent="0.3">
      <c r="J306" s="61"/>
      <c r="K306" s="62"/>
    </row>
    <row r="307" spans="10:11" ht="15.75" customHeight="1" x14ac:dyDescent="0.3">
      <c r="J307" s="61"/>
      <c r="K307" s="62"/>
    </row>
    <row r="308" spans="10:11" ht="15.75" customHeight="1" x14ac:dyDescent="0.3">
      <c r="J308" s="61"/>
      <c r="K308" s="62"/>
    </row>
    <row r="309" spans="10:11" ht="15.75" customHeight="1" x14ac:dyDescent="0.3">
      <c r="J309" s="61"/>
      <c r="K309" s="62"/>
    </row>
    <row r="310" spans="10:11" ht="15.75" customHeight="1" x14ac:dyDescent="0.3">
      <c r="J310" s="61"/>
      <c r="K310" s="62"/>
    </row>
    <row r="311" spans="10:11" ht="15.75" customHeight="1" x14ac:dyDescent="0.3">
      <c r="J311" s="61"/>
      <c r="K311" s="62"/>
    </row>
    <row r="312" spans="10:11" ht="15.75" customHeight="1" x14ac:dyDescent="0.3">
      <c r="J312" s="61"/>
      <c r="K312" s="62"/>
    </row>
    <row r="313" spans="10:11" ht="15.75" customHeight="1" x14ac:dyDescent="0.3">
      <c r="J313" s="61"/>
      <c r="K313" s="62"/>
    </row>
    <row r="314" spans="10:11" ht="15.75" customHeight="1" x14ac:dyDescent="0.3">
      <c r="J314" s="61"/>
      <c r="K314" s="62"/>
    </row>
    <row r="315" spans="10:11" ht="15.75" customHeight="1" x14ac:dyDescent="0.3">
      <c r="J315" s="61"/>
      <c r="K315" s="62"/>
    </row>
    <row r="316" spans="10:11" ht="15.75" customHeight="1" x14ac:dyDescent="0.3">
      <c r="J316" s="61"/>
      <c r="K316" s="62"/>
    </row>
    <row r="317" spans="10:11" ht="15.75" customHeight="1" x14ac:dyDescent="0.3">
      <c r="J317" s="61"/>
      <c r="K317" s="62"/>
    </row>
    <row r="318" spans="10:11" ht="15.75" customHeight="1" x14ac:dyDescent="0.3">
      <c r="J318" s="61"/>
      <c r="K318" s="62"/>
    </row>
    <row r="319" spans="10:11" ht="15.75" customHeight="1" x14ac:dyDescent="0.3">
      <c r="J319" s="61"/>
      <c r="K319" s="62"/>
    </row>
    <row r="320" spans="10:11" ht="15.75" customHeight="1" x14ac:dyDescent="0.3">
      <c r="J320" s="61"/>
      <c r="K320" s="62"/>
    </row>
    <row r="321" spans="10:11" ht="15.75" customHeight="1" x14ac:dyDescent="0.3">
      <c r="J321" s="61"/>
      <c r="K321" s="62"/>
    </row>
    <row r="322" spans="10:11" ht="15.75" customHeight="1" x14ac:dyDescent="0.3">
      <c r="J322" s="61"/>
      <c r="K322" s="62"/>
    </row>
    <row r="323" spans="10:11" ht="15.75" customHeight="1" x14ac:dyDescent="0.3">
      <c r="J323" s="61"/>
      <c r="K323" s="62"/>
    </row>
    <row r="324" spans="10:11" ht="15.75" customHeight="1" x14ac:dyDescent="0.3">
      <c r="J324" s="61"/>
      <c r="K324" s="62"/>
    </row>
    <row r="325" spans="10:11" ht="15.75" customHeight="1" x14ac:dyDescent="0.3">
      <c r="J325" s="61"/>
      <c r="K325" s="62"/>
    </row>
    <row r="326" spans="10:11" ht="15.75" customHeight="1" x14ac:dyDescent="0.3">
      <c r="J326" s="61"/>
      <c r="K326" s="62"/>
    </row>
    <row r="327" spans="10:11" ht="15.75" customHeight="1" x14ac:dyDescent="0.3">
      <c r="J327" s="61"/>
      <c r="K327" s="62"/>
    </row>
    <row r="328" spans="10:11" ht="15.75" customHeight="1" x14ac:dyDescent="0.3">
      <c r="J328" s="61"/>
      <c r="K328" s="62"/>
    </row>
    <row r="329" spans="10:11" ht="15.75" customHeight="1" x14ac:dyDescent="0.3">
      <c r="J329" s="61"/>
      <c r="K329" s="62"/>
    </row>
    <row r="330" spans="10:11" ht="15.75" customHeight="1" x14ac:dyDescent="0.3">
      <c r="J330" s="61"/>
      <c r="K330" s="62"/>
    </row>
    <row r="331" spans="10:11" ht="15.75" customHeight="1" x14ac:dyDescent="0.3">
      <c r="J331" s="61"/>
      <c r="K331" s="62"/>
    </row>
    <row r="332" spans="10:11" ht="15.75" customHeight="1" x14ac:dyDescent="0.3">
      <c r="J332" s="61"/>
      <c r="K332" s="62"/>
    </row>
    <row r="333" spans="10:11" ht="15.75" customHeight="1" x14ac:dyDescent="0.3">
      <c r="J333" s="61"/>
      <c r="K333" s="62"/>
    </row>
    <row r="334" spans="10:11" ht="15.75" customHeight="1" x14ac:dyDescent="0.3">
      <c r="J334" s="61"/>
      <c r="K334" s="62"/>
    </row>
    <row r="335" spans="10:11" ht="15.75" customHeight="1" x14ac:dyDescent="0.3">
      <c r="J335" s="61"/>
      <c r="K335" s="62"/>
    </row>
    <row r="336" spans="10:11" ht="15.75" customHeight="1" x14ac:dyDescent="0.3">
      <c r="J336" s="61"/>
      <c r="K336" s="62"/>
    </row>
    <row r="337" spans="10:11" ht="15.75" customHeight="1" x14ac:dyDescent="0.3">
      <c r="J337" s="61"/>
      <c r="K337" s="62"/>
    </row>
    <row r="338" spans="10:11" ht="15.75" customHeight="1" x14ac:dyDescent="0.3">
      <c r="J338" s="61"/>
      <c r="K338" s="62"/>
    </row>
    <row r="339" spans="10:11" ht="15.75" customHeight="1" x14ac:dyDescent="0.3">
      <c r="J339" s="61"/>
      <c r="K339" s="62"/>
    </row>
    <row r="340" spans="10:11" ht="15.75" customHeight="1" x14ac:dyDescent="0.3">
      <c r="J340" s="61"/>
      <c r="K340" s="62"/>
    </row>
    <row r="341" spans="10:11" ht="15.75" customHeight="1" x14ac:dyDescent="0.3">
      <c r="J341" s="61"/>
      <c r="K341" s="62"/>
    </row>
    <row r="342" spans="10:11" ht="15.75" customHeight="1" x14ac:dyDescent="0.3">
      <c r="J342" s="61"/>
      <c r="K342" s="62"/>
    </row>
    <row r="343" spans="10:11" ht="15.75" customHeight="1" x14ac:dyDescent="0.3">
      <c r="J343" s="61"/>
      <c r="K343" s="62"/>
    </row>
    <row r="344" spans="10:11" ht="15.75" customHeight="1" x14ac:dyDescent="0.3">
      <c r="J344" s="61"/>
      <c r="K344" s="62"/>
    </row>
    <row r="345" spans="10:11" ht="15.75" customHeight="1" x14ac:dyDescent="0.3">
      <c r="J345" s="61"/>
      <c r="K345" s="62"/>
    </row>
    <row r="346" spans="10:11" ht="15.75" customHeight="1" x14ac:dyDescent="0.3">
      <c r="J346" s="61"/>
      <c r="K346" s="62"/>
    </row>
    <row r="347" spans="10:11" ht="15.75" customHeight="1" x14ac:dyDescent="0.3">
      <c r="J347" s="61"/>
      <c r="K347" s="62"/>
    </row>
    <row r="348" spans="10:11" ht="15.75" customHeight="1" x14ac:dyDescent="0.3">
      <c r="J348" s="61"/>
      <c r="K348" s="62"/>
    </row>
    <row r="349" spans="10:11" ht="15.75" customHeight="1" x14ac:dyDescent="0.3">
      <c r="J349" s="61"/>
      <c r="K349" s="62"/>
    </row>
    <row r="350" spans="10:11" ht="15.75" customHeight="1" x14ac:dyDescent="0.3">
      <c r="J350" s="61"/>
      <c r="K350" s="62"/>
    </row>
    <row r="351" spans="10:11" ht="15.75" customHeight="1" x14ac:dyDescent="0.3">
      <c r="J351" s="61"/>
      <c r="K351" s="62"/>
    </row>
    <row r="352" spans="10:11" ht="15.75" customHeight="1" x14ac:dyDescent="0.3">
      <c r="J352" s="61"/>
      <c r="K352" s="62"/>
    </row>
    <row r="353" spans="10:11" ht="15.75" customHeight="1" x14ac:dyDescent="0.3">
      <c r="J353" s="61"/>
      <c r="K353" s="62"/>
    </row>
    <row r="354" spans="10:11" ht="15.75" customHeight="1" x14ac:dyDescent="0.3">
      <c r="J354" s="61"/>
      <c r="K354" s="62"/>
    </row>
    <row r="355" spans="10:11" ht="15.75" customHeight="1" x14ac:dyDescent="0.3">
      <c r="J355" s="61"/>
      <c r="K355" s="62"/>
    </row>
    <row r="356" spans="10:11" ht="15.75" customHeight="1" x14ac:dyDescent="0.3">
      <c r="J356" s="61"/>
      <c r="K356" s="62"/>
    </row>
    <row r="357" spans="10:11" ht="15.75" customHeight="1" x14ac:dyDescent="0.3">
      <c r="J357" s="61"/>
      <c r="K357" s="62"/>
    </row>
    <row r="358" spans="10:11" ht="15.75" customHeight="1" x14ac:dyDescent="0.3">
      <c r="J358" s="61"/>
      <c r="K358" s="62"/>
    </row>
    <row r="359" spans="10:11" ht="15.75" customHeight="1" x14ac:dyDescent="0.3">
      <c r="J359" s="61"/>
      <c r="K359" s="62"/>
    </row>
    <row r="360" spans="10:11" ht="15.75" customHeight="1" x14ac:dyDescent="0.3">
      <c r="J360" s="61"/>
      <c r="K360" s="62"/>
    </row>
    <row r="361" spans="10:11" ht="15.75" customHeight="1" x14ac:dyDescent="0.3">
      <c r="J361" s="61"/>
      <c r="K361" s="62"/>
    </row>
    <row r="362" spans="10:11" ht="15.75" customHeight="1" x14ac:dyDescent="0.3">
      <c r="J362" s="61"/>
      <c r="K362" s="62"/>
    </row>
    <row r="363" spans="10:11" ht="15.75" customHeight="1" x14ac:dyDescent="0.3">
      <c r="J363" s="61"/>
      <c r="K363" s="62"/>
    </row>
    <row r="364" spans="10:11" ht="15.75" customHeight="1" x14ac:dyDescent="0.3">
      <c r="J364" s="61"/>
      <c r="K364" s="62"/>
    </row>
    <row r="365" spans="10:11" ht="15.75" customHeight="1" x14ac:dyDescent="0.3">
      <c r="J365" s="61"/>
      <c r="K365" s="62"/>
    </row>
    <row r="366" spans="10:11" ht="15.75" customHeight="1" x14ac:dyDescent="0.3">
      <c r="J366" s="61"/>
      <c r="K366" s="62"/>
    </row>
    <row r="367" spans="10:11" ht="15.75" customHeight="1" x14ac:dyDescent="0.3">
      <c r="J367" s="61"/>
      <c r="K367" s="62"/>
    </row>
    <row r="368" spans="10:11" ht="15.75" customHeight="1" x14ac:dyDescent="0.3">
      <c r="J368" s="61"/>
      <c r="K368" s="62"/>
    </row>
    <row r="369" spans="10:11" ht="15.75" customHeight="1" x14ac:dyDescent="0.3">
      <c r="J369" s="61"/>
      <c r="K369" s="62"/>
    </row>
    <row r="370" spans="10:11" ht="15.75" customHeight="1" x14ac:dyDescent="0.3">
      <c r="J370" s="61"/>
      <c r="K370" s="62"/>
    </row>
    <row r="371" spans="10:11" ht="15.75" customHeight="1" x14ac:dyDescent="0.3">
      <c r="J371" s="61"/>
      <c r="K371" s="62"/>
    </row>
    <row r="372" spans="10:11" ht="15.75" customHeight="1" x14ac:dyDescent="0.3">
      <c r="J372" s="61"/>
      <c r="K372" s="62"/>
    </row>
    <row r="373" spans="10:11" ht="15.75" customHeight="1" x14ac:dyDescent="0.3">
      <c r="J373" s="61"/>
      <c r="K373" s="62"/>
    </row>
    <row r="374" spans="10:11" ht="15.75" customHeight="1" x14ac:dyDescent="0.3">
      <c r="J374" s="61"/>
      <c r="K374" s="62"/>
    </row>
    <row r="375" spans="10:11" ht="15.75" customHeight="1" x14ac:dyDescent="0.3">
      <c r="J375" s="61"/>
      <c r="K375" s="62"/>
    </row>
    <row r="376" spans="10:11" ht="15.75" customHeight="1" x14ac:dyDescent="0.3">
      <c r="J376" s="61"/>
      <c r="K376" s="62"/>
    </row>
    <row r="377" spans="10:11" ht="15.75" customHeight="1" x14ac:dyDescent="0.3">
      <c r="J377" s="61"/>
      <c r="K377" s="62"/>
    </row>
    <row r="378" spans="10:11" ht="15.75" customHeight="1" x14ac:dyDescent="0.3">
      <c r="J378" s="61"/>
      <c r="K378" s="62"/>
    </row>
    <row r="379" spans="10:11" ht="15.75" customHeight="1" x14ac:dyDescent="0.3">
      <c r="J379" s="61"/>
      <c r="K379" s="62"/>
    </row>
    <row r="380" spans="10:11" ht="15.75" customHeight="1" x14ac:dyDescent="0.3">
      <c r="J380" s="61"/>
      <c r="K380" s="62"/>
    </row>
    <row r="381" spans="10:11" ht="15.75" customHeight="1" x14ac:dyDescent="0.3">
      <c r="J381" s="61"/>
      <c r="K381" s="62"/>
    </row>
    <row r="382" spans="10:11" ht="15.75" customHeight="1" x14ac:dyDescent="0.3">
      <c r="J382" s="61"/>
      <c r="K382" s="62"/>
    </row>
    <row r="383" spans="10:11" ht="15.75" customHeight="1" x14ac:dyDescent="0.3">
      <c r="J383" s="61"/>
      <c r="K383" s="62"/>
    </row>
    <row r="384" spans="10:11" ht="15.75" customHeight="1" x14ac:dyDescent="0.3">
      <c r="J384" s="61"/>
      <c r="K384" s="62"/>
    </row>
    <row r="385" spans="10:11" ht="15.75" customHeight="1" x14ac:dyDescent="0.3">
      <c r="J385" s="61"/>
      <c r="K385" s="62"/>
    </row>
    <row r="386" spans="10:11" ht="15.75" customHeight="1" x14ac:dyDescent="0.3">
      <c r="J386" s="61"/>
      <c r="K386" s="62"/>
    </row>
    <row r="387" spans="10:11" ht="15.75" customHeight="1" x14ac:dyDescent="0.3">
      <c r="J387" s="61"/>
      <c r="K387" s="62"/>
    </row>
    <row r="388" spans="10:11" ht="15.75" customHeight="1" x14ac:dyDescent="0.3">
      <c r="J388" s="61"/>
      <c r="K388" s="62"/>
    </row>
    <row r="389" spans="10:11" ht="15.75" customHeight="1" x14ac:dyDescent="0.3">
      <c r="J389" s="61"/>
      <c r="K389" s="62"/>
    </row>
    <row r="390" spans="10:11" ht="15.75" customHeight="1" x14ac:dyDescent="0.3">
      <c r="J390" s="61"/>
      <c r="K390" s="62"/>
    </row>
    <row r="391" spans="10:11" ht="15.75" customHeight="1" x14ac:dyDescent="0.3">
      <c r="J391" s="61"/>
      <c r="K391" s="62"/>
    </row>
    <row r="392" spans="10:11" ht="15.75" customHeight="1" x14ac:dyDescent="0.3">
      <c r="J392" s="61"/>
      <c r="K392" s="62"/>
    </row>
    <row r="393" spans="10:11" ht="15.75" customHeight="1" x14ac:dyDescent="0.3">
      <c r="J393" s="61"/>
      <c r="K393" s="62"/>
    </row>
    <row r="394" spans="10:11" ht="15.75" customHeight="1" x14ac:dyDescent="0.3">
      <c r="J394" s="61"/>
      <c r="K394" s="62"/>
    </row>
    <row r="395" spans="10:11" ht="15.75" customHeight="1" x14ac:dyDescent="0.3">
      <c r="J395" s="61"/>
      <c r="K395" s="62"/>
    </row>
    <row r="396" spans="10:11" ht="15.75" customHeight="1" x14ac:dyDescent="0.3">
      <c r="J396" s="61"/>
      <c r="K396" s="62"/>
    </row>
    <row r="397" spans="10:11" ht="15.75" customHeight="1" x14ac:dyDescent="0.3">
      <c r="J397" s="61"/>
      <c r="K397" s="62"/>
    </row>
    <row r="398" spans="10:11" ht="15.75" customHeight="1" x14ac:dyDescent="0.3">
      <c r="J398" s="61"/>
      <c r="K398" s="62"/>
    </row>
    <row r="399" spans="10:11" ht="15.75" customHeight="1" x14ac:dyDescent="0.3">
      <c r="J399" s="61"/>
      <c r="K399" s="62"/>
    </row>
    <row r="400" spans="10:11" ht="15.75" customHeight="1" x14ac:dyDescent="0.3">
      <c r="J400" s="61"/>
      <c r="K400" s="62"/>
    </row>
    <row r="401" spans="10:11" ht="15.75" customHeight="1" x14ac:dyDescent="0.3">
      <c r="J401" s="61"/>
      <c r="K401" s="62"/>
    </row>
    <row r="402" spans="10:11" ht="15.75" customHeight="1" x14ac:dyDescent="0.3">
      <c r="J402" s="61"/>
      <c r="K402" s="62"/>
    </row>
    <row r="403" spans="10:11" ht="15.75" customHeight="1" x14ac:dyDescent="0.3">
      <c r="J403" s="61"/>
      <c r="K403" s="62"/>
    </row>
    <row r="404" spans="10:11" ht="15.75" customHeight="1" x14ac:dyDescent="0.3">
      <c r="J404" s="61"/>
      <c r="K404" s="62"/>
    </row>
    <row r="405" spans="10:11" ht="15.75" customHeight="1" x14ac:dyDescent="0.3">
      <c r="J405" s="61"/>
      <c r="K405" s="62"/>
    </row>
    <row r="406" spans="10:11" ht="15.75" customHeight="1" x14ac:dyDescent="0.3">
      <c r="J406" s="61"/>
      <c r="K406" s="62"/>
    </row>
    <row r="407" spans="10:11" ht="15.75" customHeight="1" x14ac:dyDescent="0.3">
      <c r="J407" s="61"/>
      <c r="K407" s="62"/>
    </row>
    <row r="408" spans="10:11" ht="15.75" customHeight="1" x14ac:dyDescent="0.3">
      <c r="J408" s="61"/>
      <c r="K408" s="62"/>
    </row>
    <row r="409" spans="10:11" ht="15.75" customHeight="1" x14ac:dyDescent="0.3">
      <c r="J409" s="61"/>
      <c r="K409" s="62"/>
    </row>
    <row r="410" spans="10:11" ht="15.75" customHeight="1" x14ac:dyDescent="0.3">
      <c r="J410" s="61"/>
      <c r="K410" s="62"/>
    </row>
    <row r="411" spans="10:11" ht="15.75" customHeight="1" x14ac:dyDescent="0.3">
      <c r="J411" s="61"/>
      <c r="K411" s="62"/>
    </row>
    <row r="412" spans="10:11" ht="15.75" customHeight="1" x14ac:dyDescent="0.3">
      <c r="J412" s="61"/>
      <c r="K412" s="62"/>
    </row>
    <row r="413" spans="10:11" ht="15.75" customHeight="1" x14ac:dyDescent="0.3">
      <c r="J413" s="61"/>
      <c r="K413" s="62"/>
    </row>
    <row r="414" spans="10:11" ht="15.75" customHeight="1" x14ac:dyDescent="0.3">
      <c r="J414" s="61"/>
      <c r="K414" s="62"/>
    </row>
    <row r="415" spans="10:11" ht="15.75" customHeight="1" x14ac:dyDescent="0.3">
      <c r="J415" s="61"/>
      <c r="K415" s="62"/>
    </row>
    <row r="416" spans="10:11" ht="15.75" customHeight="1" x14ac:dyDescent="0.3">
      <c r="J416" s="61"/>
      <c r="K416" s="62"/>
    </row>
    <row r="417" spans="10:11" ht="15.75" customHeight="1" x14ac:dyDescent="0.3">
      <c r="J417" s="61"/>
      <c r="K417" s="62"/>
    </row>
    <row r="418" spans="10:11" ht="15.75" customHeight="1" x14ac:dyDescent="0.3">
      <c r="J418" s="61"/>
      <c r="K418" s="62"/>
    </row>
    <row r="419" spans="10:11" ht="15.75" customHeight="1" x14ac:dyDescent="0.3">
      <c r="J419" s="61"/>
      <c r="K419" s="62"/>
    </row>
    <row r="420" spans="10:11" ht="15.75" customHeight="1" x14ac:dyDescent="0.3">
      <c r="J420" s="61"/>
      <c r="K420" s="62"/>
    </row>
    <row r="421" spans="10:11" ht="15.75" customHeight="1" x14ac:dyDescent="0.3">
      <c r="J421" s="61"/>
      <c r="K421" s="62"/>
    </row>
    <row r="422" spans="10:11" ht="15.75" customHeight="1" x14ac:dyDescent="0.3">
      <c r="J422" s="61"/>
      <c r="K422" s="62"/>
    </row>
    <row r="423" spans="10:11" ht="15.75" customHeight="1" x14ac:dyDescent="0.3">
      <c r="J423" s="61"/>
      <c r="K423" s="62"/>
    </row>
    <row r="424" spans="10:11" ht="15.75" customHeight="1" x14ac:dyDescent="0.3">
      <c r="J424" s="61"/>
      <c r="K424" s="62"/>
    </row>
    <row r="425" spans="10:11" ht="15.75" customHeight="1" x14ac:dyDescent="0.3">
      <c r="J425" s="61"/>
      <c r="K425" s="62"/>
    </row>
    <row r="426" spans="10:11" ht="15.75" customHeight="1" x14ac:dyDescent="0.3">
      <c r="J426" s="61"/>
      <c r="K426" s="62"/>
    </row>
    <row r="427" spans="10:11" ht="15.75" customHeight="1" x14ac:dyDescent="0.3">
      <c r="J427" s="61"/>
      <c r="K427" s="62"/>
    </row>
    <row r="428" spans="10:11" ht="15.75" customHeight="1" x14ac:dyDescent="0.3">
      <c r="J428" s="61"/>
      <c r="K428" s="62"/>
    </row>
    <row r="429" spans="10:11" ht="15.75" customHeight="1" x14ac:dyDescent="0.3">
      <c r="J429" s="61"/>
      <c r="K429" s="62"/>
    </row>
    <row r="430" spans="10:11" ht="15.75" customHeight="1" x14ac:dyDescent="0.3">
      <c r="J430" s="61"/>
      <c r="K430" s="62"/>
    </row>
    <row r="431" spans="10:11" ht="15.75" customHeight="1" x14ac:dyDescent="0.3">
      <c r="J431" s="61"/>
      <c r="K431" s="62"/>
    </row>
    <row r="432" spans="10:11" ht="15.75" customHeight="1" x14ac:dyDescent="0.3">
      <c r="J432" s="61"/>
      <c r="K432" s="62"/>
    </row>
    <row r="433" spans="10:11" ht="15.75" customHeight="1" x14ac:dyDescent="0.3">
      <c r="J433" s="61"/>
      <c r="K433" s="62"/>
    </row>
    <row r="434" spans="10:11" ht="15.75" customHeight="1" x14ac:dyDescent="0.3">
      <c r="J434" s="61"/>
      <c r="K434" s="62"/>
    </row>
    <row r="435" spans="10:11" ht="15.75" customHeight="1" x14ac:dyDescent="0.3">
      <c r="J435" s="61"/>
      <c r="K435" s="62"/>
    </row>
    <row r="436" spans="10:11" ht="15.75" customHeight="1" x14ac:dyDescent="0.3">
      <c r="J436" s="61"/>
      <c r="K436" s="62"/>
    </row>
    <row r="437" spans="10:11" ht="15.75" customHeight="1" x14ac:dyDescent="0.3">
      <c r="J437" s="61"/>
      <c r="K437" s="62"/>
    </row>
    <row r="438" spans="10:11" ht="15.75" customHeight="1" x14ac:dyDescent="0.3">
      <c r="J438" s="61"/>
      <c r="K438" s="62"/>
    </row>
    <row r="439" spans="10:11" ht="15.75" customHeight="1" x14ac:dyDescent="0.3">
      <c r="J439" s="61"/>
      <c r="K439" s="62"/>
    </row>
    <row r="440" spans="10:11" ht="15.75" customHeight="1" x14ac:dyDescent="0.3">
      <c r="J440" s="61"/>
      <c r="K440" s="62"/>
    </row>
    <row r="441" spans="10:11" ht="15.75" customHeight="1" x14ac:dyDescent="0.3">
      <c r="J441" s="61"/>
      <c r="K441" s="62"/>
    </row>
    <row r="442" spans="10:11" ht="15.75" customHeight="1" x14ac:dyDescent="0.3">
      <c r="J442" s="61"/>
      <c r="K442" s="62"/>
    </row>
    <row r="443" spans="10:11" ht="15.75" customHeight="1" x14ac:dyDescent="0.3">
      <c r="J443" s="61"/>
      <c r="K443" s="62"/>
    </row>
    <row r="444" spans="10:11" ht="15.75" customHeight="1" x14ac:dyDescent="0.3">
      <c r="J444" s="61"/>
      <c r="K444" s="62"/>
    </row>
    <row r="445" spans="10:11" ht="15.75" customHeight="1" x14ac:dyDescent="0.3">
      <c r="J445" s="61"/>
      <c r="K445" s="62"/>
    </row>
    <row r="446" spans="10:11" ht="15.75" customHeight="1" x14ac:dyDescent="0.3">
      <c r="J446" s="61"/>
      <c r="K446" s="62"/>
    </row>
    <row r="447" spans="10:11" ht="15.75" customHeight="1" x14ac:dyDescent="0.3">
      <c r="J447" s="61"/>
      <c r="K447" s="62"/>
    </row>
    <row r="448" spans="10:11" ht="15.75" customHeight="1" x14ac:dyDescent="0.3">
      <c r="J448" s="61"/>
      <c r="K448" s="62"/>
    </row>
    <row r="449" spans="10:11" ht="15.75" customHeight="1" x14ac:dyDescent="0.3">
      <c r="J449" s="61"/>
      <c r="K449" s="62"/>
    </row>
    <row r="450" spans="10:11" ht="15.75" customHeight="1" x14ac:dyDescent="0.3">
      <c r="J450" s="61"/>
      <c r="K450" s="62"/>
    </row>
    <row r="451" spans="10:11" ht="15.75" customHeight="1" x14ac:dyDescent="0.3">
      <c r="J451" s="61"/>
      <c r="K451" s="62"/>
    </row>
    <row r="452" spans="10:11" ht="15.75" customHeight="1" x14ac:dyDescent="0.3">
      <c r="J452" s="61"/>
      <c r="K452" s="62"/>
    </row>
    <row r="453" spans="10:11" ht="15.75" customHeight="1" x14ac:dyDescent="0.3">
      <c r="J453" s="61"/>
      <c r="K453" s="62"/>
    </row>
    <row r="454" spans="10:11" ht="15.75" customHeight="1" x14ac:dyDescent="0.3">
      <c r="J454" s="61"/>
      <c r="K454" s="62"/>
    </row>
    <row r="455" spans="10:11" ht="15.75" customHeight="1" x14ac:dyDescent="0.3">
      <c r="J455" s="61"/>
      <c r="K455" s="62"/>
    </row>
    <row r="456" spans="10:11" ht="15.75" customHeight="1" x14ac:dyDescent="0.3">
      <c r="J456" s="61"/>
      <c r="K456" s="62"/>
    </row>
    <row r="457" spans="10:11" ht="15.75" customHeight="1" x14ac:dyDescent="0.3">
      <c r="J457" s="61"/>
      <c r="K457" s="62"/>
    </row>
    <row r="458" spans="10:11" ht="15.75" customHeight="1" x14ac:dyDescent="0.3">
      <c r="J458" s="61"/>
      <c r="K458" s="62"/>
    </row>
    <row r="459" spans="10:11" ht="15.75" customHeight="1" x14ac:dyDescent="0.3">
      <c r="J459" s="61"/>
      <c r="K459" s="62"/>
    </row>
    <row r="460" spans="10:11" ht="15.75" customHeight="1" x14ac:dyDescent="0.3">
      <c r="J460" s="61"/>
      <c r="K460" s="62"/>
    </row>
    <row r="461" spans="10:11" ht="15.75" customHeight="1" x14ac:dyDescent="0.3">
      <c r="J461" s="61"/>
      <c r="K461" s="62"/>
    </row>
    <row r="462" spans="10:11" ht="15.75" customHeight="1" x14ac:dyDescent="0.3">
      <c r="J462" s="61"/>
      <c r="K462" s="62"/>
    </row>
    <row r="463" spans="10:11" ht="15.75" customHeight="1" x14ac:dyDescent="0.3">
      <c r="J463" s="61"/>
      <c r="K463" s="62"/>
    </row>
    <row r="464" spans="10:11" ht="15.75" customHeight="1" x14ac:dyDescent="0.3">
      <c r="J464" s="61"/>
      <c r="K464" s="62"/>
    </row>
    <row r="465" spans="10:11" ht="15.75" customHeight="1" x14ac:dyDescent="0.3">
      <c r="J465" s="61"/>
      <c r="K465" s="62"/>
    </row>
    <row r="466" spans="10:11" ht="15.75" customHeight="1" x14ac:dyDescent="0.3">
      <c r="J466" s="61"/>
      <c r="K466" s="62"/>
    </row>
    <row r="467" spans="10:11" ht="15.75" customHeight="1" x14ac:dyDescent="0.3">
      <c r="J467" s="61"/>
      <c r="K467" s="62"/>
    </row>
    <row r="468" spans="10:11" ht="15.75" customHeight="1" x14ac:dyDescent="0.3">
      <c r="J468" s="61"/>
      <c r="K468" s="62"/>
    </row>
    <row r="469" spans="10:11" ht="15.75" customHeight="1" x14ac:dyDescent="0.3">
      <c r="J469" s="61"/>
      <c r="K469" s="62"/>
    </row>
    <row r="470" spans="10:11" ht="15.75" customHeight="1" x14ac:dyDescent="0.3">
      <c r="J470" s="61"/>
      <c r="K470" s="62"/>
    </row>
    <row r="471" spans="10:11" ht="15.75" customHeight="1" x14ac:dyDescent="0.3">
      <c r="J471" s="61"/>
      <c r="K471" s="62"/>
    </row>
    <row r="472" spans="10:11" ht="15.75" customHeight="1" x14ac:dyDescent="0.3">
      <c r="J472" s="61"/>
      <c r="K472" s="62"/>
    </row>
    <row r="473" spans="10:11" ht="15.75" customHeight="1" x14ac:dyDescent="0.3">
      <c r="J473" s="61"/>
      <c r="K473" s="62"/>
    </row>
    <row r="474" spans="10:11" ht="15.75" customHeight="1" x14ac:dyDescent="0.3">
      <c r="J474" s="61"/>
      <c r="K474" s="62"/>
    </row>
    <row r="475" spans="10:11" ht="15.75" customHeight="1" x14ac:dyDescent="0.3">
      <c r="J475" s="61"/>
      <c r="K475" s="62"/>
    </row>
    <row r="476" spans="10:11" ht="15.75" customHeight="1" x14ac:dyDescent="0.3">
      <c r="J476" s="61"/>
      <c r="K476" s="62"/>
    </row>
    <row r="477" spans="10:11" ht="15.75" customHeight="1" x14ac:dyDescent="0.3">
      <c r="J477" s="61"/>
      <c r="K477" s="62"/>
    </row>
    <row r="478" spans="10:11" ht="15.75" customHeight="1" x14ac:dyDescent="0.3">
      <c r="J478" s="61"/>
      <c r="K478" s="62"/>
    </row>
    <row r="479" spans="10:11" ht="15.75" customHeight="1" x14ac:dyDescent="0.3">
      <c r="J479" s="61"/>
      <c r="K479" s="62"/>
    </row>
    <row r="480" spans="10:11" ht="15.75" customHeight="1" x14ac:dyDescent="0.3">
      <c r="J480" s="61"/>
      <c r="K480" s="62"/>
    </row>
    <row r="481" spans="10:11" ht="15.75" customHeight="1" x14ac:dyDescent="0.3">
      <c r="J481" s="61"/>
      <c r="K481" s="62"/>
    </row>
    <row r="482" spans="10:11" ht="15.75" customHeight="1" x14ac:dyDescent="0.3">
      <c r="J482" s="61"/>
      <c r="K482" s="62"/>
    </row>
    <row r="483" spans="10:11" ht="15.75" customHeight="1" x14ac:dyDescent="0.3">
      <c r="J483" s="61"/>
      <c r="K483" s="62"/>
    </row>
    <row r="484" spans="10:11" ht="15.75" customHeight="1" x14ac:dyDescent="0.3">
      <c r="J484" s="61"/>
      <c r="K484" s="62"/>
    </row>
    <row r="485" spans="10:11" ht="15.75" customHeight="1" x14ac:dyDescent="0.3">
      <c r="J485" s="61"/>
      <c r="K485" s="62"/>
    </row>
    <row r="486" spans="10:11" ht="15.75" customHeight="1" x14ac:dyDescent="0.3">
      <c r="J486" s="61"/>
      <c r="K486" s="62"/>
    </row>
    <row r="487" spans="10:11" ht="15.75" customHeight="1" x14ac:dyDescent="0.3">
      <c r="J487" s="61"/>
      <c r="K487" s="62"/>
    </row>
    <row r="488" spans="10:11" ht="15.75" customHeight="1" x14ac:dyDescent="0.3">
      <c r="J488" s="61"/>
      <c r="K488" s="62"/>
    </row>
    <row r="489" spans="10:11" ht="15.75" customHeight="1" x14ac:dyDescent="0.3">
      <c r="J489" s="61"/>
      <c r="K489" s="62"/>
    </row>
    <row r="490" spans="10:11" ht="15.75" customHeight="1" x14ac:dyDescent="0.3">
      <c r="J490" s="61"/>
      <c r="K490" s="62"/>
    </row>
    <row r="491" spans="10:11" ht="15.75" customHeight="1" x14ac:dyDescent="0.3">
      <c r="J491" s="61"/>
      <c r="K491" s="62"/>
    </row>
    <row r="492" spans="10:11" ht="15.75" customHeight="1" x14ac:dyDescent="0.3">
      <c r="J492" s="61"/>
      <c r="K492" s="62"/>
    </row>
    <row r="493" spans="10:11" ht="15.75" customHeight="1" x14ac:dyDescent="0.3">
      <c r="J493" s="61"/>
      <c r="K493" s="62"/>
    </row>
    <row r="494" spans="10:11" ht="15.75" customHeight="1" x14ac:dyDescent="0.3">
      <c r="J494" s="61"/>
      <c r="K494" s="62"/>
    </row>
    <row r="495" spans="10:11" ht="15.75" customHeight="1" x14ac:dyDescent="0.3">
      <c r="J495" s="61"/>
      <c r="K495" s="62"/>
    </row>
    <row r="496" spans="10:11" ht="15.75" customHeight="1" x14ac:dyDescent="0.3">
      <c r="J496" s="61"/>
      <c r="K496" s="62"/>
    </row>
    <row r="497" spans="10:11" ht="15.75" customHeight="1" x14ac:dyDescent="0.3">
      <c r="J497" s="61"/>
      <c r="K497" s="62"/>
    </row>
    <row r="498" spans="10:11" ht="15.75" customHeight="1" x14ac:dyDescent="0.3">
      <c r="J498" s="61"/>
      <c r="K498" s="62"/>
    </row>
    <row r="499" spans="10:11" ht="15.75" customHeight="1" x14ac:dyDescent="0.3">
      <c r="J499" s="61"/>
      <c r="K499" s="62"/>
    </row>
    <row r="500" spans="10:11" ht="15.75" customHeight="1" x14ac:dyDescent="0.3">
      <c r="J500" s="61"/>
      <c r="K500" s="62"/>
    </row>
    <row r="501" spans="10:11" ht="15.75" customHeight="1" x14ac:dyDescent="0.3">
      <c r="J501" s="61"/>
      <c r="K501" s="62"/>
    </row>
    <row r="502" spans="10:11" ht="15.75" customHeight="1" x14ac:dyDescent="0.3">
      <c r="J502" s="61"/>
      <c r="K502" s="62"/>
    </row>
    <row r="503" spans="10:11" ht="15.75" customHeight="1" x14ac:dyDescent="0.3">
      <c r="J503" s="61"/>
      <c r="K503" s="62"/>
    </row>
    <row r="504" spans="10:11" ht="15.75" customHeight="1" x14ac:dyDescent="0.3">
      <c r="J504" s="61"/>
      <c r="K504" s="62"/>
    </row>
    <row r="505" spans="10:11" ht="15.75" customHeight="1" x14ac:dyDescent="0.3">
      <c r="J505" s="61"/>
      <c r="K505" s="62"/>
    </row>
    <row r="506" spans="10:11" ht="15.75" customHeight="1" x14ac:dyDescent="0.3">
      <c r="J506" s="61"/>
      <c r="K506" s="62"/>
    </row>
    <row r="507" spans="10:11" ht="15.75" customHeight="1" x14ac:dyDescent="0.3">
      <c r="J507" s="61"/>
      <c r="K507" s="62"/>
    </row>
    <row r="508" spans="10:11" ht="15.75" customHeight="1" x14ac:dyDescent="0.3">
      <c r="J508" s="61"/>
      <c r="K508" s="62"/>
    </row>
    <row r="509" spans="10:11" ht="15.75" customHeight="1" x14ac:dyDescent="0.3">
      <c r="J509" s="61"/>
      <c r="K509" s="62"/>
    </row>
    <row r="510" spans="10:11" ht="15.75" customHeight="1" x14ac:dyDescent="0.3">
      <c r="J510" s="61"/>
      <c r="K510" s="62"/>
    </row>
    <row r="511" spans="10:11" ht="15.75" customHeight="1" x14ac:dyDescent="0.3">
      <c r="J511" s="61"/>
      <c r="K511" s="62"/>
    </row>
    <row r="512" spans="10:11" ht="15.75" customHeight="1" x14ac:dyDescent="0.3">
      <c r="J512" s="61"/>
      <c r="K512" s="62"/>
    </row>
    <row r="513" spans="10:11" ht="15.75" customHeight="1" x14ac:dyDescent="0.3">
      <c r="J513" s="61"/>
      <c r="K513" s="62"/>
    </row>
    <row r="514" spans="10:11" ht="15.75" customHeight="1" x14ac:dyDescent="0.3">
      <c r="J514" s="61"/>
      <c r="K514" s="62"/>
    </row>
    <row r="515" spans="10:11" ht="15.75" customHeight="1" x14ac:dyDescent="0.3">
      <c r="J515" s="61"/>
      <c r="K515" s="62"/>
    </row>
    <row r="516" spans="10:11" ht="15.75" customHeight="1" x14ac:dyDescent="0.3">
      <c r="J516" s="61"/>
      <c r="K516" s="62"/>
    </row>
    <row r="517" spans="10:11" ht="15.75" customHeight="1" x14ac:dyDescent="0.3">
      <c r="J517" s="61"/>
      <c r="K517" s="62"/>
    </row>
    <row r="518" spans="10:11" ht="15.75" customHeight="1" x14ac:dyDescent="0.3">
      <c r="J518" s="61"/>
      <c r="K518" s="62"/>
    </row>
    <row r="519" spans="10:11" ht="15.75" customHeight="1" x14ac:dyDescent="0.3">
      <c r="J519" s="61"/>
      <c r="K519" s="62"/>
    </row>
    <row r="520" spans="10:11" ht="15.75" customHeight="1" x14ac:dyDescent="0.3">
      <c r="J520" s="61"/>
      <c r="K520" s="62"/>
    </row>
    <row r="521" spans="10:11" ht="15.75" customHeight="1" x14ac:dyDescent="0.3">
      <c r="J521" s="61"/>
      <c r="K521" s="62"/>
    </row>
    <row r="522" spans="10:11" ht="15.75" customHeight="1" x14ac:dyDescent="0.3">
      <c r="J522" s="61"/>
      <c r="K522" s="62"/>
    </row>
    <row r="523" spans="10:11" ht="15.75" customHeight="1" x14ac:dyDescent="0.3">
      <c r="J523" s="61"/>
      <c r="K523" s="62"/>
    </row>
    <row r="524" spans="10:11" ht="15.75" customHeight="1" x14ac:dyDescent="0.3">
      <c r="J524" s="61"/>
      <c r="K524" s="62"/>
    </row>
    <row r="525" spans="10:11" ht="15.75" customHeight="1" x14ac:dyDescent="0.3">
      <c r="J525" s="61"/>
      <c r="K525" s="62"/>
    </row>
    <row r="526" spans="10:11" ht="15.75" customHeight="1" x14ac:dyDescent="0.3">
      <c r="J526" s="61"/>
      <c r="K526" s="62"/>
    </row>
    <row r="527" spans="10:11" ht="15.75" customHeight="1" x14ac:dyDescent="0.3">
      <c r="J527" s="61"/>
      <c r="K527" s="62"/>
    </row>
    <row r="528" spans="10:11" ht="15.75" customHeight="1" x14ac:dyDescent="0.3">
      <c r="J528" s="61"/>
      <c r="K528" s="62"/>
    </row>
    <row r="529" spans="10:11" ht="15.75" customHeight="1" x14ac:dyDescent="0.3">
      <c r="J529" s="61"/>
      <c r="K529" s="62"/>
    </row>
    <row r="530" spans="10:11" ht="15.75" customHeight="1" x14ac:dyDescent="0.3">
      <c r="J530" s="61"/>
      <c r="K530" s="62"/>
    </row>
    <row r="531" spans="10:11" ht="15.75" customHeight="1" x14ac:dyDescent="0.3">
      <c r="J531" s="61"/>
      <c r="K531" s="62"/>
    </row>
    <row r="532" spans="10:11" ht="15.75" customHeight="1" x14ac:dyDescent="0.3">
      <c r="J532" s="61"/>
      <c r="K532" s="62"/>
    </row>
    <row r="533" spans="10:11" ht="15.75" customHeight="1" x14ac:dyDescent="0.3">
      <c r="J533" s="61"/>
      <c r="K533" s="62"/>
    </row>
    <row r="534" spans="10:11" ht="15.75" customHeight="1" x14ac:dyDescent="0.3">
      <c r="J534" s="61"/>
      <c r="K534" s="62"/>
    </row>
    <row r="535" spans="10:11" ht="15.75" customHeight="1" x14ac:dyDescent="0.3">
      <c r="J535" s="61"/>
      <c r="K535" s="62"/>
    </row>
    <row r="536" spans="10:11" ht="15.75" customHeight="1" x14ac:dyDescent="0.3">
      <c r="J536" s="61"/>
      <c r="K536" s="62"/>
    </row>
    <row r="537" spans="10:11" ht="15.75" customHeight="1" x14ac:dyDescent="0.3">
      <c r="J537" s="61"/>
      <c r="K537" s="62"/>
    </row>
    <row r="538" spans="10:11" ht="15.75" customHeight="1" x14ac:dyDescent="0.3">
      <c r="J538" s="61"/>
      <c r="K538" s="62"/>
    </row>
    <row r="539" spans="10:11" ht="15.75" customHeight="1" x14ac:dyDescent="0.3">
      <c r="J539" s="61"/>
      <c r="K539" s="62"/>
    </row>
    <row r="540" spans="10:11" ht="15.75" customHeight="1" x14ac:dyDescent="0.3">
      <c r="J540" s="61"/>
      <c r="K540" s="62"/>
    </row>
    <row r="541" spans="10:11" ht="15.75" customHeight="1" x14ac:dyDescent="0.3">
      <c r="J541" s="61"/>
      <c r="K541" s="62"/>
    </row>
    <row r="542" spans="10:11" ht="15.75" customHeight="1" x14ac:dyDescent="0.3">
      <c r="J542" s="61"/>
      <c r="K542" s="62"/>
    </row>
    <row r="543" spans="10:11" ht="15.75" customHeight="1" x14ac:dyDescent="0.3">
      <c r="J543" s="61"/>
      <c r="K543" s="62"/>
    </row>
    <row r="544" spans="10:11" ht="15.75" customHeight="1" x14ac:dyDescent="0.3">
      <c r="J544" s="61"/>
      <c r="K544" s="62"/>
    </row>
    <row r="545" spans="10:11" ht="15.75" customHeight="1" x14ac:dyDescent="0.3">
      <c r="J545" s="61"/>
      <c r="K545" s="62"/>
    </row>
    <row r="546" spans="10:11" ht="15.75" customHeight="1" x14ac:dyDescent="0.3">
      <c r="J546" s="61"/>
      <c r="K546" s="62"/>
    </row>
    <row r="547" spans="10:11" ht="15.75" customHeight="1" x14ac:dyDescent="0.3">
      <c r="J547" s="61"/>
      <c r="K547" s="62"/>
    </row>
    <row r="548" spans="10:11" ht="15.75" customHeight="1" x14ac:dyDescent="0.3">
      <c r="J548" s="61"/>
      <c r="K548" s="62"/>
    </row>
    <row r="549" spans="10:11" ht="15.75" customHeight="1" x14ac:dyDescent="0.3">
      <c r="J549" s="61"/>
      <c r="K549" s="62"/>
    </row>
    <row r="550" spans="10:11" ht="15.75" customHeight="1" x14ac:dyDescent="0.3">
      <c r="J550" s="61"/>
      <c r="K550" s="62"/>
    </row>
    <row r="551" spans="10:11" ht="15.75" customHeight="1" x14ac:dyDescent="0.3">
      <c r="J551" s="61"/>
      <c r="K551" s="62"/>
    </row>
    <row r="552" spans="10:11" ht="15.75" customHeight="1" x14ac:dyDescent="0.3">
      <c r="J552" s="61"/>
      <c r="K552" s="62"/>
    </row>
    <row r="553" spans="10:11" ht="15.75" customHeight="1" x14ac:dyDescent="0.3">
      <c r="J553" s="61"/>
      <c r="K553" s="62"/>
    </row>
    <row r="554" spans="10:11" ht="15.75" customHeight="1" x14ac:dyDescent="0.3">
      <c r="J554" s="61"/>
      <c r="K554" s="62"/>
    </row>
    <row r="555" spans="10:11" ht="15.75" customHeight="1" x14ac:dyDescent="0.3">
      <c r="J555" s="61"/>
      <c r="K555" s="62"/>
    </row>
    <row r="556" spans="10:11" ht="15.75" customHeight="1" x14ac:dyDescent="0.3">
      <c r="J556" s="61"/>
      <c r="K556" s="62"/>
    </row>
    <row r="557" spans="10:11" ht="15.75" customHeight="1" x14ac:dyDescent="0.3">
      <c r="J557" s="61"/>
      <c r="K557" s="62"/>
    </row>
    <row r="558" spans="10:11" ht="15.75" customHeight="1" x14ac:dyDescent="0.3">
      <c r="J558" s="61"/>
      <c r="K558" s="62"/>
    </row>
    <row r="559" spans="10:11" ht="15.75" customHeight="1" x14ac:dyDescent="0.3">
      <c r="J559" s="61"/>
      <c r="K559" s="62"/>
    </row>
    <row r="560" spans="10:11" ht="15.75" customHeight="1" x14ac:dyDescent="0.3">
      <c r="J560" s="61"/>
      <c r="K560" s="62"/>
    </row>
    <row r="561" spans="10:11" ht="15.75" customHeight="1" x14ac:dyDescent="0.3">
      <c r="J561" s="61"/>
      <c r="K561" s="62"/>
    </row>
    <row r="562" spans="10:11" ht="15.75" customHeight="1" x14ac:dyDescent="0.3">
      <c r="J562" s="61"/>
      <c r="K562" s="62"/>
    </row>
    <row r="563" spans="10:11" ht="15.75" customHeight="1" x14ac:dyDescent="0.3">
      <c r="J563" s="61"/>
      <c r="K563" s="62"/>
    </row>
    <row r="564" spans="10:11" ht="15.75" customHeight="1" x14ac:dyDescent="0.3">
      <c r="J564" s="61"/>
      <c r="K564" s="62"/>
    </row>
    <row r="565" spans="10:11" ht="15.75" customHeight="1" x14ac:dyDescent="0.3">
      <c r="J565" s="61"/>
      <c r="K565" s="62"/>
    </row>
    <row r="566" spans="10:11" ht="15.75" customHeight="1" x14ac:dyDescent="0.3">
      <c r="J566" s="61"/>
      <c r="K566" s="62"/>
    </row>
    <row r="567" spans="10:11" ht="15.75" customHeight="1" x14ac:dyDescent="0.3">
      <c r="J567" s="61"/>
      <c r="K567" s="62"/>
    </row>
    <row r="568" spans="10:11" ht="15.75" customHeight="1" x14ac:dyDescent="0.3">
      <c r="J568" s="61"/>
      <c r="K568" s="62"/>
    </row>
    <row r="569" spans="10:11" ht="15.75" customHeight="1" x14ac:dyDescent="0.3">
      <c r="J569" s="61"/>
      <c r="K569" s="62"/>
    </row>
    <row r="570" spans="10:11" ht="15.75" customHeight="1" x14ac:dyDescent="0.3">
      <c r="J570" s="61"/>
      <c r="K570" s="62"/>
    </row>
    <row r="571" spans="10:11" ht="15.75" customHeight="1" x14ac:dyDescent="0.3">
      <c r="J571" s="61"/>
      <c r="K571" s="62"/>
    </row>
    <row r="572" spans="10:11" ht="15.75" customHeight="1" x14ac:dyDescent="0.3">
      <c r="J572" s="61"/>
      <c r="K572" s="62"/>
    </row>
    <row r="573" spans="10:11" ht="15.75" customHeight="1" x14ac:dyDescent="0.3">
      <c r="J573" s="61"/>
      <c r="K573" s="62"/>
    </row>
    <row r="574" spans="10:11" ht="15.75" customHeight="1" x14ac:dyDescent="0.3">
      <c r="J574" s="61"/>
      <c r="K574" s="62"/>
    </row>
    <row r="575" spans="10:11" ht="15.75" customHeight="1" x14ac:dyDescent="0.3">
      <c r="J575" s="61"/>
      <c r="K575" s="62"/>
    </row>
    <row r="576" spans="10:11" ht="15.75" customHeight="1" x14ac:dyDescent="0.3">
      <c r="J576" s="61"/>
      <c r="K576" s="62"/>
    </row>
    <row r="577" spans="10:11" ht="15.75" customHeight="1" x14ac:dyDescent="0.3">
      <c r="J577" s="61"/>
      <c r="K577" s="62"/>
    </row>
    <row r="578" spans="10:11" ht="15.75" customHeight="1" x14ac:dyDescent="0.3">
      <c r="J578" s="61"/>
      <c r="K578" s="62"/>
    </row>
    <row r="579" spans="10:11" ht="15.75" customHeight="1" x14ac:dyDescent="0.3">
      <c r="J579" s="61"/>
      <c r="K579" s="62"/>
    </row>
    <row r="580" spans="10:11" ht="15.75" customHeight="1" x14ac:dyDescent="0.3">
      <c r="J580" s="61"/>
      <c r="K580" s="62"/>
    </row>
    <row r="581" spans="10:11" ht="15.75" customHeight="1" x14ac:dyDescent="0.3">
      <c r="J581" s="61"/>
      <c r="K581" s="62"/>
    </row>
    <row r="582" spans="10:11" ht="15.75" customHeight="1" x14ac:dyDescent="0.3">
      <c r="J582" s="61"/>
      <c r="K582" s="62"/>
    </row>
    <row r="583" spans="10:11" ht="15.75" customHeight="1" x14ac:dyDescent="0.3">
      <c r="J583" s="61"/>
      <c r="K583" s="62"/>
    </row>
    <row r="584" spans="10:11" ht="15.75" customHeight="1" x14ac:dyDescent="0.3">
      <c r="J584" s="61"/>
      <c r="K584" s="62"/>
    </row>
    <row r="585" spans="10:11" ht="15.75" customHeight="1" x14ac:dyDescent="0.3">
      <c r="J585" s="61"/>
      <c r="K585" s="62"/>
    </row>
    <row r="586" spans="10:11" ht="15.75" customHeight="1" x14ac:dyDescent="0.3">
      <c r="J586" s="61"/>
      <c r="K586" s="62"/>
    </row>
    <row r="587" spans="10:11" ht="15.75" customHeight="1" x14ac:dyDescent="0.3">
      <c r="J587" s="61"/>
      <c r="K587" s="62"/>
    </row>
    <row r="588" spans="10:11" ht="15.75" customHeight="1" x14ac:dyDescent="0.3">
      <c r="J588" s="61"/>
      <c r="K588" s="62"/>
    </row>
    <row r="589" spans="10:11" ht="15.75" customHeight="1" x14ac:dyDescent="0.3">
      <c r="J589" s="61"/>
      <c r="K589" s="62"/>
    </row>
    <row r="590" spans="10:11" ht="15.75" customHeight="1" x14ac:dyDescent="0.3">
      <c r="J590" s="61"/>
      <c r="K590" s="62"/>
    </row>
    <row r="591" spans="10:11" ht="15.75" customHeight="1" x14ac:dyDescent="0.3">
      <c r="J591" s="61"/>
      <c r="K591" s="62"/>
    </row>
    <row r="592" spans="10:11" ht="15.75" customHeight="1" x14ac:dyDescent="0.3">
      <c r="J592" s="61"/>
      <c r="K592" s="62"/>
    </row>
    <row r="593" spans="10:11" ht="15.75" customHeight="1" x14ac:dyDescent="0.3">
      <c r="J593" s="61"/>
      <c r="K593" s="62"/>
    </row>
    <row r="594" spans="10:11" ht="15.75" customHeight="1" x14ac:dyDescent="0.3">
      <c r="J594" s="61"/>
      <c r="K594" s="62"/>
    </row>
    <row r="595" spans="10:11" ht="15.75" customHeight="1" x14ac:dyDescent="0.3">
      <c r="J595" s="61"/>
      <c r="K595" s="62"/>
    </row>
    <row r="596" spans="10:11" ht="15.75" customHeight="1" x14ac:dyDescent="0.3">
      <c r="J596" s="61"/>
      <c r="K596" s="62"/>
    </row>
    <row r="597" spans="10:11" ht="15.75" customHeight="1" x14ac:dyDescent="0.3">
      <c r="J597" s="61"/>
      <c r="K597" s="62"/>
    </row>
    <row r="598" spans="10:11" ht="15.75" customHeight="1" x14ac:dyDescent="0.3">
      <c r="J598" s="61"/>
      <c r="K598" s="62"/>
    </row>
    <row r="599" spans="10:11" ht="15.75" customHeight="1" x14ac:dyDescent="0.3">
      <c r="J599" s="61"/>
      <c r="K599" s="62"/>
    </row>
    <row r="600" spans="10:11" ht="15.75" customHeight="1" x14ac:dyDescent="0.3">
      <c r="J600" s="61"/>
      <c r="K600" s="62"/>
    </row>
    <row r="601" spans="10:11" ht="15.75" customHeight="1" x14ac:dyDescent="0.3">
      <c r="J601" s="61"/>
      <c r="K601" s="62"/>
    </row>
    <row r="602" spans="10:11" ht="15.75" customHeight="1" x14ac:dyDescent="0.3">
      <c r="J602" s="61"/>
      <c r="K602" s="62"/>
    </row>
    <row r="603" spans="10:11" ht="15.75" customHeight="1" x14ac:dyDescent="0.3">
      <c r="J603" s="61"/>
      <c r="K603" s="62"/>
    </row>
    <row r="604" spans="10:11" ht="15.75" customHeight="1" x14ac:dyDescent="0.3">
      <c r="J604" s="61"/>
      <c r="K604" s="62"/>
    </row>
    <row r="605" spans="10:11" ht="15.75" customHeight="1" x14ac:dyDescent="0.3">
      <c r="J605" s="61"/>
      <c r="K605" s="62"/>
    </row>
    <row r="606" spans="10:11" ht="15.75" customHeight="1" x14ac:dyDescent="0.3">
      <c r="J606" s="61"/>
      <c r="K606" s="62"/>
    </row>
    <row r="607" spans="10:11" ht="15.75" customHeight="1" x14ac:dyDescent="0.3">
      <c r="J607" s="61"/>
      <c r="K607" s="62"/>
    </row>
    <row r="608" spans="10:11" ht="15.75" customHeight="1" x14ac:dyDescent="0.3">
      <c r="J608" s="61"/>
      <c r="K608" s="62"/>
    </row>
    <row r="609" spans="10:11" ht="15.75" customHeight="1" x14ac:dyDescent="0.3">
      <c r="J609" s="61"/>
      <c r="K609" s="62"/>
    </row>
    <row r="610" spans="10:11" ht="15.75" customHeight="1" x14ac:dyDescent="0.3">
      <c r="J610" s="61"/>
      <c r="K610" s="62"/>
    </row>
    <row r="611" spans="10:11" ht="15.75" customHeight="1" x14ac:dyDescent="0.3">
      <c r="J611" s="61"/>
      <c r="K611" s="62"/>
    </row>
    <row r="612" spans="10:11" ht="15.75" customHeight="1" x14ac:dyDescent="0.3">
      <c r="J612" s="61"/>
      <c r="K612" s="62"/>
    </row>
    <row r="613" spans="10:11" ht="15.75" customHeight="1" x14ac:dyDescent="0.3">
      <c r="J613" s="61"/>
      <c r="K613" s="62"/>
    </row>
    <row r="614" spans="10:11" ht="15.75" customHeight="1" x14ac:dyDescent="0.3">
      <c r="J614" s="61"/>
      <c r="K614" s="62"/>
    </row>
    <row r="615" spans="10:11" ht="15.75" customHeight="1" x14ac:dyDescent="0.3">
      <c r="J615" s="61"/>
      <c r="K615" s="62"/>
    </row>
    <row r="616" spans="10:11" ht="15.75" customHeight="1" x14ac:dyDescent="0.3">
      <c r="J616" s="61"/>
      <c r="K616" s="62"/>
    </row>
    <row r="617" spans="10:11" ht="15.75" customHeight="1" x14ac:dyDescent="0.3">
      <c r="J617" s="61"/>
      <c r="K617" s="62"/>
    </row>
    <row r="618" spans="10:11" ht="15.75" customHeight="1" x14ac:dyDescent="0.3">
      <c r="J618" s="61"/>
      <c r="K618" s="62"/>
    </row>
    <row r="619" spans="10:11" ht="15.75" customHeight="1" x14ac:dyDescent="0.3">
      <c r="J619" s="61"/>
      <c r="K619" s="62"/>
    </row>
    <row r="620" spans="10:11" ht="15.75" customHeight="1" x14ac:dyDescent="0.3">
      <c r="J620" s="61"/>
      <c r="K620" s="62"/>
    </row>
    <row r="621" spans="10:11" ht="15.75" customHeight="1" x14ac:dyDescent="0.3">
      <c r="J621" s="61"/>
      <c r="K621" s="62"/>
    </row>
    <row r="622" spans="10:11" ht="15.75" customHeight="1" x14ac:dyDescent="0.3">
      <c r="J622" s="61"/>
      <c r="K622" s="62"/>
    </row>
    <row r="623" spans="10:11" ht="15.75" customHeight="1" x14ac:dyDescent="0.3">
      <c r="J623" s="61"/>
      <c r="K623" s="62"/>
    </row>
    <row r="624" spans="10:11" ht="15.75" customHeight="1" x14ac:dyDescent="0.3">
      <c r="J624" s="61"/>
      <c r="K624" s="62"/>
    </row>
    <row r="625" spans="10:11" ht="15.75" customHeight="1" x14ac:dyDescent="0.3">
      <c r="J625" s="61"/>
      <c r="K625" s="62"/>
    </row>
    <row r="626" spans="10:11" ht="15.75" customHeight="1" x14ac:dyDescent="0.3">
      <c r="J626" s="61"/>
      <c r="K626" s="62"/>
    </row>
    <row r="627" spans="10:11" ht="15.75" customHeight="1" x14ac:dyDescent="0.3">
      <c r="J627" s="61"/>
      <c r="K627" s="62"/>
    </row>
    <row r="628" spans="10:11" ht="15.75" customHeight="1" x14ac:dyDescent="0.3">
      <c r="J628" s="61"/>
      <c r="K628" s="62"/>
    </row>
    <row r="629" spans="10:11" ht="15.75" customHeight="1" x14ac:dyDescent="0.3">
      <c r="J629" s="61"/>
      <c r="K629" s="62"/>
    </row>
    <row r="630" spans="10:11" ht="15.75" customHeight="1" x14ac:dyDescent="0.3">
      <c r="J630" s="61"/>
      <c r="K630" s="62"/>
    </row>
    <row r="631" spans="10:11" ht="15.75" customHeight="1" x14ac:dyDescent="0.3">
      <c r="J631" s="61"/>
      <c r="K631" s="62"/>
    </row>
    <row r="632" spans="10:11" ht="15.75" customHeight="1" x14ac:dyDescent="0.3">
      <c r="J632" s="61"/>
      <c r="K632" s="62"/>
    </row>
    <row r="633" spans="10:11" ht="15.75" customHeight="1" x14ac:dyDescent="0.3">
      <c r="J633" s="61"/>
      <c r="K633" s="62"/>
    </row>
    <row r="634" spans="10:11" ht="15.75" customHeight="1" x14ac:dyDescent="0.3">
      <c r="J634" s="61"/>
      <c r="K634" s="62"/>
    </row>
    <row r="635" spans="10:11" ht="15.75" customHeight="1" x14ac:dyDescent="0.3">
      <c r="J635" s="61"/>
      <c r="K635" s="62"/>
    </row>
    <row r="636" spans="10:11" ht="15.75" customHeight="1" x14ac:dyDescent="0.3">
      <c r="J636" s="61"/>
      <c r="K636" s="62"/>
    </row>
    <row r="637" spans="10:11" ht="15.75" customHeight="1" x14ac:dyDescent="0.3">
      <c r="J637" s="61"/>
      <c r="K637" s="62"/>
    </row>
    <row r="638" spans="10:11" ht="15.75" customHeight="1" x14ac:dyDescent="0.3">
      <c r="J638" s="61"/>
      <c r="K638" s="62"/>
    </row>
    <row r="639" spans="10:11" ht="15.75" customHeight="1" x14ac:dyDescent="0.3">
      <c r="J639" s="61"/>
      <c r="K639" s="62"/>
    </row>
    <row r="640" spans="10:11" ht="15.75" customHeight="1" x14ac:dyDescent="0.3">
      <c r="J640" s="61"/>
      <c r="K640" s="62"/>
    </row>
    <row r="641" spans="10:11" ht="15.75" customHeight="1" x14ac:dyDescent="0.3">
      <c r="J641" s="61"/>
      <c r="K641" s="62"/>
    </row>
    <row r="642" spans="10:11" ht="15.75" customHeight="1" x14ac:dyDescent="0.3">
      <c r="J642" s="61"/>
      <c r="K642" s="62"/>
    </row>
    <row r="643" spans="10:11" ht="15.75" customHeight="1" x14ac:dyDescent="0.3">
      <c r="J643" s="61"/>
      <c r="K643" s="62"/>
    </row>
    <row r="644" spans="10:11" ht="15.75" customHeight="1" x14ac:dyDescent="0.3">
      <c r="J644" s="61"/>
      <c r="K644" s="62"/>
    </row>
    <row r="645" spans="10:11" ht="15.75" customHeight="1" x14ac:dyDescent="0.3">
      <c r="J645" s="61"/>
      <c r="K645" s="62"/>
    </row>
    <row r="646" spans="10:11" ht="15.75" customHeight="1" x14ac:dyDescent="0.3">
      <c r="J646" s="61"/>
      <c r="K646" s="62"/>
    </row>
    <row r="647" spans="10:11" ht="15.75" customHeight="1" x14ac:dyDescent="0.3">
      <c r="J647" s="61"/>
      <c r="K647" s="62"/>
    </row>
    <row r="648" spans="10:11" ht="15.75" customHeight="1" x14ac:dyDescent="0.3">
      <c r="J648" s="61"/>
      <c r="K648" s="62"/>
    </row>
    <row r="649" spans="10:11" ht="15.75" customHeight="1" x14ac:dyDescent="0.3">
      <c r="J649" s="61"/>
      <c r="K649" s="62"/>
    </row>
    <row r="650" spans="10:11" ht="15.75" customHeight="1" x14ac:dyDescent="0.3">
      <c r="J650" s="61"/>
      <c r="K650" s="62"/>
    </row>
    <row r="651" spans="10:11" ht="15.75" customHeight="1" x14ac:dyDescent="0.3">
      <c r="J651" s="61"/>
      <c r="K651" s="62"/>
    </row>
    <row r="652" spans="10:11" ht="15.75" customHeight="1" x14ac:dyDescent="0.3">
      <c r="J652" s="61"/>
      <c r="K652" s="62"/>
    </row>
    <row r="653" spans="10:11" ht="15.75" customHeight="1" x14ac:dyDescent="0.3">
      <c r="J653" s="61"/>
      <c r="K653" s="62"/>
    </row>
    <row r="654" spans="10:11" ht="15.75" customHeight="1" x14ac:dyDescent="0.3">
      <c r="J654" s="61"/>
      <c r="K654" s="62"/>
    </row>
    <row r="655" spans="10:11" ht="15.75" customHeight="1" x14ac:dyDescent="0.3">
      <c r="J655" s="61"/>
      <c r="K655" s="62"/>
    </row>
    <row r="656" spans="10:11" ht="15.75" customHeight="1" x14ac:dyDescent="0.3">
      <c r="J656" s="61"/>
      <c r="K656" s="62"/>
    </row>
    <row r="657" spans="10:11" ht="15.75" customHeight="1" x14ac:dyDescent="0.3">
      <c r="J657" s="61"/>
      <c r="K657" s="62"/>
    </row>
    <row r="658" spans="10:11" ht="15.75" customHeight="1" x14ac:dyDescent="0.3">
      <c r="J658" s="61"/>
      <c r="K658" s="62"/>
    </row>
    <row r="659" spans="10:11" ht="15.75" customHeight="1" x14ac:dyDescent="0.3">
      <c r="J659" s="61"/>
      <c r="K659" s="62"/>
    </row>
    <row r="660" spans="10:11" ht="15.75" customHeight="1" x14ac:dyDescent="0.3">
      <c r="J660" s="61"/>
      <c r="K660" s="62"/>
    </row>
    <row r="661" spans="10:11" ht="15.75" customHeight="1" x14ac:dyDescent="0.3">
      <c r="J661" s="61"/>
      <c r="K661" s="62"/>
    </row>
    <row r="662" spans="10:11" ht="15.75" customHeight="1" x14ac:dyDescent="0.3">
      <c r="J662" s="61"/>
      <c r="K662" s="62"/>
    </row>
    <row r="663" spans="10:11" ht="15.75" customHeight="1" x14ac:dyDescent="0.3">
      <c r="J663" s="61"/>
      <c r="K663" s="62"/>
    </row>
    <row r="664" spans="10:11" ht="15.75" customHeight="1" x14ac:dyDescent="0.3">
      <c r="J664" s="61"/>
      <c r="K664" s="62"/>
    </row>
    <row r="665" spans="10:11" ht="15.75" customHeight="1" x14ac:dyDescent="0.3">
      <c r="J665" s="61"/>
      <c r="K665" s="62"/>
    </row>
    <row r="666" spans="10:11" ht="15.75" customHeight="1" x14ac:dyDescent="0.3">
      <c r="J666" s="61"/>
      <c r="K666" s="62"/>
    </row>
    <row r="667" spans="10:11" ht="15.75" customHeight="1" x14ac:dyDescent="0.3">
      <c r="J667" s="61"/>
      <c r="K667" s="62"/>
    </row>
    <row r="668" spans="10:11" ht="15.75" customHeight="1" x14ac:dyDescent="0.3">
      <c r="J668" s="61"/>
      <c r="K668" s="62"/>
    </row>
    <row r="669" spans="10:11" ht="15.75" customHeight="1" x14ac:dyDescent="0.3">
      <c r="J669" s="61"/>
      <c r="K669" s="62"/>
    </row>
    <row r="670" spans="10:11" ht="15.75" customHeight="1" x14ac:dyDescent="0.3">
      <c r="J670" s="61"/>
      <c r="K670" s="62"/>
    </row>
    <row r="671" spans="10:11" ht="15.75" customHeight="1" x14ac:dyDescent="0.3">
      <c r="J671" s="61"/>
      <c r="K671" s="62"/>
    </row>
    <row r="672" spans="10:11" ht="15.75" customHeight="1" x14ac:dyDescent="0.3">
      <c r="J672" s="61"/>
      <c r="K672" s="62"/>
    </row>
    <row r="673" spans="10:11" ht="15.75" customHeight="1" x14ac:dyDescent="0.3">
      <c r="J673" s="61"/>
      <c r="K673" s="62"/>
    </row>
    <row r="674" spans="10:11" ht="15.75" customHeight="1" x14ac:dyDescent="0.3">
      <c r="J674" s="61"/>
      <c r="K674" s="62"/>
    </row>
    <row r="675" spans="10:11" ht="15.75" customHeight="1" x14ac:dyDescent="0.3">
      <c r="J675" s="61"/>
      <c r="K675" s="62"/>
    </row>
    <row r="676" spans="10:11" ht="15.75" customHeight="1" x14ac:dyDescent="0.3">
      <c r="J676" s="61"/>
      <c r="K676" s="62"/>
    </row>
    <row r="677" spans="10:11" ht="15.75" customHeight="1" x14ac:dyDescent="0.3">
      <c r="J677" s="61"/>
      <c r="K677" s="62"/>
    </row>
    <row r="678" spans="10:11" ht="15.75" customHeight="1" x14ac:dyDescent="0.3">
      <c r="J678" s="61"/>
      <c r="K678" s="62"/>
    </row>
    <row r="679" spans="10:11" ht="15.75" customHeight="1" x14ac:dyDescent="0.3">
      <c r="J679" s="61"/>
      <c r="K679" s="62"/>
    </row>
    <row r="680" spans="10:11" ht="15.75" customHeight="1" x14ac:dyDescent="0.3">
      <c r="J680" s="61"/>
      <c r="K680" s="62"/>
    </row>
    <row r="681" spans="10:11" ht="15.75" customHeight="1" x14ac:dyDescent="0.3">
      <c r="J681" s="61"/>
      <c r="K681" s="62"/>
    </row>
    <row r="682" spans="10:11" ht="15.75" customHeight="1" x14ac:dyDescent="0.3">
      <c r="J682" s="61"/>
      <c r="K682" s="62"/>
    </row>
    <row r="683" spans="10:11" ht="15.75" customHeight="1" x14ac:dyDescent="0.3">
      <c r="J683" s="61"/>
      <c r="K683" s="62"/>
    </row>
    <row r="684" spans="10:11" ht="15.75" customHeight="1" x14ac:dyDescent="0.3">
      <c r="J684" s="61"/>
      <c r="K684" s="62"/>
    </row>
    <row r="685" spans="10:11" ht="15.75" customHeight="1" x14ac:dyDescent="0.3">
      <c r="J685" s="61"/>
      <c r="K685" s="62"/>
    </row>
    <row r="686" spans="10:11" ht="15.75" customHeight="1" x14ac:dyDescent="0.3">
      <c r="J686" s="61"/>
      <c r="K686" s="62"/>
    </row>
    <row r="687" spans="10:11" ht="15.75" customHeight="1" x14ac:dyDescent="0.3">
      <c r="J687" s="61"/>
      <c r="K687" s="62"/>
    </row>
    <row r="688" spans="10:11" ht="15.75" customHeight="1" x14ac:dyDescent="0.3">
      <c r="J688" s="61"/>
      <c r="K688" s="62"/>
    </row>
    <row r="689" spans="10:11" ht="15.75" customHeight="1" x14ac:dyDescent="0.3">
      <c r="J689" s="61"/>
      <c r="K689" s="62"/>
    </row>
    <row r="690" spans="10:11" ht="15.75" customHeight="1" x14ac:dyDescent="0.3">
      <c r="J690" s="61"/>
      <c r="K690" s="62"/>
    </row>
    <row r="691" spans="10:11" ht="15.75" customHeight="1" x14ac:dyDescent="0.3">
      <c r="J691" s="61"/>
      <c r="K691" s="62"/>
    </row>
    <row r="692" spans="10:11" ht="15.75" customHeight="1" x14ac:dyDescent="0.3">
      <c r="J692" s="61"/>
      <c r="K692" s="62"/>
    </row>
    <row r="693" spans="10:11" ht="15.75" customHeight="1" x14ac:dyDescent="0.3">
      <c r="J693" s="61"/>
      <c r="K693" s="62"/>
    </row>
    <row r="694" spans="10:11" ht="15.75" customHeight="1" x14ac:dyDescent="0.3">
      <c r="J694" s="61"/>
      <c r="K694" s="62"/>
    </row>
    <row r="695" spans="10:11" ht="15.75" customHeight="1" x14ac:dyDescent="0.3">
      <c r="J695" s="61"/>
      <c r="K695" s="62"/>
    </row>
    <row r="696" spans="10:11" ht="15.75" customHeight="1" x14ac:dyDescent="0.3">
      <c r="J696" s="61"/>
      <c r="K696" s="62"/>
    </row>
    <row r="697" spans="10:11" ht="15.75" customHeight="1" x14ac:dyDescent="0.3">
      <c r="J697" s="61"/>
      <c r="K697" s="62"/>
    </row>
    <row r="698" spans="10:11" ht="15.75" customHeight="1" x14ac:dyDescent="0.3">
      <c r="J698" s="61"/>
      <c r="K698" s="62"/>
    </row>
    <row r="699" spans="10:11" ht="15.75" customHeight="1" x14ac:dyDescent="0.3">
      <c r="J699" s="61"/>
      <c r="K699" s="62"/>
    </row>
    <row r="700" spans="10:11" ht="15.75" customHeight="1" x14ac:dyDescent="0.3">
      <c r="J700" s="61"/>
      <c r="K700" s="62"/>
    </row>
    <row r="701" spans="10:11" ht="15.75" customHeight="1" x14ac:dyDescent="0.3">
      <c r="J701" s="61"/>
      <c r="K701" s="62"/>
    </row>
    <row r="702" spans="10:11" ht="15.75" customHeight="1" x14ac:dyDescent="0.3">
      <c r="J702" s="61"/>
      <c r="K702" s="62"/>
    </row>
    <row r="703" spans="10:11" ht="15.75" customHeight="1" x14ac:dyDescent="0.3">
      <c r="J703" s="61"/>
      <c r="K703" s="62"/>
    </row>
    <row r="704" spans="10:11" ht="15.75" customHeight="1" x14ac:dyDescent="0.3">
      <c r="J704" s="61"/>
      <c r="K704" s="62"/>
    </row>
    <row r="705" spans="10:11" ht="15.75" customHeight="1" x14ac:dyDescent="0.3">
      <c r="J705" s="61"/>
      <c r="K705" s="62"/>
    </row>
    <row r="706" spans="10:11" ht="15.75" customHeight="1" x14ac:dyDescent="0.3">
      <c r="J706" s="61"/>
      <c r="K706" s="62"/>
    </row>
    <row r="707" spans="10:11" ht="15.75" customHeight="1" x14ac:dyDescent="0.3">
      <c r="J707" s="61"/>
      <c r="K707" s="62"/>
    </row>
    <row r="708" spans="10:11" ht="15.75" customHeight="1" x14ac:dyDescent="0.3">
      <c r="J708" s="61"/>
      <c r="K708" s="62"/>
    </row>
    <row r="709" spans="10:11" ht="15.75" customHeight="1" x14ac:dyDescent="0.3">
      <c r="J709" s="61"/>
      <c r="K709" s="62"/>
    </row>
    <row r="710" spans="10:11" ht="15.75" customHeight="1" x14ac:dyDescent="0.3">
      <c r="J710" s="61"/>
      <c r="K710" s="62"/>
    </row>
    <row r="711" spans="10:11" ht="15.75" customHeight="1" x14ac:dyDescent="0.3">
      <c r="J711" s="61"/>
      <c r="K711" s="62"/>
    </row>
    <row r="712" spans="10:11" ht="15.75" customHeight="1" x14ac:dyDescent="0.3">
      <c r="J712" s="61"/>
      <c r="K712" s="62"/>
    </row>
    <row r="713" spans="10:11" ht="15.75" customHeight="1" x14ac:dyDescent="0.3">
      <c r="J713" s="61"/>
      <c r="K713" s="62"/>
    </row>
    <row r="714" spans="10:11" ht="15.75" customHeight="1" x14ac:dyDescent="0.3">
      <c r="J714" s="61"/>
      <c r="K714" s="62"/>
    </row>
    <row r="715" spans="10:11" ht="15.75" customHeight="1" x14ac:dyDescent="0.3">
      <c r="J715" s="61"/>
      <c r="K715" s="62"/>
    </row>
    <row r="716" spans="10:11" ht="15.75" customHeight="1" x14ac:dyDescent="0.3">
      <c r="J716" s="61"/>
      <c r="K716" s="62"/>
    </row>
    <row r="717" spans="10:11" ht="15.75" customHeight="1" x14ac:dyDescent="0.3">
      <c r="J717" s="61"/>
      <c r="K717" s="62"/>
    </row>
    <row r="718" spans="10:11" ht="15.75" customHeight="1" x14ac:dyDescent="0.3">
      <c r="J718" s="61"/>
      <c r="K718" s="62"/>
    </row>
    <row r="719" spans="10:11" ht="15.75" customHeight="1" x14ac:dyDescent="0.3">
      <c r="J719" s="61"/>
      <c r="K719" s="62"/>
    </row>
    <row r="720" spans="10:11" ht="15.75" customHeight="1" x14ac:dyDescent="0.3">
      <c r="J720" s="61"/>
      <c r="K720" s="62"/>
    </row>
    <row r="721" spans="10:11" ht="15.75" customHeight="1" x14ac:dyDescent="0.3">
      <c r="J721" s="61"/>
      <c r="K721" s="62"/>
    </row>
    <row r="722" spans="10:11" ht="15.75" customHeight="1" x14ac:dyDescent="0.3">
      <c r="J722" s="61"/>
      <c r="K722" s="62"/>
    </row>
    <row r="723" spans="10:11" ht="15.75" customHeight="1" x14ac:dyDescent="0.3">
      <c r="J723" s="61"/>
      <c r="K723" s="62"/>
    </row>
    <row r="724" spans="10:11" ht="15.75" customHeight="1" x14ac:dyDescent="0.3">
      <c r="J724" s="61"/>
      <c r="K724" s="62"/>
    </row>
    <row r="725" spans="10:11" ht="15.75" customHeight="1" x14ac:dyDescent="0.3">
      <c r="J725" s="61"/>
      <c r="K725" s="62"/>
    </row>
    <row r="726" spans="10:11" ht="15.75" customHeight="1" x14ac:dyDescent="0.3">
      <c r="J726" s="61"/>
      <c r="K726" s="62"/>
    </row>
    <row r="727" spans="10:11" ht="15.75" customHeight="1" x14ac:dyDescent="0.3">
      <c r="J727" s="61"/>
      <c r="K727" s="62"/>
    </row>
    <row r="728" spans="10:11" ht="15.75" customHeight="1" x14ac:dyDescent="0.3">
      <c r="J728" s="61"/>
      <c r="K728" s="62"/>
    </row>
    <row r="729" spans="10:11" ht="15.75" customHeight="1" x14ac:dyDescent="0.3">
      <c r="J729" s="61"/>
      <c r="K729" s="62"/>
    </row>
    <row r="730" spans="10:11" ht="15.75" customHeight="1" x14ac:dyDescent="0.3">
      <c r="J730" s="61"/>
      <c r="K730" s="62"/>
    </row>
    <row r="731" spans="10:11" ht="15.75" customHeight="1" x14ac:dyDescent="0.3">
      <c r="J731" s="61"/>
      <c r="K731" s="62"/>
    </row>
    <row r="732" spans="10:11" ht="15.75" customHeight="1" x14ac:dyDescent="0.3">
      <c r="J732" s="61"/>
      <c r="K732" s="62"/>
    </row>
    <row r="733" spans="10:11" ht="15.75" customHeight="1" x14ac:dyDescent="0.3">
      <c r="J733" s="61"/>
      <c r="K733" s="62"/>
    </row>
    <row r="734" spans="10:11" ht="15.75" customHeight="1" x14ac:dyDescent="0.3">
      <c r="J734" s="61"/>
      <c r="K734" s="62"/>
    </row>
    <row r="735" spans="10:11" ht="15.75" customHeight="1" x14ac:dyDescent="0.3">
      <c r="J735" s="61"/>
      <c r="K735" s="62"/>
    </row>
    <row r="736" spans="10:11" ht="15.75" customHeight="1" x14ac:dyDescent="0.3">
      <c r="J736" s="61"/>
      <c r="K736" s="62"/>
    </row>
    <row r="737" spans="10:11" ht="15.75" customHeight="1" x14ac:dyDescent="0.3">
      <c r="J737" s="61"/>
      <c r="K737" s="62"/>
    </row>
    <row r="738" spans="10:11" ht="15.75" customHeight="1" x14ac:dyDescent="0.3">
      <c r="J738" s="61"/>
      <c r="K738" s="62"/>
    </row>
    <row r="739" spans="10:11" ht="15.75" customHeight="1" x14ac:dyDescent="0.3">
      <c r="J739" s="61"/>
      <c r="K739" s="62"/>
    </row>
    <row r="740" spans="10:11" ht="15.75" customHeight="1" x14ac:dyDescent="0.3">
      <c r="J740" s="61"/>
      <c r="K740" s="62"/>
    </row>
    <row r="741" spans="10:11" ht="15.75" customHeight="1" x14ac:dyDescent="0.3">
      <c r="J741" s="61"/>
      <c r="K741" s="62"/>
    </row>
    <row r="742" spans="10:11" ht="15.75" customHeight="1" x14ac:dyDescent="0.3">
      <c r="J742" s="61"/>
      <c r="K742" s="62"/>
    </row>
    <row r="743" spans="10:11" ht="15.75" customHeight="1" x14ac:dyDescent="0.3">
      <c r="J743" s="61"/>
      <c r="K743" s="62"/>
    </row>
    <row r="744" spans="10:11" ht="15.75" customHeight="1" x14ac:dyDescent="0.3">
      <c r="J744" s="61"/>
      <c r="K744" s="62"/>
    </row>
    <row r="745" spans="10:11" ht="15.75" customHeight="1" x14ac:dyDescent="0.3">
      <c r="J745" s="61"/>
      <c r="K745" s="62"/>
    </row>
    <row r="746" spans="10:11" ht="15.75" customHeight="1" x14ac:dyDescent="0.3">
      <c r="J746" s="61"/>
      <c r="K746" s="62"/>
    </row>
    <row r="747" spans="10:11" ht="15.75" customHeight="1" x14ac:dyDescent="0.3">
      <c r="J747" s="61"/>
      <c r="K747" s="62"/>
    </row>
    <row r="748" spans="10:11" ht="15.75" customHeight="1" x14ac:dyDescent="0.3">
      <c r="J748" s="61"/>
      <c r="K748" s="62"/>
    </row>
    <row r="749" spans="10:11" ht="15.75" customHeight="1" x14ac:dyDescent="0.3">
      <c r="J749" s="61"/>
      <c r="K749" s="62"/>
    </row>
    <row r="750" spans="10:11" ht="15.75" customHeight="1" x14ac:dyDescent="0.3">
      <c r="J750" s="61"/>
      <c r="K750" s="62"/>
    </row>
    <row r="751" spans="10:11" ht="15.75" customHeight="1" x14ac:dyDescent="0.3">
      <c r="J751" s="61"/>
      <c r="K751" s="62"/>
    </row>
    <row r="752" spans="10:11" ht="15.75" customHeight="1" x14ac:dyDescent="0.3">
      <c r="J752" s="61"/>
      <c r="K752" s="62"/>
    </row>
    <row r="753" spans="10:11" ht="15.75" customHeight="1" x14ac:dyDescent="0.3">
      <c r="J753" s="61"/>
      <c r="K753" s="62"/>
    </row>
    <row r="754" spans="10:11" ht="15.75" customHeight="1" x14ac:dyDescent="0.3">
      <c r="J754" s="61"/>
      <c r="K754" s="62"/>
    </row>
    <row r="755" spans="10:11" ht="15.75" customHeight="1" x14ac:dyDescent="0.3">
      <c r="J755" s="61"/>
      <c r="K755" s="62"/>
    </row>
    <row r="756" spans="10:11" ht="15.75" customHeight="1" x14ac:dyDescent="0.3">
      <c r="J756" s="61"/>
      <c r="K756" s="62"/>
    </row>
    <row r="757" spans="10:11" ht="15.75" customHeight="1" x14ac:dyDescent="0.3">
      <c r="J757" s="61"/>
      <c r="K757" s="62"/>
    </row>
    <row r="758" spans="10:11" ht="15.75" customHeight="1" x14ac:dyDescent="0.3">
      <c r="J758" s="61"/>
      <c r="K758" s="62"/>
    </row>
    <row r="759" spans="10:11" ht="15.75" customHeight="1" x14ac:dyDescent="0.3">
      <c r="J759" s="61"/>
      <c r="K759" s="62"/>
    </row>
    <row r="760" spans="10:11" ht="15.75" customHeight="1" x14ac:dyDescent="0.3">
      <c r="J760" s="61"/>
      <c r="K760" s="62"/>
    </row>
    <row r="761" spans="10:11" ht="15.75" customHeight="1" x14ac:dyDescent="0.3">
      <c r="J761" s="61"/>
      <c r="K761" s="62"/>
    </row>
    <row r="762" spans="10:11" ht="15.75" customHeight="1" x14ac:dyDescent="0.3">
      <c r="J762" s="61"/>
      <c r="K762" s="62"/>
    </row>
    <row r="763" spans="10:11" ht="15.75" customHeight="1" x14ac:dyDescent="0.3">
      <c r="J763" s="61"/>
      <c r="K763" s="62"/>
    </row>
    <row r="764" spans="10:11" ht="15.75" customHeight="1" x14ac:dyDescent="0.3">
      <c r="J764" s="61"/>
      <c r="K764" s="62"/>
    </row>
    <row r="765" spans="10:11" ht="15.75" customHeight="1" x14ac:dyDescent="0.3">
      <c r="J765" s="61"/>
      <c r="K765" s="62"/>
    </row>
    <row r="766" spans="10:11" ht="15.75" customHeight="1" x14ac:dyDescent="0.3">
      <c r="J766" s="61"/>
      <c r="K766" s="62"/>
    </row>
    <row r="767" spans="10:11" ht="15.75" customHeight="1" x14ac:dyDescent="0.3">
      <c r="J767" s="61"/>
      <c r="K767" s="62"/>
    </row>
    <row r="768" spans="10:11" ht="15.75" customHeight="1" x14ac:dyDescent="0.3">
      <c r="J768" s="61"/>
      <c r="K768" s="62"/>
    </row>
    <row r="769" spans="10:11" ht="15.75" customHeight="1" x14ac:dyDescent="0.3">
      <c r="J769" s="61"/>
      <c r="K769" s="62"/>
    </row>
    <row r="770" spans="10:11" ht="15.75" customHeight="1" x14ac:dyDescent="0.3">
      <c r="J770" s="61"/>
      <c r="K770" s="62"/>
    </row>
    <row r="771" spans="10:11" ht="15.75" customHeight="1" x14ac:dyDescent="0.3">
      <c r="J771" s="61"/>
      <c r="K771" s="62"/>
    </row>
    <row r="772" spans="10:11" ht="15.75" customHeight="1" x14ac:dyDescent="0.3">
      <c r="J772" s="61"/>
      <c r="K772" s="62"/>
    </row>
    <row r="773" spans="10:11" ht="15.75" customHeight="1" x14ac:dyDescent="0.3">
      <c r="J773" s="61"/>
      <c r="K773" s="62"/>
    </row>
    <row r="774" spans="10:11" ht="15.75" customHeight="1" x14ac:dyDescent="0.3">
      <c r="J774" s="61"/>
      <c r="K774" s="62"/>
    </row>
    <row r="775" spans="10:11" ht="15.75" customHeight="1" x14ac:dyDescent="0.3">
      <c r="J775" s="61"/>
      <c r="K775" s="62"/>
    </row>
    <row r="776" spans="10:11" ht="15.75" customHeight="1" x14ac:dyDescent="0.3">
      <c r="J776" s="61"/>
      <c r="K776" s="62"/>
    </row>
    <row r="777" spans="10:11" ht="15.75" customHeight="1" x14ac:dyDescent="0.3">
      <c r="J777" s="61"/>
      <c r="K777" s="62"/>
    </row>
    <row r="778" spans="10:11" ht="15.75" customHeight="1" x14ac:dyDescent="0.3">
      <c r="J778" s="61"/>
      <c r="K778" s="62"/>
    </row>
    <row r="779" spans="10:11" ht="15.75" customHeight="1" x14ac:dyDescent="0.3">
      <c r="J779" s="61"/>
      <c r="K779" s="62"/>
    </row>
    <row r="780" spans="10:11" ht="15.75" customHeight="1" x14ac:dyDescent="0.3">
      <c r="J780" s="61"/>
      <c r="K780" s="62"/>
    </row>
    <row r="781" spans="10:11" ht="15.75" customHeight="1" x14ac:dyDescent="0.3">
      <c r="J781" s="61"/>
      <c r="K781" s="62"/>
    </row>
    <row r="782" spans="10:11" ht="15.75" customHeight="1" x14ac:dyDescent="0.3">
      <c r="J782" s="61"/>
      <c r="K782" s="62"/>
    </row>
    <row r="783" spans="10:11" ht="15.75" customHeight="1" x14ac:dyDescent="0.3">
      <c r="J783" s="61"/>
      <c r="K783" s="62"/>
    </row>
    <row r="784" spans="10:11" ht="15.75" customHeight="1" x14ac:dyDescent="0.3">
      <c r="J784" s="61"/>
      <c r="K784" s="62"/>
    </row>
    <row r="785" spans="10:11" ht="15.75" customHeight="1" x14ac:dyDescent="0.3">
      <c r="J785" s="61"/>
      <c r="K785" s="62"/>
    </row>
    <row r="786" spans="10:11" ht="15.75" customHeight="1" x14ac:dyDescent="0.3">
      <c r="J786" s="61"/>
      <c r="K786" s="62"/>
    </row>
    <row r="787" spans="10:11" ht="15.75" customHeight="1" x14ac:dyDescent="0.3">
      <c r="J787" s="61"/>
      <c r="K787" s="62"/>
    </row>
    <row r="788" spans="10:11" ht="15.75" customHeight="1" x14ac:dyDescent="0.3">
      <c r="J788" s="61"/>
      <c r="K788" s="62"/>
    </row>
    <row r="789" spans="10:11" ht="15.75" customHeight="1" x14ac:dyDescent="0.3">
      <c r="J789" s="61"/>
      <c r="K789" s="62"/>
    </row>
    <row r="790" spans="10:11" ht="15.75" customHeight="1" x14ac:dyDescent="0.3">
      <c r="J790" s="61"/>
      <c r="K790" s="62"/>
    </row>
    <row r="791" spans="10:11" ht="15.75" customHeight="1" x14ac:dyDescent="0.3">
      <c r="J791" s="61"/>
      <c r="K791" s="62"/>
    </row>
    <row r="792" spans="10:11" ht="15.75" customHeight="1" x14ac:dyDescent="0.3">
      <c r="J792" s="61"/>
      <c r="K792" s="62"/>
    </row>
    <row r="793" spans="10:11" ht="15.75" customHeight="1" x14ac:dyDescent="0.3">
      <c r="J793" s="61"/>
      <c r="K793" s="62"/>
    </row>
    <row r="794" spans="10:11" ht="15.75" customHeight="1" x14ac:dyDescent="0.3">
      <c r="J794" s="61"/>
      <c r="K794" s="62"/>
    </row>
    <row r="795" spans="10:11" ht="15.75" customHeight="1" x14ac:dyDescent="0.3">
      <c r="J795" s="61"/>
      <c r="K795" s="62"/>
    </row>
    <row r="796" spans="10:11" ht="15.75" customHeight="1" x14ac:dyDescent="0.3">
      <c r="J796" s="61"/>
      <c r="K796" s="62"/>
    </row>
    <row r="797" spans="10:11" ht="15.75" customHeight="1" x14ac:dyDescent="0.3">
      <c r="J797" s="61"/>
      <c r="K797" s="62"/>
    </row>
    <row r="798" spans="10:11" ht="15.75" customHeight="1" x14ac:dyDescent="0.3">
      <c r="J798" s="61"/>
      <c r="K798" s="62"/>
    </row>
    <row r="799" spans="10:11" ht="15.75" customHeight="1" x14ac:dyDescent="0.3">
      <c r="J799" s="61"/>
      <c r="K799" s="62"/>
    </row>
    <row r="800" spans="10:11" ht="15.75" customHeight="1" x14ac:dyDescent="0.3">
      <c r="J800" s="61"/>
      <c r="K800" s="62"/>
    </row>
    <row r="801" spans="10:11" ht="15.75" customHeight="1" x14ac:dyDescent="0.3">
      <c r="J801" s="61"/>
      <c r="K801" s="62"/>
    </row>
    <row r="802" spans="10:11" ht="15.75" customHeight="1" x14ac:dyDescent="0.3">
      <c r="J802" s="61"/>
      <c r="K802" s="62"/>
    </row>
    <row r="803" spans="10:11" ht="15.75" customHeight="1" x14ac:dyDescent="0.3">
      <c r="J803" s="61"/>
      <c r="K803" s="62"/>
    </row>
    <row r="804" spans="10:11" ht="15.75" customHeight="1" x14ac:dyDescent="0.3">
      <c r="J804" s="61"/>
      <c r="K804" s="62"/>
    </row>
    <row r="805" spans="10:11" ht="15.75" customHeight="1" x14ac:dyDescent="0.3">
      <c r="J805" s="61"/>
      <c r="K805" s="62"/>
    </row>
    <row r="806" spans="10:11" ht="15.75" customHeight="1" x14ac:dyDescent="0.3">
      <c r="J806" s="61"/>
      <c r="K806" s="62"/>
    </row>
    <row r="807" spans="10:11" ht="15.75" customHeight="1" x14ac:dyDescent="0.3">
      <c r="J807" s="61"/>
      <c r="K807" s="62"/>
    </row>
    <row r="808" spans="10:11" ht="15.75" customHeight="1" x14ac:dyDescent="0.3">
      <c r="J808" s="61"/>
      <c r="K808" s="62"/>
    </row>
    <row r="809" spans="10:11" ht="15.75" customHeight="1" x14ac:dyDescent="0.3">
      <c r="J809" s="61"/>
      <c r="K809" s="62"/>
    </row>
    <row r="810" spans="10:11" ht="15.75" customHeight="1" x14ac:dyDescent="0.3">
      <c r="J810" s="61"/>
      <c r="K810" s="62"/>
    </row>
    <row r="811" spans="10:11" ht="15.75" customHeight="1" x14ac:dyDescent="0.3">
      <c r="J811" s="61"/>
      <c r="K811" s="62"/>
    </row>
    <row r="812" spans="10:11" ht="15.75" customHeight="1" x14ac:dyDescent="0.3">
      <c r="J812" s="61"/>
      <c r="K812" s="62"/>
    </row>
    <row r="813" spans="10:11" ht="15.75" customHeight="1" x14ac:dyDescent="0.3">
      <c r="J813" s="61"/>
      <c r="K813" s="62"/>
    </row>
    <row r="814" spans="10:11" ht="15.75" customHeight="1" x14ac:dyDescent="0.3">
      <c r="J814" s="61"/>
      <c r="K814" s="62"/>
    </row>
    <row r="815" spans="10:11" ht="15.75" customHeight="1" x14ac:dyDescent="0.3">
      <c r="J815" s="61"/>
      <c r="K815" s="62"/>
    </row>
    <row r="816" spans="10:11" ht="15.75" customHeight="1" x14ac:dyDescent="0.3">
      <c r="J816" s="61"/>
      <c r="K816" s="62"/>
    </row>
    <row r="817" spans="10:11" ht="15.75" customHeight="1" x14ac:dyDescent="0.3">
      <c r="J817" s="61"/>
      <c r="K817" s="62"/>
    </row>
    <row r="818" spans="10:11" ht="15.75" customHeight="1" x14ac:dyDescent="0.3">
      <c r="J818" s="61"/>
      <c r="K818" s="62"/>
    </row>
    <row r="819" spans="10:11" ht="15.75" customHeight="1" x14ac:dyDescent="0.3">
      <c r="J819" s="61"/>
      <c r="K819" s="62"/>
    </row>
    <row r="820" spans="10:11" ht="15.75" customHeight="1" x14ac:dyDescent="0.3">
      <c r="J820" s="61"/>
      <c r="K820" s="62"/>
    </row>
    <row r="821" spans="10:11" ht="15.75" customHeight="1" x14ac:dyDescent="0.3">
      <c r="J821" s="61"/>
      <c r="K821" s="62"/>
    </row>
    <row r="822" spans="10:11" ht="15.75" customHeight="1" x14ac:dyDescent="0.3">
      <c r="J822" s="61"/>
      <c r="K822" s="62"/>
    </row>
    <row r="823" spans="10:11" ht="15.75" customHeight="1" x14ac:dyDescent="0.3">
      <c r="J823" s="61"/>
      <c r="K823" s="62"/>
    </row>
    <row r="824" spans="10:11" ht="15.75" customHeight="1" x14ac:dyDescent="0.3">
      <c r="J824" s="61"/>
      <c r="K824" s="62"/>
    </row>
    <row r="825" spans="10:11" ht="15.75" customHeight="1" x14ac:dyDescent="0.3">
      <c r="J825" s="61"/>
      <c r="K825" s="62"/>
    </row>
    <row r="826" spans="10:11" ht="15.75" customHeight="1" x14ac:dyDescent="0.3">
      <c r="J826" s="61"/>
      <c r="K826" s="62"/>
    </row>
    <row r="827" spans="10:11" ht="15.75" customHeight="1" x14ac:dyDescent="0.3">
      <c r="J827" s="61"/>
      <c r="K827" s="62"/>
    </row>
    <row r="828" spans="10:11" ht="15.75" customHeight="1" x14ac:dyDescent="0.3">
      <c r="J828" s="61"/>
      <c r="K828" s="62"/>
    </row>
    <row r="829" spans="10:11" ht="15.75" customHeight="1" x14ac:dyDescent="0.3">
      <c r="J829" s="61"/>
      <c r="K829" s="62"/>
    </row>
    <row r="830" spans="10:11" ht="15.75" customHeight="1" x14ac:dyDescent="0.3">
      <c r="J830" s="61"/>
      <c r="K830" s="62"/>
    </row>
    <row r="831" spans="10:11" ht="15.75" customHeight="1" x14ac:dyDescent="0.3">
      <c r="J831" s="61"/>
      <c r="K831" s="62"/>
    </row>
    <row r="832" spans="10:11" ht="15.75" customHeight="1" x14ac:dyDescent="0.3">
      <c r="J832" s="61"/>
      <c r="K832" s="62"/>
    </row>
    <row r="833" spans="10:11" ht="15.75" customHeight="1" x14ac:dyDescent="0.3">
      <c r="J833" s="61"/>
      <c r="K833" s="62"/>
    </row>
    <row r="834" spans="10:11" ht="15.75" customHeight="1" x14ac:dyDescent="0.3">
      <c r="J834" s="61"/>
      <c r="K834" s="62"/>
    </row>
    <row r="835" spans="10:11" ht="15.75" customHeight="1" x14ac:dyDescent="0.3">
      <c r="J835" s="61"/>
      <c r="K835" s="62"/>
    </row>
    <row r="836" spans="10:11" ht="15.75" customHeight="1" x14ac:dyDescent="0.3">
      <c r="J836" s="61"/>
      <c r="K836" s="62"/>
    </row>
    <row r="837" spans="10:11" ht="15.75" customHeight="1" x14ac:dyDescent="0.3">
      <c r="J837" s="61"/>
      <c r="K837" s="62"/>
    </row>
    <row r="838" spans="10:11" ht="15.75" customHeight="1" x14ac:dyDescent="0.3">
      <c r="J838" s="61"/>
      <c r="K838" s="62"/>
    </row>
    <row r="839" spans="10:11" ht="15.75" customHeight="1" x14ac:dyDescent="0.3">
      <c r="J839" s="61"/>
      <c r="K839" s="62"/>
    </row>
    <row r="840" spans="10:11" ht="15.75" customHeight="1" x14ac:dyDescent="0.3">
      <c r="J840" s="61"/>
      <c r="K840" s="62"/>
    </row>
    <row r="841" spans="10:11" ht="15.75" customHeight="1" x14ac:dyDescent="0.3">
      <c r="J841" s="61"/>
      <c r="K841" s="62"/>
    </row>
    <row r="842" spans="10:11" ht="15.75" customHeight="1" x14ac:dyDescent="0.3">
      <c r="J842" s="61"/>
      <c r="K842" s="62"/>
    </row>
    <row r="843" spans="10:11" ht="15.75" customHeight="1" x14ac:dyDescent="0.3">
      <c r="J843" s="61"/>
      <c r="K843" s="62"/>
    </row>
    <row r="844" spans="10:11" ht="15.75" customHeight="1" x14ac:dyDescent="0.3">
      <c r="J844" s="61"/>
      <c r="K844" s="62"/>
    </row>
    <row r="845" spans="10:11" ht="15.75" customHeight="1" x14ac:dyDescent="0.3">
      <c r="J845" s="61"/>
      <c r="K845" s="62"/>
    </row>
    <row r="846" spans="10:11" ht="15.75" customHeight="1" x14ac:dyDescent="0.3">
      <c r="J846" s="61"/>
      <c r="K846" s="62"/>
    </row>
    <row r="847" spans="10:11" ht="15.75" customHeight="1" x14ac:dyDescent="0.3">
      <c r="J847" s="61"/>
      <c r="K847" s="62"/>
    </row>
    <row r="848" spans="10:11" ht="15.75" customHeight="1" x14ac:dyDescent="0.3">
      <c r="J848" s="61"/>
      <c r="K848" s="62"/>
    </row>
    <row r="849" spans="10:11" ht="15.75" customHeight="1" x14ac:dyDescent="0.3">
      <c r="J849" s="61"/>
      <c r="K849" s="62"/>
    </row>
    <row r="850" spans="10:11" ht="15.75" customHeight="1" x14ac:dyDescent="0.3">
      <c r="J850" s="61"/>
      <c r="K850" s="62"/>
    </row>
    <row r="851" spans="10:11" ht="15.75" customHeight="1" x14ac:dyDescent="0.3">
      <c r="J851" s="61"/>
      <c r="K851" s="62"/>
    </row>
    <row r="852" spans="10:11" ht="15.75" customHeight="1" x14ac:dyDescent="0.3">
      <c r="J852" s="61"/>
      <c r="K852" s="62"/>
    </row>
    <row r="853" spans="10:11" ht="15.75" customHeight="1" x14ac:dyDescent="0.3">
      <c r="J853" s="61"/>
      <c r="K853" s="62"/>
    </row>
    <row r="854" spans="10:11" ht="15.75" customHeight="1" x14ac:dyDescent="0.3">
      <c r="J854" s="61"/>
      <c r="K854" s="62"/>
    </row>
    <row r="855" spans="10:11" ht="15.75" customHeight="1" x14ac:dyDescent="0.3">
      <c r="J855" s="61"/>
      <c r="K855" s="62"/>
    </row>
    <row r="856" spans="10:11" ht="15.75" customHeight="1" x14ac:dyDescent="0.3">
      <c r="J856" s="61"/>
      <c r="K856" s="62"/>
    </row>
    <row r="857" spans="10:11" ht="15.75" customHeight="1" x14ac:dyDescent="0.3">
      <c r="J857" s="61"/>
      <c r="K857" s="62"/>
    </row>
    <row r="858" spans="10:11" ht="15.75" customHeight="1" x14ac:dyDescent="0.3">
      <c r="J858" s="61"/>
      <c r="K858" s="62"/>
    </row>
    <row r="859" spans="10:11" ht="15.75" customHeight="1" x14ac:dyDescent="0.3">
      <c r="J859" s="61"/>
      <c r="K859" s="62"/>
    </row>
    <row r="860" spans="10:11" ht="15.75" customHeight="1" x14ac:dyDescent="0.3">
      <c r="J860" s="61"/>
      <c r="K860" s="62"/>
    </row>
    <row r="861" spans="10:11" ht="15.75" customHeight="1" x14ac:dyDescent="0.3">
      <c r="J861" s="61"/>
      <c r="K861" s="62"/>
    </row>
    <row r="862" spans="10:11" ht="15.75" customHeight="1" x14ac:dyDescent="0.3">
      <c r="J862" s="61"/>
      <c r="K862" s="62"/>
    </row>
    <row r="863" spans="10:11" ht="15.75" customHeight="1" x14ac:dyDescent="0.3">
      <c r="J863" s="61"/>
      <c r="K863" s="62"/>
    </row>
    <row r="864" spans="10:11" ht="15.75" customHeight="1" x14ac:dyDescent="0.3">
      <c r="J864" s="61"/>
      <c r="K864" s="62"/>
    </row>
    <row r="865" spans="10:11" ht="15.75" customHeight="1" x14ac:dyDescent="0.3">
      <c r="J865" s="61"/>
      <c r="K865" s="62"/>
    </row>
    <row r="866" spans="10:11" ht="15.75" customHeight="1" x14ac:dyDescent="0.3">
      <c r="J866" s="61"/>
      <c r="K866" s="62"/>
    </row>
    <row r="867" spans="10:11" ht="15.75" customHeight="1" x14ac:dyDescent="0.3">
      <c r="J867" s="61"/>
      <c r="K867" s="62"/>
    </row>
    <row r="868" spans="10:11" ht="15.75" customHeight="1" x14ac:dyDescent="0.3">
      <c r="J868" s="61"/>
      <c r="K868" s="62"/>
    </row>
    <row r="869" spans="10:11" ht="15.75" customHeight="1" x14ac:dyDescent="0.3">
      <c r="J869" s="61"/>
      <c r="K869" s="62"/>
    </row>
    <row r="870" spans="10:11" ht="15.75" customHeight="1" x14ac:dyDescent="0.3">
      <c r="J870" s="61"/>
      <c r="K870" s="62"/>
    </row>
    <row r="871" spans="10:11" ht="15.75" customHeight="1" x14ac:dyDescent="0.3">
      <c r="J871" s="61"/>
      <c r="K871" s="62"/>
    </row>
    <row r="872" spans="10:11" ht="15.75" customHeight="1" x14ac:dyDescent="0.3">
      <c r="J872" s="61"/>
      <c r="K872" s="62"/>
    </row>
    <row r="873" spans="10:11" ht="15.75" customHeight="1" x14ac:dyDescent="0.3">
      <c r="J873" s="61"/>
      <c r="K873" s="62"/>
    </row>
    <row r="874" spans="10:11" ht="15.75" customHeight="1" x14ac:dyDescent="0.3">
      <c r="J874" s="61"/>
      <c r="K874" s="62"/>
    </row>
    <row r="875" spans="10:11" ht="15.75" customHeight="1" x14ac:dyDescent="0.3">
      <c r="J875" s="61"/>
      <c r="K875" s="62"/>
    </row>
    <row r="876" spans="10:11" ht="15.75" customHeight="1" x14ac:dyDescent="0.3">
      <c r="J876" s="61"/>
      <c r="K876" s="62"/>
    </row>
    <row r="877" spans="10:11" ht="15.75" customHeight="1" x14ac:dyDescent="0.3">
      <c r="J877" s="61"/>
      <c r="K877" s="62"/>
    </row>
    <row r="878" spans="10:11" ht="15.75" customHeight="1" x14ac:dyDescent="0.3">
      <c r="J878" s="61"/>
      <c r="K878" s="62"/>
    </row>
    <row r="879" spans="10:11" ht="15.75" customHeight="1" x14ac:dyDescent="0.3">
      <c r="J879" s="61"/>
      <c r="K879" s="62"/>
    </row>
    <row r="880" spans="10:11" ht="15.75" customHeight="1" x14ac:dyDescent="0.3">
      <c r="J880" s="61"/>
      <c r="K880" s="62"/>
    </row>
    <row r="881" spans="10:11" ht="15.75" customHeight="1" x14ac:dyDescent="0.3">
      <c r="J881" s="61"/>
      <c r="K881" s="62"/>
    </row>
    <row r="882" spans="10:11" ht="15.75" customHeight="1" x14ac:dyDescent="0.3">
      <c r="J882" s="61"/>
      <c r="K882" s="62"/>
    </row>
    <row r="883" spans="10:11" ht="15.75" customHeight="1" x14ac:dyDescent="0.3">
      <c r="J883" s="61"/>
      <c r="K883" s="62"/>
    </row>
    <row r="884" spans="10:11" ht="15.75" customHeight="1" x14ac:dyDescent="0.3">
      <c r="J884" s="61"/>
      <c r="K884" s="62"/>
    </row>
    <row r="885" spans="10:11" ht="15.75" customHeight="1" x14ac:dyDescent="0.3">
      <c r="J885" s="61"/>
      <c r="K885" s="62"/>
    </row>
    <row r="886" spans="10:11" ht="15.75" customHeight="1" x14ac:dyDescent="0.3">
      <c r="J886" s="61"/>
      <c r="K886" s="62"/>
    </row>
    <row r="887" spans="10:11" ht="15.75" customHeight="1" x14ac:dyDescent="0.3">
      <c r="J887" s="61"/>
      <c r="K887" s="62"/>
    </row>
    <row r="888" spans="10:11" ht="15.75" customHeight="1" x14ac:dyDescent="0.3">
      <c r="J888" s="61"/>
      <c r="K888" s="62"/>
    </row>
    <row r="889" spans="10:11" ht="15.75" customHeight="1" x14ac:dyDescent="0.3">
      <c r="J889" s="61"/>
      <c r="K889" s="62"/>
    </row>
    <row r="890" spans="10:11" ht="15.75" customHeight="1" x14ac:dyDescent="0.3">
      <c r="J890" s="61"/>
      <c r="K890" s="62"/>
    </row>
    <row r="891" spans="10:11" ht="15.75" customHeight="1" x14ac:dyDescent="0.3">
      <c r="J891" s="61"/>
      <c r="K891" s="62"/>
    </row>
    <row r="892" spans="10:11" ht="15.75" customHeight="1" x14ac:dyDescent="0.3">
      <c r="J892" s="61"/>
      <c r="K892" s="62"/>
    </row>
    <row r="893" spans="10:11" ht="15.75" customHeight="1" x14ac:dyDescent="0.3">
      <c r="J893" s="61"/>
      <c r="K893" s="62"/>
    </row>
    <row r="894" spans="10:11" ht="15.75" customHeight="1" x14ac:dyDescent="0.3">
      <c r="J894" s="61"/>
      <c r="K894" s="62"/>
    </row>
    <row r="895" spans="10:11" ht="15.75" customHeight="1" x14ac:dyDescent="0.3">
      <c r="J895" s="61"/>
      <c r="K895" s="62"/>
    </row>
    <row r="896" spans="10:11" ht="15.75" customHeight="1" x14ac:dyDescent="0.3">
      <c r="J896" s="61"/>
      <c r="K896" s="62"/>
    </row>
    <row r="897" spans="10:11" ht="15.75" customHeight="1" x14ac:dyDescent="0.3">
      <c r="J897" s="61"/>
      <c r="K897" s="62"/>
    </row>
    <row r="898" spans="10:11" ht="15.75" customHeight="1" x14ac:dyDescent="0.3">
      <c r="J898" s="61"/>
      <c r="K898" s="62"/>
    </row>
    <row r="899" spans="10:11" ht="15.75" customHeight="1" x14ac:dyDescent="0.3">
      <c r="J899" s="61"/>
      <c r="K899" s="62"/>
    </row>
    <row r="900" spans="10:11" ht="15.75" customHeight="1" x14ac:dyDescent="0.3">
      <c r="J900" s="61"/>
      <c r="K900" s="62"/>
    </row>
    <row r="901" spans="10:11" ht="15.75" customHeight="1" x14ac:dyDescent="0.3">
      <c r="J901" s="61"/>
      <c r="K901" s="62"/>
    </row>
    <row r="902" spans="10:11" ht="15.75" customHeight="1" x14ac:dyDescent="0.3">
      <c r="J902" s="61"/>
      <c r="K902" s="62"/>
    </row>
    <row r="903" spans="10:11" ht="15.75" customHeight="1" x14ac:dyDescent="0.3">
      <c r="J903" s="61"/>
      <c r="K903" s="62"/>
    </row>
    <row r="904" spans="10:11" ht="15.75" customHeight="1" x14ac:dyDescent="0.3">
      <c r="J904" s="61"/>
      <c r="K904" s="62"/>
    </row>
    <row r="905" spans="10:11" ht="15.75" customHeight="1" x14ac:dyDescent="0.3">
      <c r="J905" s="61"/>
      <c r="K905" s="62"/>
    </row>
    <row r="906" spans="10:11" ht="15.75" customHeight="1" x14ac:dyDescent="0.3">
      <c r="J906" s="61"/>
      <c r="K906" s="62"/>
    </row>
    <row r="907" spans="10:11" ht="15.75" customHeight="1" x14ac:dyDescent="0.3">
      <c r="J907" s="61"/>
      <c r="K907" s="62"/>
    </row>
    <row r="908" spans="10:11" ht="15.75" customHeight="1" x14ac:dyDescent="0.3">
      <c r="J908" s="61"/>
      <c r="K908" s="62"/>
    </row>
    <row r="909" spans="10:11" ht="15.75" customHeight="1" x14ac:dyDescent="0.3">
      <c r="J909" s="61"/>
      <c r="K909" s="62"/>
    </row>
    <row r="910" spans="10:11" ht="15.75" customHeight="1" x14ac:dyDescent="0.3">
      <c r="J910" s="61"/>
      <c r="K910" s="62"/>
    </row>
    <row r="911" spans="10:11" ht="15.75" customHeight="1" x14ac:dyDescent="0.3">
      <c r="J911" s="61"/>
      <c r="K911" s="62"/>
    </row>
    <row r="912" spans="10:11" ht="15.75" customHeight="1" x14ac:dyDescent="0.3">
      <c r="J912" s="61"/>
      <c r="K912" s="62"/>
    </row>
    <row r="913" spans="10:11" ht="15.75" customHeight="1" x14ac:dyDescent="0.3">
      <c r="J913" s="61"/>
      <c r="K913" s="62"/>
    </row>
    <row r="914" spans="10:11" ht="15.75" customHeight="1" x14ac:dyDescent="0.3">
      <c r="J914" s="61"/>
      <c r="K914" s="62"/>
    </row>
    <row r="915" spans="10:11" ht="15.75" customHeight="1" x14ac:dyDescent="0.3">
      <c r="J915" s="61"/>
      <c r="K915" s="62"/>
    </row>
    <row r="916" spans="10:11" ht="15.75" customHeight="1" x14ac:dyDescent="0.3">
      <c r="J916" s="61"/>
      <c r="K916" s="62"/>
    </row>
    <row r="917" spans="10:11" ht="15.75" customHeight="1" x14ac:dyDescent="0.3">
      <c r="J917" s="61"/>
      <c r="K917" s="62"/>
    </row>
    <row r="918" spans="10:11" ht="15.75" customHeight="1" x14ac:dyDescent="0.3">
      <c r="J918" s="61"/>
      <c r="K918" s="62"/>
    </row>
    <row r="919" spans="10:11" ht="15.75" customHeight="1" x14ac:dyDescent="0.3">
      <c r="J919" s="61"/>
      <c r="K919" s="62"/>
    </row>
    <row r="920" spans="10:11" ht="15.75" customHeight="1" x14ac:dyDescent="0.3">
      <c r="J920" s="61"/>
      <c r="K920" s="62"/>
    </row>
    <row r="921" spans="10:11" ht="15.75" customHeight="1" x14ac:dyDescent="0.3">
      <c r="J921" s="61"/>
      <c r="K921" s="62"/>
    </row>
    <row r="922" spans="10:11" ht="15.75" customHeight="1" x14ac:dyDescent="0.3">
      <c r="J922" s="61"/>
      <c r="K922" s="62"/>
    </row>
    <row r="923" spans="10:11" ht="15.75" customHeight="1" x14ac:dyDescent="0.3">
      <c r="J923" s="61"/>
      <c r="K923" s="62"/>
    </row>
    <row r="924" spans="10:11" ht="15.75" customHeight="1" x14ac:dyDescent="0.3">
      <c r="J924" s="61"/>
      <c r="K924" s="62"/>
    </row>
    <row r="925" spans="10:11" ht="15.75" customHeight="1" x14ac:dyDescent="0.3">
      <c r="J925" s="61"/>
      <c r="K925" s="62"/>
    </row>
    <row r="926" spans="10:11" ht="15.75" customHeight="1" x14ac:dyDescent="0.3">
      <c r="J926" s="61"/>
      <c r="K926" s="62"/>
    </row>
    <row r="927" spans="10:11" ht="15.75" customHeight="1" x14ac:dyDescent="0.3">
      <c r="J927" s="61"/>
      <c r="K927" s="62"/>
    </row>
    <row r="928" spans="10:11" ht="15.75" customHeight="1" x14ac:dyDescent="0.3">
      <c r="J928" s="61"/>
      <c r="K928" s="62"/>
    </row>
    <row r="929" spans="10:11" ht="15.75" customHeight="1" x14ac:dyDescent="0.3">
      <c r="J929" s="61"/>
      <c r="K929" s="62"/>
    </row>
    <row r="930" spans="10:11" ht="15.75" customHeight="1" x14ac:dyDescent="0.3">
      <c r="J930" s="61"/>
      <c r="K930" s="62"/>
    </row>
    <row r="931" spans="10:11" ht="15.75" customHeight="1" x14ac:dyDescent="0.3">
      <c r="J931" s="61"/>
      <c r="K931" s="62"/>
    </row>
    <row r="932" spans="10:11" ht="15.75" customHeight="1" x14ac:dyDescent="0.3">
      <c r="J932" s="61"/>
      <c r="K932" s="62"/>
    </row>
    <row r="933" spans="10:11" ht="15.75" customHeight="1" x14ac:dyDescent="0.3">
      <c r="J933" s="61"/>
      <c r="K933" s="62"/>
    </row>
    <row r="934" spans="10:11" ht="15.75" customHeight="1" x14ac:dyDescent="0.3">
      <c r="J934" s="61"/>
      <c r="K934" s="62"/>
    </row>
    <row r="935" spans="10:11" ht="15.75" customHeight="1" x14ac:dyDescent="0.3">
      <c r="J935" s="61"/>
      <c r="K935" s="62"/>
    </row>
    <row r="936" spans="10:11" ht="15.75" customHeight="1" x14ac:dyDescent="0.3">
      <c r="J936" s="61"/>
      <c r="K936" s="62"/>
    </row>
    <row r="937" spans="10:11" ht="15.75" customHeight="1" x14ac:dyDescent="0.3">
      <c r="J937" s="61"/>
      <c r="K937" s="62"/>
    </row>
    <row r="938" spans="10:11" ht="15.75" customHeight="1" x14ac:dyDescent="0.3">
      <c r="J938" s="61"/>
      <c r="K938" s="62"/>
    </row>
    <row r="939" spans="10:11" ht="15.75" customHeight="1" x14ac:dyDescent="0.3">
      <c r="J939" s="61"/>
      <c r="K939" s="62"/>
    </row>
    <row r="940" spans="10:11" ht="15.75" customHeight="1" x14ac:dyDescent="0.3">
      <c r="J940" s="61"/>
      <c r="K940" s="62"/>
    </row>
    <row r="941" spans="10:11" ht="15.75" customHeight="1" x14ac:dyDescent="0.3">
      <c r="J941" s="61"/>
      <c r="K941" s="62"/>
    </row>
    <row r="942" spans="10:11" ht="15.75" customHeight="1" x14ac:dyDescent="0.3">
      <c r="J942" s="61"/>
      <c r="K942" s="62"/>
    </row>
    <row r="943" spans="10:11" ht="15.75" customHeight="1" x14ac:dyDescent="0.3">
      <c r="J943" s="61"/>
      <c r="K943" s="62"/>
    </row>
    <row r="944" spans="10:11" ht="15.75" customHeight="1" x14ac:dyDescent="0.3">
      <c r="J944" s="61"/>
      <c r="K944" s="62"/>
    </row>
    <row r="945" spans="10:11" ht="15.75" customHeight="1" x14ac:dyDescent="0.3">
      <c r="J945" s="61"/>
      <c r="K945" s="62"/>
    </row>
    <row r="946" spans="10:11" ht="15.75" customHeight="1" x14ac:dyDescent="0.3">
      <c r="J946" s="61"/>
      <c r="K946" s="62"/>
    </row>
    <row r="947" spans="10:11" ht="15.75" customHeight="1" x14ac:dyDescent="0.3">
      <c r="J947" s="61"/>
      <c r="K947" s="62"/>
    </row>
    <row r="948" spans="10:11" ht="15.75" customHeight="1" x14ac:dyDescent="0.3">
      <c r="J948" s="61"/>
      <c r="K948" s="62"/>
    </row>
    <row r="949" spans="10:11" ht="15.75" customHeight="1" x14ac:dyDescent="0.3">
      <c r="J949" s="61"/>
      <c r="K949" s="62"/>
    </row>
    <row r="950" spans="10:11" ht="15.75" customHeight="1" x14ac:dyDescent="0.3">
      <c r="J950" s="61"/>
      <c r="K950" s="62"/>
    </row>
    <row r="951" spans="10:11" ht="15.75" customHeight="1" x14ac:dyDescent="0.3">
      <c r="J951" s="61"/>
      <c r="K951" s="62"/>
    </row>
    <row r="952" spans="10:11" ht="15.75" customHeight="1" x14ac:dyDescent="0.3">
      <c r="J952" s="61"/>
      <c r="K952" s="62"/>
    </row>
    <row r="953" spans="10:11" ht="15.75" customHeight="1" x14ac:dyDescent="0.3">
      <c r="J953" s="61"/>
      <c r="K953" s="62"/>
    </row>
    <row r="954" spans="10:11" ht="15.75" customHeight="1" x14ac:dyDescent="0.3">
      <c r="J954" s="61"/>
      <c r="K954" s="62"/>
    </row>
    <row r="955" spans="10:11" ht="15.75" customHeight="1" x14ac:dyDescent="0.3">
      <c r="J955" s="61"/>
      <c r="K955" s="62"/>
    </row>
    <row r="956" spans="10:11" ht="15.75" customHeight="1" x14ac:dyDescent="0.3">
      <c r="J956" s="61"/>
      <c r="K956" s="62"/>
    </row>
    <row r="957" spans="10:11" ht="15.75" customHeight="1" x14ac:dyDescent="0.3">
      <c r="J957" s="61"/>
      <c r="K957" s="62"/>
    </row>
    <row r="958" spans="10:11" ht="15.75" customHeight="1" x14ac:dyDescent="0.3">
      <c r="J958" s="61"/>
      <c r="K958" s="62"/>
    </row>
    <row r="959" spans="10:11" ht="15.75" customHeight="1" x14ac:dyDescent="0.3">
      <c r="J959" s="61"/>
      <c r="K959" s="62"/>
    </row>
    <row r="960" spans="10:11" ht="15.75" customHeight="1" x14ac:dyDescent="0.3">
      <c r="J960" s="61"/>
      <c r="K960" s="62"/>
    </row>
    <row r="961" spans="10:11" ht="15.75" customHeight="1" x14ac:dyDescent="0.3">
      <c r="J961" s="61"/>
      <c r="K961" s="62"/>
    </row>
    <row r="962" spans="10:11" ht="15.75" customHeight="1" x14ac:dyDescent="0.3">
      <c r="J962" s="61"/>
      <c r="K962" s="62"/>
    </row>
    <row r="963" spans="10:11" ht="15.75" customHeight="1" x14ac:dyDescent="0.3">
      <c r="J963" s="61"/>
      <c r="K963" s="62"/>
    </row>
    <row r="964" spans="10:11" ht="15.75" customHeight="1" x14ac:dyDescent="0.3">
      <c r="J964" s="61"/>
      <c r="K964" s="62"/>
    </row>
    <row r="965" spans="10:11" ht="15.75" customHeight="1" x14ac:dyDescent="0.3">
      <c r="J965" s="61"/>
      <c r="K965" s="62"/>
    </row>
    <row r="966" spans="10:11" ht="15.75" customHeight="1" x14ac:dyDescent="0.3">
      <c r="J966" s="61"/>
      <c r="K966" s="62"/>
    </row>
    <row r="967" spans="10:11" ht="15.75" customHeight="1" x14ac:dyDescent="0.3">
      <c r="J967" s="61"/>
      <c r="K967" s="62"/>
    </row>
    <row r="968" spans="10:11" ht="15.75" customHeight="1" x14ac:dyDescent="0.3">
      <c r="J968" s="61"/>
      <c r="K968" s="62"/>
    </row>
    <row r="969" spans="10:11" ht="15.75" customHeight="1" x14ac:dyDescent="0.3">
      <c r="J969" s="61"/>
      <c r="K969" s="62"/>
    </row>
    <row r="970" spans="10:11" ht="15.75" customHeight="1" x14ac:dyDescent="0.3">
      <c r="J970" s="61"/>
      <c r="K970" s="62"/>
    </row>
    <row r="971" spans="10:11" ht="15.75" customHeight="1" x14ac:dyDescent="0.3">
      <c r="J971" s="61"/>
      <c r="K971" s="62"/>
    </row>
    <row r="972" spans="10:11" ht="15.75" customHeight="1" x14ac:dyDescent="0.3">
      <c r="J972" s="61"/>
      <c r="K972" s="62"/>
    </row>
    <row r="973" spans="10:11" ht="15.75" customHeight="1" x14ac:dyDescent="0.3">
      <c r="J973" s="61"/>
      <c r="K973" s="62"/>
    </row>
    <row r="974" spans="10:11" ht="15.75" customHeight="1" x14ac:dyDescent="0.3">
      <c r="J974" s="61"/>
      <c r="K974" s="62"/>
    </row>
    <row r="975" spans="10:11" ht="15.75" customHeight="1" x14ac:dyDescent="0.3">
      <c r="J975" s="61"/>
      <c r="K975" s="62"/>
    </row>
    <row r="976" spans="10:11" ht="15.75" customHeight="1" x14ac:dyDescent="0.3">
      <c r="J976" s="61"/>
      <c r="K976" s="62"/>
    </row>
    <row r="977" spans="10:11" ht="15.75" customHeight="1" x14ac:dyDescent="0.3">
      <c r="J977" s="61"/>
      <c r="K977" s="62"/>
    </row>
    <row r="978" spans="10:11" ht="15.75" customHeight="1" x14ac:dyDescent="0.3">
      <c r="J978" s="61"/>
      <c r="K978" s="62"/>
    </row>
    <row r="979" spans="10:11" ht="15.75" customHeight="1" x14ac:dyDescent="0.3">
      <c r="J979" s="61"/>
      <c r="K979" s="62"/>
    </row>
    <row r="980" spans="10:11" ht="15.75" customHeight="1" x14ac:dyDescent="0.3">
      <c r="J980" s="61"/>
      <c r="K980" s="62"/>
    </row>
    <row r="981" spans="10:11" ht="15.75" customHeight="1" x14ac:dyDescent="0.3">
      <c r="J981" s="61"/>
      <c r="K981" s="62"/>
    </row>
    <row r="982" spans="10:11" ht="15.75" customHeight="1" x14ac:dyDescent="0.3">
      <c r="J982" s="61"/>
      <c r="K982" s="62"/>
    </row>
    <row r="983" spans="10:11" ht="15.75" customHeight="1" x14ac:dyDescent="0.3">
      <c r="J983" s="61"/>
      <c r="K983" s="62"/>
    </row>
    <row r="984" spans="10:11" ht="15.75" customHeight="1" x14ac:dyDescent="0.3">
      <c r="J984" s="61"/>
      <c r="K984" s="62"/>
    </row>
    <row r="985" spans="10:11" ht="15.75" customHeight="1" x14ac:dyDescent="0.3">
      <c r="J985" s="61"/>
      <c r="K985" s="62"/>
    </row>
    <row r="986" spans="10:11" ht="15.75" customHeight="1" x14ac:dyDescent="0.3">
      <c r="J986" s="61"/>
      <c r="K986" s="62"/>
    </row>
    <row r="987" spans="10:11" ht="15.75" customHeight="1" x14ac:dyDescent="0.3">
      <c r="J987" s="61"/>
      <c r="K987" s="62"/>
    </row>
    <row r="988" spans="10:11" ht="15.75" customHeight="1" x14ac:dyDescent="0.3">
      <c r="J988" s="61"/>
      <c r="K988" s="62"/>
    </row>
    <row r="989" spans="10:11" ht="15.75" customHeight="1" x14ac:dyDescent="0.3">
      <c r="J989" s="61"/>
      <c r="K989" s="62"/>
    </row>
    <row r="990" spans="10:11" ht="15.75" customHeight="1" x14ac:dyDescent="0.3">
      <c r="J990" s="61"/>
      <c r="K990" s="62"/>
    </row>
    <row r="991" spans="10:11" ht="15.75" customHeight="1" x14ac:dyDescent="0.3">
      <c r="J991" s="61"/>
      <c r="K991" s="62"/>
    </row>
    <row r="992" spans="10:11" ht="15.75" customHeight="1" x14ac:dyDescent="0.3">
      <c r="J992" s="61"/>
      <c r="K992" s="62"/>
    </row>
    <row r="993" spans="10:11" ht="15.75" customHeight="1" x14ac:dyDescent="0.3">
      <c r="J993" s="61"/>
      <c r="K993" s="62"/>
    </row>
    <row r="994" spans="10:11" ht="15.75" customHeight="1" x14ac:dyDescent="0.3">
      <c r="J994" s="61"/>
      <c r="K994" s="62"/>
    </row>
    <row r="995" spans="10:11" ht="15.75" customHeight="1" x14ac:dyDescent="0.3">
      <c r="J995" s="61"/>
      <c r="K995" s="62"/>
    </row>
    <row r="996" spans="10:11" ht="15.75" customHeight="1" x14ac:dyDescent="0.3">
      <c r="J996" s="61"/>
      <c r="K996" s="62"/>
    </row>
    <row r="997" spans="10:11" ht="15.75" customHeight="1" x14ac:dyDescent="0.3">
      <c r="J997" s="61"/>
      <c r="K997" s="62"/>
    </row>
    <row r="998" spans="10:11" ht="15.75" customHeight="1" x14ac:dyDescent="0.3">
      <c r="J998" s="61"/>
      <c r="K998" s="62"/>
    </row>
    <row r="999" spans="10:11" ht="15.75" customHeight="1" x14ac:dyDescent="0.3">
      <c r="J999" s="61"/>
      <c r="K999" s="62"/>
    </row>
    <row r="1000" spans="10:11" ht="15.75" customHeight="1" x14ac:dyDescent="0.3">
      <c r="J1000" s="61"/>
      <c r="K1000" s="62"/>
    </row>
  </sheetData>
  <mergeCells count="24">
    <mergeCell ref="F21:G21"/>
    <mergeCell ref="F22:G22"/>
    <mergeCell ref="F24:G24"/>
    <mergeCell ref="B7:D7"/>
    <mergeCell ref="B8:D8"/>
    <mergeCell ref="B9:D9"/>
    <mergeCell ref="B10:B11"/>
    <mergeCell ref="C10:C11"/>
    <mergeCell ref="D10:D11"/>
    <mergeCell ref="E10:E11"/>
    <mergeCell ref="F10:F11"/>
    <mergeCell ref="G10:G11"/>
    <mergeCell ref="E7:H7"/>
    <mergeCell ref="H10:H11"/>
    <mergeCell ref="C13:G13"/>
    <mergeCell ref="C20:G20"/>
    <mergeCell ref="E8:H8"/>
    <mergeCell ref="E9:H9"/>
    <mergeCell ref="B2:F2"/>
    <mergeCell ref="G2:H5"/>
    <mergeCell ref="B3:F3"/>
    <mergeCell ref="B4:F4"/>
    <mergeCell ref="B6:C6"/>
    <mergeCell ref="D6:H6"/>
  </mergeCells>
  <printOptions horizontalCentered="1"/>
  <pageMargins left="0.51181102362204722" right="0.51181102362204722" top="0.55118110236220474" bottom="0.55118110236220474" header="0" footer="0"/>
  <pageSetup paperSize="9" scale="47" fitToHeight="0"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A8D08D"/>
    <pageSetUpPr fitToPage="1"/>
  </sheetPr>
  <dimension ref="A1:Z1000"/>
  <sheetViews>
    <sheetView showGridLines="0" topLeftCell="A8" workbookViewId="0">
      <selection activeCell="C10" sqref="C10"/>
    </sheetView>
  </sheetViews>
  <sheetFormatPr baseColWidth="10" defaultColWidth="14.44140625" defaultRowHeight="15" customHeight="1" x14ac:dyDescent="0.3"/>
  <cols>
    <col min="2" max="2" width="17.44140625" customWidth="1"/>
    <col min="3" max="3" width="36.6640625" customWidth="1"/>
    <col min="4" max="4" width="15" customWidth="1"/>
    <col min="5" max="5" width="28.44140625" customWidth="1"/>
    <col min="6" max="6" width="13.44140625" customWidth="1"/>
    <col min="7" max="7" width="26.5546875" customWidth="1"/>
    <col min="8" max="26" width="10.6640625" customWidth="1"/>
  </cols>
  <sheetData>
    <row r="1" spans="1:26" ht="28.8" x14ac:dyDescent="0.3">
      <c r="A1" s="134" t="s">
        <v>351</v>
      </c>
      <c r="B1" s="135" t="s">
        <v>352</v>
      </c>
      <c r="C1" s="136" t="s">
        <v>353</v>
      </c>
      <c r="D1" s="136" t="s">
        <v>354</v>
      </c>
      <c r="E1" s="137" t="s">
        <v>355</v>
      </c>
      <c r="F1" s="137" t="s">
        <v>356</v>
      </c>
      <c r="G1" s="137" t="s">
        <v>353</v>
      </c>
      <c r="H1" s="1"/>
      <c r="I1" s="1"/>
      <c r="J1" s="1"/>
      <c r="K1" s="1"/>
      <c r="L1" s="1"/>
      <c r="M1" s="1"/>
      <c r="N1" s="1"/>
      <c r="O1" s="1"/>
      <c r="P1" s="1"/>
      <c r="Q1" s="1"/>
      <c r="R1" s="1"/>
      <c r="S1" s="1"/>
      <c r="T1" s="1"/>
      <c r="U1" s="1"/>
      <c r="V1" s="1"/>
      <c r="W1" s="1"/>
      <c r="X1" s="1"/>
      <c r="Y1" s="1"/>
      <c r="Z1" s="1"/>
    </row>
    <row r="2" spans="1:26" ht="18" x14ac:dyDescent="0.3">
      <c r="A2" s="138"/>
      <c r="B2" s="470"/>
      <c r="C2" s="372"/>
      <c r="D2" s="372"/>
      <c r="E2" s="372"/>
      <c r="F2" s="372"/>
      <c r="G2" s="373"/>
      <c r="H2" s="1"/>
      <c r="I2" s="1"/>
      <c r="J2" s="1"/>
      <c r="K2" s="1"/>
      <c r="L2" s="1"/>
      <c r="M2" s="1"/>
      <c r="N2" s="1"/>
      <c r="O2" s="1"/>
      <c r="P2" s="1"/>
      <c r="Q2" s="1"/>
      <c r="R2" s="1"/>
      <c r="S2" s="1"/>
      <c r="T2" s="1"/>
      <c r="U2" s="1"/>
      <c r="V2" s="1"/>
      <c r="W2" s="1"/>
      <c r="X2" s="1"/>
      <c r="Y2" s="1"/>
      <c r="Z2" s="1"/>
    </row>
    <row r="3" spans="1:26" ht="81" customHeight="1" x14ac:dyDescent="0.3">
      <c r="A3" s="139">
        <v>5180711.8</v>
      </c>
      <c r="B3" s="140" t="s">
        <v>357</v>
      </c>
      <c r="C3" s="141" t="s">
        <v>358</v>
      </c>
      <c r="D3" s="299" t="s">
        <v>598</v>
      </c>
      <c r="E3" s="143" t="s">
        <v>359</v>
      </c>
      <c r="F3" s="298" t="s">
        <v>597</v>
      </c>
      <c r="G3" s="145" t="s">
        <v>360</v>
      </c>
      <c r="H3" s="1"/>
      <c r="I3" s="1"/>
      <c r="J3" s="1"/>
      <c r="K3" s="1"/>
      <c r="L3" s="1"/>
      <c r="M3" s="1"/>
      <c r="N3" s="1"/>
      <c r="O3" s="1"/>
      <c r="P3" s="1"/>
      <c r="Q3" s="1"/>
      <c r="R3" s="1"/>
      <c r="S3" s="1"/>
      <c r="T3" s="1"/>
      <c r="U3" s="1"/>
      <c r="V3" s="1"/>
      <c r="W3" s="1"/>
      <c r="X3" s="1"/>
      <c r="Y3" s="1"/>
      <c r="Z3" s="1"/>
    </row>
    <row r="4" spans="1:26" ht="90" customHeight="1" x14ac:dyDescent="0.3">
      <c r="A4" s="139">
        <v>5180711.8</v>
      </c>
      <c r="B4" s="140" t="s">
        <v>357</v>
      </c>
      <c r="C4" s="141" t="s">
        <v>361</v>
      </c>
      <c r="D4" s="142" t="s">
        <v>362</v>
      </c>
      <c r="E4" s="143" t="s">
        <v>359</v>
      </c>
      <c r="F4" s="144" t="s">
        <v>363</v>
      </c>
      <c r="G4" s="145" t="s">
        <v>364</v>
      </c>
      <c r="H4" s="1"/>
      <c r="I4" s="1"/>
      <c r="J4" s="1"/>
      <c r="K4" s="1"/>
      <c r="L4" s="1"/>
      <c r="M4" s="1"/>
      <c r="N4" s="1"/>
      <c r="O4" s="1"/>
      <c r="P4" s="1"/>
      <c r="Q4" s="1"/>
      <c r="R4" s="1"/>
      <c r="S4" s="1"/>
      <c r="T4" s="1"/>
      <c r="U4" s="1"/>
      <c r="V4" s="1"/>
      <c r="W4" s="1"/>
      <c r="X4" s="1"/>
      <c r="Y4" s="1"/>
      <c r="Z4" s="1"/>
    </row>
    <row r="5" spans="1:26" ht="82.5" customHeight="1" x14ac:dyDescent="0.3">
      <c r="A5" s="139">
        <v>3701834.4</v>
      </c>
      <c r="B5" s="140" t="s">
        <v>365</v>
      </c>
      <c r="C5" s="141" t="s">
        <v>366</v>
      </c>
      <c r="D5" s="142" t="s">
        <v>367</v>
      </c>
      <c r="E5" s="143" t="s">
        <v>359</v>
      </c>
      <c r="F5" s="144" t="s">
        <v>363</v>
      </c>
      <c r="G5" s="145" t="s">
        <v>364</v>
      </c>
      <c r="H5" s="1"/>
      <c r="I5" s="1"/>
      <c r="J5" s="1"/>
      <c r="K5" s="1"/>
      <c r="L5" s="1"/>
      <c r="M5" s="1"/>
      <c r="N5" s="1"/>
      <c r="O5" s="1"/>
      <c r="P5" s="1"/>
      <c r="Q5" s="1"/>
      <c r="R5" s="1"/>
      <c r="S5" s="1"/>
      <c r="T5" s="1"/>
      <c r="U5" s="1"/>
      <c r="V5" s="1"/>
      <c r="W5" s="1"/>
      <c r="X5" s="1"/>
      <c r="Y5" s="1"/>
      <c r="Z5" s="1"/>
    </row>
    <row r="6" spans="1:26" ht="75" customHeight="1" x14ac:dyDescent="0.3">
      <c r="A6" s="139">
        <v>3163858.2</v>
      </c>
      <c r="B6" s="140" t="s">
        <v>365</v>
      </c>
      <c r="C6" s="141" t="s">
        <v>368</v>
      </c>
      <c r="D6" s="142" t="s">
        <v>369</v>
      </c>
      <c r="E6" s="143" t="s">
        <v>359</v>
      </c>
      <c r="F6" s="144" t="s">
        <v>370</v>
      </c>
      <c r="G6" s="145" t="s">
        <v>371</v>
      </c>
      <c r="H6" s="1"/>
      <c r="I6" s="1"/>
      <c r="J6" s="1"/>
      <c r="K6" s="1"/>
      <c r="L6" s="1"/>
      <c r="M6" s="1"/>
      <c r="N6" s="1"/>
      <c r="O6" s="1"/>
      <c r="P6" s="1"/>
      <c r="Q6" s="1"/>
      <c r="R6" s="1"/>
      <c r="S6" s="1"/>
      <c r="T6" s="1"/>
      <c r="U6" s="1"/>
      <c r="V6" s="1"/>
      <c r="W6" s="1"/>
      <c r="X6" s="1"/>
      <c r="Y6" s="1"/>
      <c r="Z6" s="1"/>
    </row>
    <row r="7" spans="1:26" ht="88.5" customHeight="1" x14ac:dyDescent="0.3">
      <c r="A7" s="139">
        <v>2915615.2</v>
      </c>
      <c r="B7" s="140" t="s">
        <v>365</v>
      </c>
      <c r="C7" s="141" t="s">
        <v>372</v>
      </c>
      <c r="D7" s="142" t="s">
        <v>373</v>
      </c>
      <c r="E7" s="143" t="s">
        <v>359</v>
      </c>
      <c r="F7" s="144" t="s">
        <v>374</v>
      </c>
      <c r="G7" s="145" t="s">
        <v>375</v>
      </c>
      <c r="H7" s="1"/>
      <c r="I7" s="1"/>
      <c r="J7" s="1"/>
      <c r="K7" s="1"/>
      <c r="L7" s="1"/>
      <c r="M7" s="1"/>
      <c r="N7" s="1"/>
      <c r="O7" s="1"/>
      <c r="P7" s="1"/>
      <c r="Q7" s="1"/>
      <c r="R7" s="1"/>
      <c r="S7" s="1"/>
      <c r="T7" s="1"/>
      <c r="U7" s="1"/>
      <c r="V7" s="1"/>
      <c r="W7" s="1"/>
      <c r="X7" s="1"/>
      <c r="Y7" s="1"/>
      <c r="Z7" s="1"/>
    </row>
    <row r="8" spans="1:26" ht="84.75" customHeight="1" x14ac:dyDescent="0.3">
      <c r="A8" s="139">
        <v>2302061.2000000002</v>
      </c>
      <c r="B8" s="140" t="s">
        <v>365</v>
      </c>
      <c r="C8" s="141" t="s">
        <v>376</v>
      </c>
      <c r="D8" s="142" t="s">
        <v>377</v>
      </c>
      <c r="E8" s="143" t="s">
        <v>359</v>
      </c>
      <c r="F8" s="144">
        <v>1</v>
      </c>
      <c r="G8" s="145" t="s">
        <v>378</v>
      </c>
      <c r="H8" s="1"/>
      <c r="I8" s="1"/>
      <c r="J8" s="1"/>
      <c r="K8" s="1"/>
      <c r="L8" s="1"/>
      <c r="M8" s="1"/>
      <c r="N8" s="1"/>
      <c r="O8" s="1"/>
      <c r="P8" s="1"/>
      <c r="Q8" s="1"/>
      <c r="R8" s="1"/>
      <c r="S8" s="1"/>
      <c r="T8" s="1"/>
      <c r="U8" s="1"/>
      <c r="V8" s="1"/>
      <c r="W8" s="1"/>
      <c r="X8" s="1"/>
      <c r="Y8" s="1"/>
      <c r="Z8" s="1"/>
    </row>
    <row r="9" spans="1:26" ht="18" x14ac:dyDescent="0.3">
      <c r="A9" s="146"/>
      <c r="B9" s="471"/>
      <c r="C9" s="372"/>
      <c r="D9" s="372"/>
      <c r="E9" s="372"/>
      <c r="F9" s="372"/>
      <c r="G9" s="373"/>
      <c r="H9" s="1"/>
      <c r="I9" s="1"/>
      <c r="J9" s="1"/>
      <c r="K9" s="1"/>
      <c r="L9" s="1"/>
      <c r="M9" s="1"/>
      <c r="N9" s="1"/>
      <c r="O9" s="1"/>
      <c r="P9" s="1"/>
      <c r="Q9" s="1"/>
      <c r="R9" s="1"/>
      <c r="S9" s="1"/>
      <c r="T9" s="1"/>
      <c r="U9" s="1"/>
      <c r="V9" s="1"/>
      <c r="W9" s="1"/>
      <c r="X9" s="1"/>
      <c r="Y9" s="1"/>
      <c r="Z9" s="1"/>
    </row>
    <row r="10" spans="1:26" ht="93" customHeight="1" x14ac:dyDescent="0.3">
      <c r="A10" s="139">
        <v>1776945.75</v>
      </c>
      <c r="B10" s="140" t="s">
        <v>379</v>
      </c>
      <c r="C10" s="141" t="s">
        <v>380</v>
      </c>
      <c r="D10" s="142" t="s">
        <v>381</v>
      </c>
      <c r="E10" s="143" t="s">
        <v>359</v>
      </c>
      <c r="F10" s="144">
        <v>2</v>
      </c>
      <c r="G10" s="145" t="s">
        <v>382</v>
      </c>
      <c r="H10" s="1"/>
      <c r="I10" s="1"/>
      <c r="J10" s="1"/>
      <c r="K10" s="1"/>
      <c r="L10" s="1"/>
      <c r="M10" s="1"/>
      <c r="N10" s="1"/>
      <c r="O10" s="1"/>
      <c r="P10" s="1"/>
      <c r="Q10" s="1"/>
      <c r="R10" s="1"/>
      <c r="S10" s="1"/>
      <c r="T10" s="1"/>
      <c r="U10" s="1"/>
      <c r="V10" s="1"/>
      <c r="W10" s="1"/>
      <c r="X10" s="1"/>
      <c r="Y10" s="1"/>
      <c r="Z10" s="1"/>
    </row>
    <row r="11" spans="1:26" ht="81" customHeight="1" x14ac:dyDescent="0.3">
      <c r="A11" s="139">
        <v>1606578.75</v>
      </c>
      <c r="B11" s="140" t="s">
        <v>379</v>
      </c>
      <c r="C11" s="141" t="s">
        <v>380</v>
      </c>
      <c r="D11" s="142" t="s">
        <v>383</v>
      </c>
      <c r="E11" s="143" t="s">
        <v>359</v>
      </c>
      <c r="F11" s="144">
        <v>1</v>
      </c>
      <c r="G11" s="145" t="s">
        <v>384</v>
      </c>
      <c r="H11" s="1"/>
      <c r="I11" s="1"/>
      <c r="J11" s="1"/>
      <c r="K11" s="1"/>
      <c r="L11" s="1"/>
      <c r="M11" s="1"/>
      <c r="N11" s="1"/>
      <c r="O11" s="1"/>
      <c r="P11" s="1"/>
      <c r="Q11" s="1"/>
      <c r="R11" s="1"/>
      <c r="S11" s="1"/>
      <c r="T11" s="1"/>
      <c r="U11" s="1"/>
      <c r="V11" s="1"/>
      <c r="W11" s="1"/>
      <c r="X11" s="1"/>
      <c r="Y11" s="1"/>
      <c r="Z11" s="1"/>
    </row>
    <row r="12" spans="1:26" ht="18" x14ac:dyDescent="0.3">
      <c r="A12" s="147"/>
      <c r="B12" s="472"/>
      <c r="C12" s="369"/>
      <c r="D12" s="369"/>
      <c r="E12" s="369"/>
      <c r="F12" s="369"/>
      <c r="G12" s="473"/>
      <c r="H12" s="1"/>
      <c r="I12" s="1"/>
      <c r="J12" s="1"/>
      <c r="K12" s="1"/>
      <c r="L12" s="1"/>
      <c r="M12" s="1"/>
      <c r="N12" s="1"/>
      <c r="O12" s="1"/>
      <c r="P12" s="1"/>
      <c r="Q12" s="1"/>
      <c r="R12" s="1"/>
      <c r="S12" s="1"/>
      <c r="T12" s="1"/>
      <c r="U12" s="1"/>
      <c r="V12" s="1"/>
      <c r="W12" s="1"/>
      <c r="X12" s="1"/>
      <c r="Y12" s="1"/>
      <c r="Z12" s="1"/>
    </row>
    <row r="13" spans="1:26" ht="70.5" customHeight="1" x14ac:dyDescent="0.3">
      <c r="A13" s="139">
        <v>1208322.3999999999</v>
      </c>
      <c r="B13" s="140" t="s">
        <v>385</v>
      </c>
      <c r="C13" s="141" t="s">
        <v>386</v>
      </c>
      <c r="D13" s="142" t="s">
        <v>387</v>
      </c>
      <c r="E13" s="143" t="s">
        <v>359</v>
      </c>
      <c r="F13" s="144">
        <v>1</v>
      </c>
      <c r="G13" s="145" t="s">
        <v>388</v>
      </c>
      <c r="H13" s="1"/>
      <c r="I13" s="1"/>
      <c r="J13" s="1"/>
      <c r="K13" s="1"/>
      <c r="L13" s="1"/>
      <c r="M13" s="1"/>
      <c r="N13" s="1"/>
      <c r="O13" s="1"/>
      <c r="P13" s="1"/>
      <c r="Q13" s="1"/>
      <c r="R13" s="1"/>
      <c r="S13" s="1"/>
      <c r="T13" s="1"/>
      <c r="U13" s="1"/>
      <c r="V13" s="1"/>
      <c r="W13" s="1"/>
      <c r="X13" s="1"/>
      <c r="Y13" s="1"/>
      <c r="Z13" s="1"/>
    </row>
    <row r="14" spans="1:26" ht="59.25" customHeight="1" x14ac:dyDescent="0.3">
      <c r="A14" s="139">
        <v>1071855.6000000001</v>
      </c>
      <c r="B14" s="140" t="s">
        <v>385</v>
      </c>
      <c r="C14" s="141" t="s">
        <v>389</v>
      </c>
      <c r="D14" s="142" t="s">
        <v>390</v>
      </c>
      <c r="E14" s="143" t="s">
        <v>359</v>
      </c>
      <c r="F14" s="144">
        <v>1</v>
      </c>
      <c r="G14" s="145" t="s">
        <v>388</v>
      </c>
      <c r="H14" s="1"/>
      <c r="I14" s="1"/>
      <c r="J14" s="1"/>
      <c r="K14" s="1"/>
      <c r="L14" s="1"/>
      <c r="M14" s="1"/>
      <c r="N14" s="1"/>
      <c r="O14" s="1"/>
      <c r="P14" s="1"/>
      <c r="Q14" s="1"/>
      <c r="R14" s="1"/>
      <c r="S14" s="1"/>
      <c r="T14" s="1"/>
      <c r="U14" s="1"/>
      <c r="V14" s="1"/>
      <c r="W14" s="1"/>
      <c r="X14" s="1"/>
      <c r="Y14" s="1"/>
      <c r="Z14" s="1"/>
    </row>
    <row r="15" spans="1:26" ht="59.25" customHeight="1" x14ac:dyDescent="0.3">
      <c r="A15" s="6"/>
      <c r="B15" s="6"/>
      <c r="C15" s="6"/>
      <c r="D15" s="82"/>
      <c r="E15" s="82"/>
      <c r="F15" s="82"/>
      <c r="G15" s="1"/>
      <c r="H15" s="1"/>
      <c r="I15" s="1"/>
      <c r="J15" s="1"/>
      <c r="K15" s="1"/>
      <c r="L15" s="1"/>
      <c r="M15" s="1"/>
      <c r="N15" s="1"/>
      <c r="O15" s="1"/>
      <c r="P15" s="1"/>
      <c r="Q15" s="1"/>
      <c r="R15" s="1"/>
      <c r="S15" s="1"/>
      <c r="T15" s="1"/>
      <c r="U15" s="1"/>
      <c r="V15" s="1"/>
      <c r="W15" s="1"/>
      <c r="X15" s="1"/>
      <c r="Y15" s="1"/>
      <c r="Z15" s="1"/>
    </row>
    <row r="16" spans="1:26" ht="59.25" customHeight="1" x14ac:dyDescent="0.3">
      <c r="A16" s="6"/>
      <c r="B16" s="6"/>
      <c r="C16" s="6"/>
      <c r="D16" s="82"/>
      <c r="E16" s="82"/>
      <c r="F16" s="82"/>
      <c r="G16" s="1"/>
      <c r="H16" s="1"/>
      <c r="I16" s="1"/>
      <c r="J16" s="1"/>
      <c r="K16" s="1"/>
      <c r="L16" s="1"/>
      <c r="M16" s="1"/>
      <c r="N16" s="1"/>
      <c r="O16" s="1"/>
      <c r="P16" s="1"/>
      <c r="Q16" s="1"/>
      <c r="R16" s="1"/>
      <c r="S16" s="1"/>
      <c r="T16" s="1"/>
      <c r="U16" s="1"/>
      <c r="V16" s="1"/>
      <c r="W16" s="1"/>
      <c r="X16" s="1"/>
      <c r="Y16" s="1"/>
      <c r="Z16" s="1"/>
    </row>
    <row r="17" spans="1:26" ht="14.4" x14ac:dyDescent="0.3">
      <c r="A17" s="6"/>
      <c r="B17" s="6"/>
      <c r="C17" s="6"/>
      <c r="D17" s="82"/>
      <c r="E17" s="82"/>
      <c r="F17" s="82"/>
      <c r="G17" s="1"/>
      <c r="H17" s="1"/>
      <c r="I17" s="1"/>
      <c r="J17" s="1"/>
      <c r="K17" s="1"/>
      <c r="L17" s="1"/>
      <c r="M17" s="1"/>
      <c r="N17" s="1"/>
      <c r="O17" s="1"/>
      <c r="P17" s="1"/>
      <c r="Q17" s="1"/>
      <c r="R17" s="1"/>
      <c r="S17" s="1"/>
      <c r="T17" s="1"/>
      <c r="U17" s="1"/>
      <c r="V17" s="1"/>
      <c r="W17" s="1"/>
      <c r="X17" s="1"/>
      <c r="Y17" s="1"/>
      <c r="Z17" s="1"/>
    </row>
    <row r="18" spans="1:26" ht="14.4" x14ac:dyDescent="0.3">
      <c r="A18" s="6"/>
      <c r="B18" s="6"/>
      <c r="C18" s="6"/>
      <c r="D18" s="82"/>
      <c r="E18" s="82"/>
      <c r="F18" s="82"/>
      <c r="G18" s="1"/>
      <c r="H18" s="1"/>
      <c r="I18" s="1"/>
      <c r="J18" s="1"/>
      <c r="K18" s="1"/>
      <c r="L18" s="1"/>
      <c r="M18" s="1"/>
      <c r="N18" s="1"/>
      <c r="O18" s="1"/>
      <c r="P18" s="1"/>
      <c r="Q18" s="1"/>
      <c r="R18" s="1"/>
      <c r="S18" s="1"/>
      <c r="T18" s="1"/>
      <c r="U18" s="1"/>
      <c r="V18" s="1"/>
      <c r="W18" s="1"/>
      <c r="X18" s="1"/>
      <c r="Y18" s="1"/>
      <c r="Z18" s="1"/>
    </row>
    <row r="19" spans="1:26" ht="108" customHeight="1" x14ac:dyDescent="0.3">
      <c r="A19" s="6"/>
      <c r="B19" s="6"/>
      <c r="C19" s="6"/>
      <c r="D19" s="82"/>
      <c r="E19" s="82"/>
      <c r="F19" s="82"/>
      <c r="G19" s="1"/>
      <c r="H19" s="1"/>
      <c r="I19" s="1"/>
      <c r="J19" s="1"/>
      <c r="K19" s="1"/>
      <c r="L19" s="1"/>
      <c r="M19" s="1"/>
      <c r="N19" s="1"/>
      <c r="O19" s="1"/>
      <c r="P19" s="1"/>
      <c r="Q19" s="1"/>
      <c r="R19" s="1"/>
      <c r="S19" s="1"/>
      <c r="T19" s="1"/>
      <c r="U19" s="1"/>
      <c r="V19" s="1"/>
      <c r="W19" s="1"/>
      <c r="X19" s="1"/>
      <c r="Y19" s="1"/>
      <c r="Z19" s="1"/>
    </row>
    <row r="20" spans="1:26" ht="14.4" x14ac:dyDescent="0.3">
      <c r="A20" s="6"/>
      <c r="B20" s="6"/>
      <c r="C20" s="6"/>
      <c r="D20" s="82"/>
      <c r="E20" s="82"/>
      <c r="F20" s="82"/>
      <c r="G20" s="1"/>
      <c r="H20" s="1"/>
      <c r="I20" s="1"/>
      <c r="J20" s="1"/>
      <c r="K20" s="1"/>
      <c r="L20" s="1"/>
      <c r="M20" s="1"/>
      <c r="N20" s="1"/>
      <c r="O20" s="1"/>
      <c r="P20" s="1"/>
      <c r="Q20" s="1"/>
      <c r="R20" s="1"/>
      <c r="S20" s="1"/>
      <c r="T20" s="1"/>
      <c r="U20" s="1"/>
      <c r="V20" s="1"/>
      <c r="W20" s="1"/>
      <c r="X20" s="1"/>
      <c r="Y20" s="1"/>
      <c r="Z20" s="1"/>
    </row>
    <row r="21" spans="1:26" ht="15.75" customHeight="1" x14ac:dyDescent="0.3">
      <c r="A21" s="6"/>
      <c r="B21" s="6"/>
      <c r="C21" s="6"/>
      <c r="D21" s="82"/>
      <c r="E21" s="82"/>
      <c r="F21" s="82"/>
      <c r="G21" s="1"/>
      <c r="H21" s="1"/>
      <c r="I21" s="1"/>
      <c r="J21" s="1"/>
      <c r="K21" s="1"/>
      <c r="L21" s="1"/>
      <c r="M21" s="1"/>
      <c r="N21" s="1"/>
      <c r="O21" s="1"/>
      <c r="P21" s="1"/>
      <c r="Q21" s="1"/>
      <c r="R21" s="1"/>
      <c r="S21" s="1"/>
      <c r="T21" s="1"/>
      <c r="U21" s="1"/>
      <c r="V21" s="1"/>
      <c r="W21" s="1"/>
      <c r="X21" s="1"/>
      <c r="Y21" s="1"/>
      <c r="Z21" s="1"/>
    </row>
    <row r="22" spans="1:26" ht="15.75" customHeight="1" x14ac:dyDescent="0.3">
      <c r="A22" s="6"/>
      <c r="B22" s="6"/>
      <c r="C22" s="6"/>
      <c r="D22" s="82"/>
      <c r="E22" s="82"/>
      <c r="F22" s="82"/>
      <c r="G22" s="1"/>
      <c r="H22" s="1"/>
      <c r="I22" s="1"/>
      <c r="J22" s="1"/>
      <c r="K22" s="1"/>
      <c r="L22" s="1"/>
      <c r="M22" s="1"/>
      <c r="N22" s="1"/>
      <c r="O22" s="1"/>
      <c r="P22" s="1"/>
      <c r="Q22" s="1"/>
      <c r="R22" s="1"/>
      <c r="S22" s="1"/>
      <c r="T22" s="1"/>
      <c r="U22" s="1"/>
      <c r="V22" s="1"/>
      <c r="W22" s="1"/>
      <c r="X22" s="1"/>
      <c r="Y22" s="1"/>
      <c r="Z22" s="1"/>
    </row>
    <row r="23" spans="1:26" ht="15.75" customHeight="1" x14ac:dyDescent="0.3">
      <c r="A23" s="6"/>
      <c r="B23" s="6"/>
      <c r="C23" s="6"/>
      <c r="D23" s="82"/>
      <c r="E23" s="82"/>
      <c r="F23" s="82"/>
      <c r="G23" s="1"/>
      <c r="H23" s="1"/>
      <c r="I23" s="1"/>
      <c r="J23" s="1"/>
      <c r="K23" s="1"/>
      <c r="L23" s="1"/>
      <c r="M23" s="1"/>
      <c r="N23" s="1"/>
      <c r="O23" s="1"/>
      <c r="P23" s="1"/>
      <c r="Q23" s="1"/>
      <c r="R23" s="1"/>
      <c r="S23" s="1"/>
      <c r="T23" s="1"/>
      <c r="U23" s="1"/>
      <c r="V23" s="1"/>
      <c r="W23" s="1"/>
      <c r="X23" s="1"/>
      <c r="Y23" s="1"/>
      <c r="Z23" s="1"/>
    </row>
    <row r="24" spans="1:26" ht="15.75" customHeight="1" x14ac:dyDescent="0.3">
      <c r="A24" s="6"/>
      <c r="B24" s="6"/>
      <c r="C24" s="6"/>
      <c r="D24" s="82"/>
      <c r="E24" s="82"/>
      <c r="F24" s="82"/>
      <c r="G24" s="1"/>
      <c r="H24" s="1"/>
      <c r="I24" s="1"/>
      <c r="J24" s="1"/>
      <c r="K24" s="1"/>
      <c r="L24" s="1"/>
      <c r="M24" s="1"/>
      <c r="N24" s="1"/>
      <c r="O24" s="1"/>
      <c r="P24" s="1"/>
      <c r="Q24" s="1"/>
      <c r="R24" s="1"/>
      <c r="S24" s="1"/>
      <c r="T24" s="1"/>
      <c r="U24" s="1"/>
      <c r="V24" s="1"/>
      <c r="W24" s="1"/>
      <c r="X24" s="1"/>
      <c r="Y24" s="1"/>
      <c r="Z24" s="1"/>
    </row>
    <row r="25" spans="1:26" ht="15.75" customHeight="1" x14ac:dyDescent="0.3">
      <c r="A25" s="6"/>
      <c r="B25" s="6"/>
      <c r="C25" s="6"/>
      <c r="D25" s="82"/>
      <c r="E25" s="82"/>
      <c r="F25" s="82"/>
      <c r="G25" s="1"/>
      <c r="H25" s="1"/>
      <c r="I25" s="1"/>
      <c r="J25" s="1"/>
      <c r="K25" s="1"/>
      <c r="L25" s="1"/>
      <c r="M25" s="1"/>
      <c r="N25" s="1"/>
      <c r="O25" s="1"/>
      <c r="P25" s="1"/>
      <c r="Q25" s="1"/>
      <c r="R25" s="1"/>
      <c r="S25" s="1"/>
      <c r="T25" s="1"/>
      <c r="U25" s="1"/>
      <c r="V25" s="1"/>
      <c r="W25" s="1"/>
      <c r="X25" s="1"/>
      <c r="Y25" s="1"/>
      <c r="Z25" s="1"/>
    </row>
    <row r="26" spans="1:26" ht="15.75" customHeight="1" x14ac:dyDescent="0.3">
      <c r="A26" s="6"/>
      <c r="B26" s="6"/>
      <c r="C26" s="6"/>
      <c r="D26" s="82"/>
      <c r="E26" s="82"/>
      <c r="F26" s="82"/>
      <c r="G26" s="1"/>
      <c r="H26" s="1"/>
      <c r="I26" s="1"/>
      <c r="J26" s="1"/>
      <c r="K26" s="1"/>
      <c r="L26" s="1"/>
      <c r="M26" s="1"/>
      <c r="N26" s="1"/>
      <c r="O26" s="1"/>
      <c r="P26" s="1"/>
      <c r="Q26" s="1"/>
      <c r="R26" s="1"/>
      <c r="S26" s="1"/>
      <c r="T26" s="1"/>
      <c r="U26" s="1"/>
      <c r="V26" s="1"/>
      <c r="W26" s="1"/>
      <c r="X26" s="1"/>
      <c r="Y26" s="1"/>
      <c r="Z26" s="1"/>
    </row>
    <row r="27" spans="1:26" ht="15.75" customHeight="1" x14ac:dyDescent="0.3">
      <c r="A27" s="6"/>
      <c r="B27" s="6"/>
      <c r="C27" s="6"/>
      <c r="D27" s="82"/>
      <c r="E27" s="82"/>
      <c r="F27" s="82"/>
      <c r="G27" s="1"/>
      <c r="H27" s="1"/>
      <c r="I27" s="1"/>
      <c r="J27" s="1"/>
      <c r="K27" s="1"/>
      <c r="L27" s="1"/>
      <c r="M27" s="1"/>
      <c r="N27" s="1"/>
      <c r="O27" s="1"/>
      <c r="P27" s="1"/>
      <c r="Q27" s="1"/>
      <c r="R27" s="1"/>
      <c r="S27" s="1"/>
      <c r="T27" s="1"/>
      <c r="U27" s="1"/>
      <c r="V27" s="1"/>
      <c r="W27" s="1"/>
      <c r="X27" s="1"/>
      <c r="Y27" s="1"/>
      <c r="Z27" s="1"/>
    </row>
    <row r="28" spans="1:26" ht="15.75" customHeight="1" x14ac:dyDescent="0.3">
      <c r="A28" s="6"/>
      <c r="B28" s="6"/>
      <c r="C28" s="6"/>
      <c r="D28" s="82"/>
      <c r="E28" s="82"/>
      <c r="F28" s="82"/>
      <c r="G28" s="1"/>
      <c r="H28" s="1"/>
      <c r="I28" s="1"/>
      <c r="J28" s="1"/>
      <c r="K28" s="1"/>
      <c r="L28" s="1"/>
      <c r="M28" s="1"/>
      <c r="N28" s="1"/>
      <c r="O28" s="1"/>
      <c r="P28" s="1"/>
      <c r="Q28" s="1"/>
      <c r="R28" s="1"/>
      <c r="S28" s="1"/>
      <c r="T28" s="1"/>
      <c r="U28" s="1"/>
      <c r="V28" s="1"/>
      <c r="W28" s="1"/>
      <c r="X28" s="1"/>
      <c r="Y28" s="1"/>
      <c r="Z28" s="1"/>
    </row>
    <row r="29" spans="1:26" ht="15.75" customHeight="1" x14ac:dyDescent="0.3">
      <c r="A29" s="6"/>
      <c r="B29" s="6"/>
      <c r="C29" s="6"/>
      <c r="D29" s="82"/>
      <c r="E29" s="82"/>
      <c r="F29" s="82"/>
      <c r="G29" s="1"/>
      <c r="H29" s="1"/>
      <c r="I29" s="1"/>
      <c r="J29" s="1"/>
      <c r="K29" s="1"/>
      <c r="L29" s="1"/>
      <c r="M29" s="1"/>
      <c r="N29" s="1"/>
      <c r="O29" s="1"/>
      <c r="P29" s="1"/>
      <c r="Q29" s="1"/>
      <c r="R29" s="1"/>
      <c r="S29" s="1"/>
      <c r="T29" s="1"/>
      <c r="U29" s="1"/>
      <c r="V29" s="1"/>
      <c r="W29" s="1"/>
      <c r="X29" s="1"/>
      <c r="Y29" s="1"/>
      <c r="Z29" s="1"/>
    </row>
    <row r="30" spans="1:26" ht="15.75" customHeight="1" x14ac:dyDescent="0.3">
      <c r="A30" s="6"/>
      <c r="B30" s="6"/>
      <c r="C30" s="6"/>
      <c r="D30" s="82"/>
      <c r="E30" s="82"/>
      <c r="F30" s="82"/>
      <c r="G30" s="1"/>
      <c r="H30" s="1"/>
      <c r="I30" s="1"/>
      <c r="J30" s="1"/>
      <c r="K30" s="1"/>
      <c r="L30" s="1"/>
      <c r="M30" s="1"/>
      <c r="N30" s="1"/>
      <c r="O30" s="1"/>
      <c r="P30" s="1"/>
      <c r="Q30" s="1"/>
      <c r="R30" s="1"/>
      <c r="S30" s="1"/>
      <c r="T30" s="1"/>
      <c r="U30" s="1"/>
      <c r="V30" s="1"/>
      <c r="W30" s="1"/>
      <c r="X30" s="1"/>
      <c r="Y30" s="1"/>
      <c r="Z30" s="1"/>
    </row>
    <row r="31" spans="1:26" ht="15.75" customHeight="1" x14ac:dyDescent="0.3">
      <c r="A31" s="6"/>
      <c r="B31" s="6"/>
      <c r="C31" s="6"/>
      <c r="D31" s="82"/>
      <c r="E31" s="82"/>
      <c r="F31" s="82"/>
      <c r="G31" s="1"/>
      <c r="H31" s="1"/>
      <c r="I31" s="1"/>
      <c r="J31" s="1"/>
      <c r="K31" s="1"/>
      <c r="L31" s="1"/>
      <c r="M31" s="1"/>
      <c r="N31" s="1"/>
      <c r="O31" s="1"/>
      <c r="P31" s="1"/>
      <c r="Q31" s="1"/>
      <c r="R31" s="1"/>
      <c r="S31" s="1"/>
      <c r="T31" s="1"/>
      <c r="U31" s="1"/>
      <c r="V31" s="1"/>
      <c r="W31" s="1"/>
      <c r="X31" s="1"/>
      <c r="Y31" s="1"/>
      <c r="Z31" s="1"/>
    </row>
    <row r="32" spans="1:26" ht="15.75" customHeight="1" x14ac:dyDescent="0.3">
      <c r="A32" s="6"/>
      <c r="B32" s="6"/>
      <c r="C32" s="6"/>
      <c r="D32" s="82"/>
      <c r="E32" s="82"/>
      <c r="F32" s="82"/>
      <c r="G32" s="1"/>
      <c r="H32" s="1"/>
      <c r="I32" s="1"/>
      <c r="J32" s="1"/>
      <c r="K32" s="1"/>
      <c r="L32" s="1"/>
      <c r="M32" s="1"/>
      <c r="N32" s="1"/>
      <c r="O32" s="1"/>
      <c r="P32" s="1"/>
      <c r="Q32" s="1"/>
      <c r="R32" s="1"/>
      <c r="S32" s="1"/>
      <c r="T32" s="1"/>
      <c r="U32" s="1"/>
      <c r="V32" s="1"/>
      <c r="W32" s="1"/>
      <c r="X32" s="1"/>
      <c r="Y32" s="1"/>
      <c r="Z32" s="1"/>
    </row>
    <row r="33" spans="1:26" ht="15.75" customHeight="1" x14ac:dyDescent="0.3">
      <c r="A33" s="6"/>
      <c r="B33" s="6"/>
      <c r="C33" s="6"/>
      <c r="D33" s="82"/>
      <c r="E33" s="82"/>
      <c r="F33" s="82"/>
      <c r="G33" s="1"/>
      <c r="H33" s="1"/>
      <c r="I33" s="1"/>
      <c r="J33" s="1"/>
      <c r="K33" s="1"/>
      <c r="L33" s="1"/>
      <c r="M33" s="1"/>
      <c r="N33" s="1"/>
      <c r="O33" s="1"/>
      <c r="P33" s="1"/>
      <c r="Q33" s="1"/>
      <c r="R33" s="1"/>
      <c r="S33" s="1"/>
      <c r="T33" s="1"/>
      <c r="U33" s="1"/>
      <c r="V33" s="1"/>
      <c r="W33" s="1"/>
      <c r="X33" s="1"/>
      <c r="Y33" s="1"/>
      <c r="Z33" s="1"/>
    </row>
    <row r="34" spans="1:26" ht="15.75" customHeight="1" x14ac:dyDescent="0.3">
      <c r="A34" s="6"/>
      <c r="B34" s="6"/>
      <c r="C34" s="6"/>
      <c r="D34" s="82"/>
      <c r="E34" s="82"/>
      <c r="F34" s="82"/>
      <c r="G34" s="1"/>
      <c r="H34" s="1"/>
      <c r="I34" s="1"/>
      <c r="J34" s="1"/>
      <c r="K34" s="1"/>
      <c r="L34" s="1"/>
      <c r="M34" s="1"/>
      <c r="N34" s="1"/>
      <c r="O34" s="1"/>
      <c r="P34" s="1"/>
      <c r="Q34" s="1"/>
      <c r="R34" s="1"/>
      <c r="S34" s="1"/>
      <c r="T34" s="1"/>
      <c r="U34" s="1"/>
      <c r="V34" s="1"/>
      <c r="W34" s="1"/>
      <c r="X34" s="1"/>
      <c r="Y34" s="1"/>
      <c r="Z34" s="1"/>
    </row>
    <row r="35" spans="1:26" ht="15.75" customHeight="1" x14ac:dyDescent="0.3">
      <c r="A35" s="6"/>
      <c r="B35" s="6"/>
      <c r="C35" s="6"/>
      <c r="D35" s="82"/>
      <c r="E35" s="82"/>
      <c r="F35" s="82"/>
      <c r="G35" s="1"/>
      <c r="H35" s="1"/>
      <c r="I35" s="1"/>
      <c r="J35" s="1"/>
      <c r="K35" s="1"/>
      <c r="L35" s="1"/>
      <c r="M35" s="1"/>
      <c r="N35" s="1"/>
      <c r="O35" s="1"/>
      <c r="P35" s="1"/>
      <c r="Q35" s="1"/>
      <c r="R35" s="1"/>
      <c r="S35" s="1"/>
      <c r="T35" s="1"/>
      <c r="U35" s="1"/>
      <c r="V35" s="1"/>
      <c r="W35" s="1"/>
      <c r="X35" s="1"/>
      <c r="Y35" s="1"/>
      <c r="Z35" s="1"/>
    </row>
    <row r="36" spans="1:26" ht="15.75" customHeight="1" x14ac:dyDescent="0.3">
      <c r="A36" s="6"/>
      <c r="B36" s="6"/>
      <c r="C36" s="6"/>
      <c r="D36" s="82"/>
      <c r="E36" s="82"/>
      <c r="F36" s="82"/>
      <c r="G36" s="1"/>
      <c r="H36" s="1"/>
      <c r="I36" s="1"/>
      <c r="J36" s="1"/>
      <c r="K36" s="1"/>
      <c r="L36" s="1"/>
      <c r="M36" s="1"/>
      <c r="N36" s="1"/>
      <c r="O36" s="1"/>
      <c r="P36" s="1"/>
      <c r="Q36" s="1"/>
      <c r="R36" s="1"/>
      <c r="S36" s="1"/>
      <c r="T36" s="1"/>
      <c r="U36" s="1"/>
      <c r="V36" s="1"/>
      <c r="W36" s="1"/>
      <c r="X36" s="1"/>
      <c r="Y36" s="1"/>
      <c r="Z36" s="1"/>
    </row>
    <row r="37" spans="1:26" ht="15.75" customHeight="1" x14ac:dyDescent="0.3">
      <c r="A37" s="6"/>
      <c r="B37" s="6"/>
      <c r="C37" s="6"/>
      <c r="D37" s="82"/>
      <c r="E37" s="82"/>
      <c r="F37" s="82"/>
      <c r="G37" s="1"/>
      <c r="H37" s="1"/>
      <c r="I37" s="1"/>
      <c r="J37" s="1"/>
      <c r="K37" s="1"/>
      <c r="L37" s="1"/>
      <c r="M37" s="1"/>
      <c r="N37" s="1"/>
      <c r="O37" s="1"/>
      <c r="P37" s="1"/>
      <c r="Q37" s="1"/>
      <c r="R37" s="1"/>
      <c r="S37" s="1"/>
      <c r="T37" s="1"/>
      <c r="U37" s="1"/>
      <c r="V37" s="1"/>
      <c r="W37" s="1"/>
      <c r="X37" s="1"/>
      <c r="Y37" s="1"/>
      <c r="Z37" s="1"/>
    </row>
    <row r="38" spans="1:26" ht="15.75" customHeight="1" x14ac:dyDescent="0.3">
      <c r="A38" s="6"/>
      <c r="B38" s="6"/>
      <c r="C38" s="6"/>
      <c r="D38" s="82"/>
      <c r="E38" s="82"/>
      <c r="F38" s="82"/>
      <c r="G38" s="1"/>
      <c r="H38" s="1"/>
      <c r="I38" s="1"/>
      <c r="J38" s="1"/>
      <c r="K38" s="1"/>
      <c r="L38" s="1"/>
      <c r="M38" s="1"/>
      <c r="N38" s="1"/>
      <c r="O38" s="1"/>
      <c r="P38" s="1"/>
      <c r="Q38" s="1"/>
      <c r="R38" s="1"/>
      <c r="S38" s="1"/>
      <c r="T38" s="1"/>
      <c r="U38" s="1"/>
      <c r="V38" s="1"/>
      <c r="W38" s="1"/>
      <c r="X38" s="1"/>
      <c r="Y38" s="1"/>
      <c r="Z38" s="1"/>
    </row>
    <row r="39" spans="1:26" ht="15.75" customHeight="1" x14ac:dyDescent="0.3">
      <c r="A39" s="6"/>
      <c r="B39" s="6"/>
      <c r="C39" s="6"/>
      <c r="D39" s="82"/>
      <c r="E39" s="82"/>
      <c r="F39" s="82"/>
      <c r="G39" s="1"/>
      <c r="H39" s="1"/>
      <c r="I39" s="1"/>
      <c r="J39" s="1"/>
      <c r="K39" s="1"/>
      <c r="L39" s="1"/>
      <c r="M39" s="1"/>
      <c r="N39" s="1"/>
      <c r="O39" s="1"/>
      <c r="P39" s="1"/>
      <c r="Q39" s="1"/>
      <c r="R39" s="1"/>
      <c r="S39" s="1"/>
      <c r="T39" s="1"/>
      <c r="U39" s="1"/>
      <c r="V39" s="1"/>
      <c r="W39" s="1"/>
      <c r="X39" s="1"/>
      <c r="Y39" s="1"/>
      <c r="Z39" s="1"/>
    </row>
    <row r="40" spans="1:26" ht="15.75" customHeight="1" x14ac:dyDescent="0.3">
      <c r="A40" s="6"/>
      <c r="B40" s="6"/>
      <c r="C40" s="6"/>
      <c r="D40" s="82"/>
      <c r="E40" s="82"/>
      <c r="F40" s="82"/>
      <c r="G40" s="1"/>
      <c r="H40" s="1"/>
      <c r="I40" s="1"/>
      <c r="J40" s="1"/>
      <c r="K40" s="1"/>
      <c r="L40" s="1"/>
      <c r="M40" s="1"/>
      <c r="N40" s="1"/>
      <c r="O40" s="1"/>
      <c r="P40" s="1"/>
      <c r="Q40" s="1"/>
      <c r="R40" s="1"/>
      <c r="S40" s="1"/>
      <c r="T40" s="1"/>
      <c r="U40" s="1"/>
      <c r="V40" s="1"/>
      <c r="W40" s="1"/>
      <c r="X40" s="1"/>
      <c r="Y40" s="1"/>
      <c r="Z40" s="1"/>
    </row>
    <row r="41" spans="1:26" ht="15.75" customHeight="1" x14ac:dyDescent="0.3">
      <c r="A41" s="6"/>
      <c r="B41" s="6"/>
      <c r="C41" s="6"/>
      <c r="D41" s="82"/>
      <c r="E41" s="82"/>
      <c r="F41" s="82"/>
      <c r="G41" s="1"/>
      <c r="H41" s="1"/>
      <c r="I41" s="1"/>
      <c r="J41" s="1"/>
      <c r="K41" s="1"/>
      <c r="L41" s="1"/>
      <c r="M41" s="1"/>
      <c r="N41" s="1"/>
      <c r="O41" s="1"/>
      <c r="P41" s="1"/>
      <c r="Q41" s="1"/>
      <c r="R41" s="1"/>
      <c r="S41" s="1"/>
      <c r="T41" s="1"/>
      <c r="U41" s="1"/>
      <c r="V41" s="1"/>
      <c r="W41" s="1"/>
      <c r="X41" s="1"/>
      <c r="Y41" s="1"/>
      <c r="Z41" s="1"/>
    </row>
    <row r="42" spans="1:26" ht="15.75" customHeight="1" x14ac:dyDescent="0.3">
      <c r="A42" s="6"/>
      <c r="B42" s="6"/>
      <c r="C42" s="6"/>
      <c r="D42" s="82"/>
      <c r="E42" s="82"/>
      <c r="F42" s="82"/>
      <c r="G42" s="1"/>
      <c r="H42" s="1"/>
      <c r="I42" s="1"/>
      <c r="J42" s="1"/>
      <c r="K42" s="1"/>
      <c r="L42" s="1"/>
      <c r="M42" s="1"/>
      <c r="N42" s="1"/>
      <c r="O42" s="1"/>
      <c r="P42" s="1"/>
      <c r="Q42" s="1"/>
      <c r="R42" s="1"/>
      <c r="S42" s="1"/>
      <c r="T42" s="1"/>
      <c r="U42" s="1"/>
      <c r="V42" s="1"/>
      <c r="W42" s="1"/>
      <c r="X42" s="1"/>
      <c r="Y42" s="1"/>
      <c r="Z42" s="1"/>
    </row>
    <row r="43" spans="1:26" ht="15.75" customHeight="1" x14ac:dyDescent="0.3">
      <c r="A43" s="6"/>
      <c r="B43" s="6"/>
      <c r="C43" s="6"/>
      <c r="D43" s="82"/>
      <c r="E43" s="82"/>
      <c r="F43" s="82"/>
      <c r="G43" s="1"/>
      <c r="H43" s="1"/>
      <c r="I43" s="1"/>
      <c r="J43" s="1"/>
      <c r="K43" s="1"/>
      <c r="L43" s="1"/>
      <c r="M43" s="1"/>
      <c r="N43" s="1"/>
      <c r="O43" s="1"/>
      <c r="P43" s="1"/>
      <c r="Q43" s="1"/>
      <c r="R43" s="1"/>
      <c r="S43" s="1"/>
      <c r="T43" s="1"/>
      <c r="U43" s="1"/>
      <c r="V43" s="1"/>
      <c r="W43" s="1"/>
      <c r="X43" s="1"/>
      <c r="Y43" s="1"/>
      <c r="Z43" s="1"/>
    </row>
    <row r="44" spans="1:26" ht="15.75" customHeight="1" x14ac:dyDescent="0.3">
      <c r="A44" s="6"/>
      <c r="B44" s="6"/>
      <c r="C44" s="6"/>
      <c r="D44" s="82"/>
      <c r="E44" s="82"/>
      <c r="F44" s="82"/>
      <c r="G44" s="1"/>
      <c r="H44" s="1"/>
      <c r="I44" s="1"/>
      <c r="J44" s="1"/>
      <c r="K44" s="1"/>
      <c r="L44" s="1"/>
      <c r="M44" s="1"/>
      <c r="N44" s="1"/>
      <c r="O44" s="1"/>
      <c r="P44" s="1"/>
      <c r="Q44" s="1"/>
      <c r="R44" s="1"/>
      <c r="S44" s="1"/>
      <c r="T44" s="1"/>
      <c r="U44" s="1"/>
      <c r="V44" s="1"/>
      <c r="W44" s="1"/>
      <c r="X44" s="1"/>
      <c r="Y44" s="1"/>
      <c r="Z44" s="1"/>
    </row>
    <row r="45" spans="1:26" ht="15.75" customHeight="1" x14ac:dyDescent="0.3">
      <c r="A45" s="6"/>
      <c r="B45" s="6"/>
      <c r="C45" s="6"/>
      <c r="D45" s="82"/>
      <c r="E45" s="82"/>
      <c r="F45" s="82"/>
      <c r="G45" s="1"/>
      <c r="H45" s="1"/>
      <c r="I45" s="1"/>
      <c r="J45" s="1"/>
      <c r="K45" s="1"/>
      <c r="L45" s="1"/>
      <c r="M45" s="1"/>
      <c r="N45" s="1"/>
      <c r="O45" s="1"/>
      <c r="P45" s="1"/>
      <c r="Q45" s="1"/>
      <c r="R45" s="1"/>
      <c r="S45" s="1"/>
      <c r="T45" s="1"/>
      <c r="U45" s="1"/>
      <c r="V45" s="1"/>
      <c r="W45" s="1"/>
      <c r="X45" s="1"/>
      <c r="Y45" s="1"/>
      <c r="Z45" s="1"/>
    </row>
    <row r="46" spans="1:26" ht="15.75" customHeight="1" x14ac:dyDescent="0.3">
      <c r="A46" s="6"/>
      <c r="B46" s="6"/>
      <c r="C46" s="6"/>
      <c r="D46" s="82"/>
      <c r="E46" s="82"/>
      <c r="F46" s="82"/>
      <c r="G46" s="1"/>
      <c r="H46" s="1"/>
      <c r="I46" s="1"/>
      <c r="J46" s="1"/>
      <c r="K46" s="1"/>
      <c r="L46" s="1"/>
      <c r="M46" s="1"/>
      <c r="N46" s="1"/>
      <c r="O46" s="1"/>
      <c r="P46" s="1"/>
      <c r="Q46" s="1"/>
      <c r="R46" s="1"/>
      <c r="S46" s="1"/>
      <c r="T46" s="1"/>
      <c r="U46" s="1"/>
      <c r="V46" s="1"/>
      <c r="W46" s="1"/>
      <c r="X46" s="1"/>
      <c r="Y46" s="1"/>
      <c r="Z46" s="1"/>
    </row>
    <row r="47" spans="1:26" ht="15.75" customHeight="1" x14ac:dyDescent="0.3">
      <c r="A47" s="6"/>
      <c r="B47" s="6"/>
      <c r="C47" s="6"/>
      <c r="D47" s="82"/>
      <c r="E47" s="82"/>
      <c r="F47" s="82"/>
      <c r="G47" s="1"/>
      <c r="H47" s="1"/>
      <c r="I47" s="1"/>
      <c r="J47" s="1"/>
      <c r="K47" s="1"/>
      <c r="L47" s="1"/>
      <c r="M47" s="1"/>
      <c r="N47" s="1"/>
      <c r="O47" s="1"/>
      <c r="P47" s="1"/>
      <c r="Q47" s="1"/>
      <c r="R47" s="1"/>
      <c r="S47" s="1"/>
      <c r="T47" s="1"/>
      <c r="U47" s="1"/>
      <c r="V47" s="1"/>
      <c r="W47" s="1"/>
      <c r="X47" s="1"/>
      <c r="Y47" s="1"/>
      <c r="Z47" s="1"/>
    </row>
    <row r="48" spans="1:26" ht="15.75" customHeight="1" x14ac:dyDescent="0.3">
      <c r="A48" s="6"/>
      <c r="B48" s="6"/>
      <c r="C48" s="6"/>
      <c r="D48" s="82"/>
      <c r="E48" s="82"/>
      <c r="F48" s="82"/>
      <c r="G48" s="1"/>
      <c r="H48" s="1"/>
      <c r="I48" s="1"/>
      <c r="J48" s="1"/>
      <c r="K48" s="1"/>
      <c r="L48" s="1"/>
      <c r="M48" s="1"/>
      <c r="N48" s="1"/>
      <c r="O48" s="1"/>
      <c r="P48" s="1"/>
      <c r="Q48" s="1"/>
      <c r="R48" s="1"/>
      <c r="S48" s="1"/>
      <c r="T48" s="1"/>
      <c r="U48" s="1"/>
      <c r="V48" s="1"/>
      <c r="W48" s="1"/>
      <c r="X48" s="1"/>
      <c r="Y48" s="1"/>
      <c r="Z48" s="1"/>
    </row>
    <row r="49" spans="1:26" ht="15.75" customHeight="1" x14ac:dyDescent="0.3">
      <c r="A49" s="6"/>
      <c r="B49" s="6"/>
      <c r="C49" s="6"/>
      <c r="D49" s="82"/>
      <c r="E49" s="82"/>
      <c r="F49" s="82"/>
      <c r="G49" s="1"/>
      <c r="H49" s="1"/>
      <c r="I49" s="1"/>
      <c r="J49" s="1"/>
      <c r="K49" s="1"/>
      <c r="L49" s="1"/>
      <c r="M49" s="1"/>
      <c r="N49" s="1"/>
      <c r="O49" s="1"/>
      <c r="P49" s="1"/>
      <c r="Q49" s="1"/>
      <c r="R49" s="1"/>
      <c r="S49" s="1"/>
      <c r="T49" s="1"/>
      <c r="U49" s="1"/>
      <c r="V49" s="1"/>
      <c r="W49" s="1"/>
      <c r="X49" s="1"/>
      <c r="Y49" s="1"/>
      <c r="Z49" s="1"/>
    </row>
    <row r="50" spans="1:26" ht="15.75" customHeight="1" x14ac:dyDescent="0.3">
      <c r="A50" s="6"/>
      <c r="B50" s="6"/>
      <c r="C50" s="6"/>
      <c r="D50" s="82"/>
      <c r="E50" s="82"/>
      <c r="F50" s="82"/>
      <c r="G50" s="1"/>
      <c r="H50" s="1"/>
      <c r="I50" s="1"/>
      <c r="J50" s="1"/>
      <c r="K50" s="1"/>
      <c r="L50" s="1"/>
      <c r="M50" s="1"/>
      <c r="N50" s="1"/>
      <c r="O50" s="1"/>
      <c r="P50" s="1"/>
      <c r="Q50" s="1"/>
      <c r="R50" s="1"/>
      <c r="S50" s="1"/>
      <c r="T50" s="1"/>
      <c r="U50" s="1"/>
      <c r="V50" s="1"/>
      <c r="W50" s="1"/>
      <c r="X50" s="1"/>
      <c r="Y50" s="1"/>
      <c r="Z50" s="1"/>
    </row>
    <row r="51" spans="1:26" ht="15.75" customHeight="1" x14ac:dyDescent="0.3">
      <c r="A51" s="6"/>
      <c r="B51" s="6"/>
      <c r="C51" s="6"/>
      <c r="D51" s="82"/>
      <c r="E51" s="82"/>
      <c r="F51" s="82"/>
      <c r="G51" s="1"/>
      <c r="H51" s="1"/>
      <c r="I51" s="1"/>
      <c r="J51" s="1"/>
      <c r="K51" s="1"/>
      <c r="L51" s="1"/>
      <c r="M51" s="1"/>
      <c r="N51" s="1"/>
      <c r="O51" s="1"/>
      <c r="P51" s="1"/>
      <c r="Q51" s="1"/>
      <c r="R51" s="1"/>
      <c r="S51" s="1"/>
      <c r="T51" s="1"/>
      <c r="U51" s="1"/>
      <c r="V51" s="1"/>
      <c r="W51" s="1"/>
      <c r="X51" s="1"/>
      <c r="Y51" s="1"/>
      <c r="Z51" s="1"/>
    </row>
    <row r="52" spans="1:26" ht="15.75" customHeight="1" x14ac:dyDescent="0.3">
      <c r="A52" s="6"/>
      <c r="B52" s="6"/>
      <c r="C52" s="6"/>
      <c r="D52" s="82"/>
      <c r="E52" s="82"/>
      <c r="F52" s="82"/>
      <c r="G52" s="1"/>
      <c r="H52" s="1"/>
      <c r="I52" s="1"/>
      <c r="J52" s="1"/>
      <c r="K52" s="1"/>
      <c r="L52" s="1"/>
      <c r="M52" s="1"/>
      <c r="N52" s="1"/>
      <c r="O52" s="1"/>
      <c r="P52" s="1"/>
      <c r="Q52" s="1"/>
      <c r="R52" s="1"/>
      <c r="S52" s="1"/>
      <c r="T52" s="1"/>
      <c r="U52" s="1"/>
      <c r="V52" s="1"/>
      <c r="W52" s="1"/>
      <c r="X52" s="1"/>
      <c r="Y52" s="1"/>
      <c r="Z52" s="1"/>
    </row>
    <row r="53" spans="1:26" ht="15.75" customHeight="1" x14ac:dyDescent="0.3">
      <c r="A53" s="6"/>
      <c r="B53" s="6"/>
      <c r="C53" s="6"/>
      <c r="D53" s="82"/>
      <c r="E53" s="82"/>
      <c r="F53" s="82"/>
      <c r="G53" s="1"/>
      <c r="H53" s="1"/>
      <c r="I53" s="1"/>
      <c r="J53" s="1"/>
      <c r="K53" s="1"/>
      <c r="L53" s="1"/>
      <c r="M53" s="1"/>
      <c r="N53" s="1"/>
      <c r="O53" s="1"/>
      <c r="P53" s="1"/>
      <c r="Q53" s="1"/>
      <c r="R53" s="1"/>
      <c r="S53" s="1"/>
      <c r="T53" s="1"/>
      <c r="U53" s="1"/>
      <c r="V53" s="1"/>
      <c r="W53" s="1"/>
      <c r="X53" s="1"/>
      <c r="Y53" s="1"/>
      <c r="Z53" s="1"/>
    </row>
    <row r="54" spans="1:26" ht="15.75" customHeight="1" x14ac:dyDescent="0.3">
      <c r="A54" s="6"/>
      <c r="B54" s="6"/>
      <c r="C54" s="6"/>
      <c r="D54" s="82"/>
      <c r="E54" s="82"/>
      <c r="F54" s="82"/>
      <c r="G54" s="1"/>
      <c r="H54" s="1"/>
      <c r="I54" s="1"/>
      <c r="J54" s="1"/>
      <c r="K54" s="1"/>
      <c r="L54" s="1"/>
      <c r="M54" s="1"/>
      <c r="N54" s="1"/>
      <c r="O54" s="1"/>
      <c r="P54" s="1"/>
      <c r="Q54" s="1"/>
      <c r="R54" s="1"/>
      <c r="S54" s="1"/>
      <c r="T54" s="1"/>
      <c r="U54" s="1"/>
      <c r="V54" s="1"/>
      <c r="W54" s="1"/>
      <c r="X54" s="1"/>
      <c r="Y54" s="1"/>
      <c r="Z54" s="1"/>
    </row>
    <row r="55" spans="1:26" ht="15.75" customHeight="1" x14ac:dyDescent="0.3">
      <c r="A55" s="6"/>
      <c r="B55" s="6"/>
      <c r="C55" s="6"/>
      <c r="D55" s="82"/>
      <c r="E55" s="82"/>
      <c r="F55" s="82"/>
      <c r="G55" s="1"/>
      <c r="H55" s="1"/>
      <c r="I55" s="1"/>
      <c r="J55" s="1"/>
      <c r="K55" s="1"/>
      <c r="L55" s="1"/>
      <c r="M55" s="1"/>
      <c r="N55" s="1"/>
      <c r="O55" s="1"/>
      <c r="P55" s="1"/>
      <c r="Q55" s="1"/>
      <c r="R55" s="1"/>
      <c r="S55" s="1"/>
      <c r="T55" s="1"/>
      <c r="U55" s="1"/>
      <c r="V55" s="1"/>
      <c r="W55" s="1"/>
      <c r="X55" s="1"/>
      <c r="Y55" s="1"/>
      <c r="Z55" s="1"/>
    </row>
    <row r="56" spans="1:26" ht="15.75" customHeight="1" x14ac:dyDescent="0.3">
      <c r="A56" s="6"/>
      <c r="B56" s="6"/>
      <c r="C56" s="6"/>
      <c r="D56" s="82"/>
      <c r="E56" s="82"/>
      <c r="F56" s="82"/>
      <c r="G56" s="1"/>
      <c r="H56" s="1"/>
      <c r="I56" s="1"/>
      <c r="J56" s="1"/>
      <c r="K56" s="1"/>
      <c r="L56" s="1"/>
      <c r="M56" s="1"/>
      <c r="N56" s="1"/>
      <c r="O56" s="1"/>
      <c r="P56" s="1"/>
      <c r="Q56" s="1"/>
      <c r="R56" s="1"/>
      <c r="S56" s="1"/>
      <c r="T56" s="1"/>
      <c r="U56" s="1"/>
      <c r="V56" s="1"/>
      <c r="W56" s="1"/>
      <c r="X56" s="1"/>
      <c r="Y56" s="1"/>
      <c r="Z56" s="1"/>
    </row>
    <row r="57" spans="1:26" ht="15.75" customHeight="1" x14ac:dyDescent="0.3">
      <c r="A57" s="6"/>
      <c r="B57" s="6"/>
      <c r="C57" s="6"/>
      <c r="D57" s="82"/>
      <c r="E57" s="82"/>
      <c r="F57" s="82"/>
      <c r="G57" s="1"/>
      <c r="H57" s="1"/>
      <c r="I57" s="1"/>
      <c r="J57" s="1"/>
      <c r="K57" s="1"/>
      <c r="L57" s="1"/>
      <c r="M57" s="1"/>
      <c r="N57" s="1"/>
      <c r="O57" s="1"/>
      <c r="P57" s="1"/>
      <c r="Q57" s="1"/>
      <c r="R57" s="1"/>
      <c r="S57" s="1"/>
      <c r="T57" s="1"/>
      <c r="U57" s="1"/>
      <c r="V57" s="1"/>
      <c r="W57" s="1"/>
      <c r="X57" s="1"/>
      <c r="Y57" s="1"/>
      <c r="Z57" s="1"/>
    </row>
    <row r="58" spans="1:26" ht="15.75" customHeight="1" x14ac:dyDescent="0.3">
      <c r="A58" s="6"/>
      <c r="B58" s="6"/>
      <c r="C58" s="6"/>
      <c r="D58" s="82"/>
      <c r="E58" s="82"/>
      <c r="F58" s="82"/>
      <c r="G58" s="1"/>
      <c r="H58" s="1"/>
      <c r="I58" s="1"/>
      <c r="J58" s="1"/>
      <c r="K58" s="1"/>
      <c r="L58" s="1"/>
      <c r="M58" s="1"/>
      <c r="N58" s="1"/>
      <c r="O58" s="1"/>
      <c r="P58" s="1"/>
      <c r="Q58" s="1"/>
      <c r="R58" s="1"/>
      <c r="S58" s="1"/>
      <c r="T58" s="1"/>
      <c r="U58" s="1"/>
      <c r="V58" s="1"/>
      <c r="W58" s="1"/>
      <c r="X58" s="1"/>
      <c r="Y58" s="1"/>
      <c r="Z58" s="1"/>
    </row>
    <row r="59" spans="1:26" ht="15.75" customHeight="1" x14ac:dyDescent="0.3">
      <c r="A59" s="6"/>
      <c r="B59" s="6"/>
      <c r="C59" s="6"/>
      <c r="D59" s="82"/>
      <c r="E59" s="82"/>
      <c r="F59" s="82"/>
      <c r="G59" s="1"/>
      <c r="H59" s="1"/>
      <c r="I59" s="1"/>
      <c r="J59" s="1"/>
      <c r="K59" s="1"/>
      <c r="L59" s="1"/>
      <c r="M59" s="1"/>
      <c r="N59" s="1"/>
      <c r="O59" s="1"/>
      <c r="P59" s="1"/>
      <c r="Q59" s="1"/>
      <c r="R59" s="1"/>
      <c r="S59" s="1"/>
      <c r="T59" s="1"/>
      <c r="U59" s="1"/>
      <c r="V59" s="1"/>
      <c r="W59" s="1"/>
      <c r="X59" s="1"/>
      <c r="Y59" s="1"/>
      <c r="Z59" s="1"/>
    </row>
    <row r="60" spans="1:26" ht="15.75" customHeight="1" x14ac:dyDescent="0.3">
      <c r="A60" s="6"/>
      <c r="B60" s="6"/>
      <c r="C60" s="6"/>
      <c r="D60" s="82"/>
      <c r="E60" s="82"/>
      <c r="F60" s="82"/>
      <c r="G60" s="1"/>
      <c r="H60" s="1"/>
      <c r="I60" s="1"/>
      <c r="J60" s="1"/>
      <c r="K60" s="1"/>
      <c r="L60" s="1"/>
      <c r="M60" s="1"/>
      <c r="N60" s="1"/>
      <c r="O60" s="1"/>
      <c r="P60" s="1"/>
      <c r="Q60" s="1"/>
      <c r="R60" s="1"/>
      <c r="S60" s="1"/>
      <c r="T60" s="1"/>
      <c r="U60" s="1"/>
      <c r="V60" s="1"/>
      <c r="W60" s="1"/>
      <c r="X60" s="1"/>
      <c r="Y60" s="1"/>
      <c r="Z60" s="1"/>
    </row>
    <row r="61" spans="1:26" ht="15.75" customHeight="1" x14ac:dyDescent="0.3">
      <c r="A61" s="6"/>
      <c r="B61" s="6"/>
      <c r="C61" s="6"/>
      <c r="D61" s="82"/>
      <c r="E61" s="82"/>
      <c r="F61" s="82"/>
      <c r="G61" s="1"/>
      <c r="H61" s="1"/>
      <c r="I61" s="1"/>
      <c r="J61" s="1"/>
      <c r="K61" s="1"/>
      <c r="L61" s="1"/>
      <c r="M61" s="1"/>
      <c r="N61" s="1"/>
      <c r="O61" s="1"/>
      <c r="P61" s="1"/>
      <c r="Q61" s="1"/>
      <c r="R61" s="1"/>
      <c r="S61" s="1"/>
      <c r="T61" s="1"/>
      <c r="U61" s="1"/>
      <c r="V61" s="1"/>
      <c r="W61" s="1"/>
      <c r="X61" s="1"/>
      <c r="Y61" s="1"/>
      <c r="Z61" s="1"/>
    </row>
    <row r="62" spans="1:26" ht="15.75" customHeight="1" x14ac:dyDescent="0.3">
      <c r="A62" s="6"/>
      <c r="B62" s="6"/>
      <c r="C62" s="6"/>
      <c r="D62" s="82"/>
      <c r="E62" s="82"/>
      <c r="F62" s="82"/>
      <c r="G62" s="1"/>
      <c r="H62" s="1"/>
      <c r="I62" s="1"/>
      <c r="J62" s="1"/>
      <c r="K62" s="1"/>
      <c r="L62" s="1"/>
      <c r="M62" s="1"/>
      <c r="N62" s="1"/>
      <c r="O62" s="1"/>
      <c r="P62" s="1"/>
      <c r="Q62" s="1"/>
      <c r="R62" s="1"/>
      <c r="S62" s="1"/>
      <c r="T62" s="1"/>
      <c r="U62" s="1"/>
      <c r="V62" s="1"/>
      <c r="W62" s="1"/>
      <c r="X62" s="1"/>
      <c r="Y62" s="1"/>
      <c r="Z62" s="1"/>
    </row>
    <row r="63" spans="1:26" ht="15.75" customHeight="1" x14ac:dyDescent="0.3">
      <c r="A63" s="6"/>
      <c r="B63" s="6"/>
      <c r="C63" s="6"/>
      <c r="D63" s="82"/>
      <c r="E63" s="82"/>
      <c r="F63" s="82"/>
      <c r="G63" s="1"/>
      <c r="H63" s="1"/>
      <c r="I63" s="1"/>
      <c r="J63" s="1"/>
      <c r="K63" s="1"/>
      <c r="L63" s="1"/>
      <c r="M63" s="1"/>
      <c r="N63" s="1"/>
      <c r="O63" s="1"/>
      <c r="P63" s="1"/>
      <c r="Q63" s="1"/>
      <c r="R63" s="1"/>
      <c r="S63" s="1"/>
      <c r="T63" s="1"/>
      <c r="U63" s="1"/>
      <c r="V63" s="1"/>
      <c r="W63" s="1"/>
      <c r="X63" s="1"/>
      <c r="Y63" s="1"/>
      <c r="Z63" s="1"/>
    </row>
    <row r="64" spans="1:26" ht="15.75" customHeight="1" x14ac:dyDescent="0.3">
      <c r="A64" s="6"/>
      <c r="B64" s="6"/>
      <c r="C64" s="6"/>
      <c r="D64" s="82"/>
      <c r="E64" s="82"/>
      <c r="F64" s="82"/>
      <c r="G64" s="1"/>
      <c r="H64" s="1"/>
      <c r="I64" s="1"/>
      <c r="J64" s="1"/>
      <c r="K64" s="1"/>
      <c r="L64" s="1"/>
      <c r="M64" s="1"/>
      <c r="N64" s="1"/>
      <c r="O64" s="1"/>
      <c r="P64" s="1"/>
      <c r="Q64" s="1"/>
      <c r="R64" s="1"/>
      <c r="S64" s="1"/>
      <c r="T64" s="1"/>
      <c r="U64" s="1"/>
      <c r="V64" s="1"/>
      <c r="W64" s="1"/>
      <c r="X64" s="1"/>
      <c r="Y64" s="1"/>
      <c r="Z64" s="1"/>
    </row>
    <row r="65" spans="1:26" ht="15.75" customHeight="1" x14ac:dyDescent="0.3">
      <c r="A65" s="6"/>
      <c r="B65" s="6"/>
      <c r="C65" s="6"/>
      <c r="D65" s="82"/>
      <c r="E65" s="82"/>
      <c r="F65" s="82"/>
      <c r="G65" s="1"/>
      <c r="H65" s="1"/>
      <c r="I65" s="1"/>
      <c r="J65" s="1"/>
      <c r="K65" s="1"/>
      <c r="L65" s="1"/>
      <c r="M65" s="1"/>
      <c r="N65" s="1"/>
      <c r="O65" s="1"/>
      <c r="P65" s="1"/>
      <c r="Q65" s="1"/>
      <c r="R65" s="1"/>
      <c r="S65" s="1"/>
      <c r="T65" s="1"/>
      <c r="U65" s="1"/>
      <c r="V65" s="1"/>
      <c r="W65" s="1"/>
      <c r="X65" s="1"/>
      <c r="Y65" s="1"/>
      <c r="Z65" s="1"/>
    </row>
    <row r="66" spans="1:26" ht="15.75" customHeight="1" x14ac:dyDescent="0.3">
      <c r="A66" s="6"/>
      <c r="B66" s="6"/>
      <c r="C66" s="6"/>
      <c r="D66" s="82"/>
      <c r="E66" s="82"/>
      <c r="F66" s="82"/>
      <c r="G66" s="1"/>
      <c r="H66" s="1"/>
      <c r="I66" s="1"/>
      <c r="J66" s="1"/>
      <c r="K66" s="1"/>
      <c r="L66" s="1"/>
      <c r="M66" s="1"/>
      <c r="N66" s="1"/>
      <c r="O66" s="1"/>
      <c r="P66" s="1"/>
      <c r="Q66" s="1"/>
      <c r="R66" s="1"/>
      <c r="S66" s="1"/>
      <c r="T66" s="1"/>
      <c r="U66" s="1"/>
      <c r="V66" s="1"/>
      <c r="W66" s="1"/>
      <c r="X66" s="1"/>
      <c r="Y66" s="1"/>
      <c r="Z66" s="1"/>
    </row>
    <row r="67" spans="1:26" ht="15.75" customHeight="1" x14ac:dyDescent="0.3">
      <c r="A67" s="6"/>
      <c r="B67" s="6"/>
      <c r="C67" s="6"/>
      <c r="D67" s="82"/>
      <c r="E67" s="82"/>
      <c r="F67" s="82"/>
      <c r="G67" s="1"/>
      <c r="H67" s="1"/>
      <c r="I67" s="1"/>
      <c r="J67" s="1"/>
      <c r="K67" s="1"/>
      <c r="L67" s="1"/>
      <c r="M67" s="1"/>
      <c r="N67" s="1"/>
      <c r="O67" s="1"/>
      <c r="P67" s="1"/>
      <c r="Q67" s="1"/>
      <c r="R67" s="1"/>
      <c r="S67" s="1"/>
      <c r="T67" s="1"/>
      <c r="U67" s="1"/>
      <c r="V67" s="1"/>
      <c r="W67" s="1"/>
      <c r="X67" s="1"/>
      <c r="Y67" s="1"/>
      <c r="Z67" s="1"/>
    </row>
    <row r="68" spans="1:26" ht="15.75" customHeight="1" x14ac:dyDescent="0.3">
      <c r="A68" s="6"/>
      <c r="B68" s="6"/>
      <c r="C68" s="6"/>
      <c r="D68" s="82"/>
      <c r="E68" s="82"/>
      <c r="F68" s="82"/>
      <c r="G68" s="1"/>
      <c r="H68" s="1"/>
      <c r="I68" s="1"/>
      <c r="J68" s="1"/>
      <c r="K68" s="1"/>
      <c r="L68" s="1"/>
      <c r="M68" s="1"/>
      <c r="N68" s="1"/>
      <c r="O68" s="1"/>
      <c r="P68" s="1"/>
      <c r="Q68" s="1"/>
      <c r="R68" s="1"/>
      <c r="S68" s="1"/>
      <c r="T68" s="1"/>
      <c r="U68" s="1"/>
      <c r="V68" s="1"/>
      <c r="W68" s="1"/>
      <c r="X68" s="1"/>
      <c r="Y68" s="1"/>
      <c r="Z68" s="1"/>
    </row>
    <row r="69" spans="1:26" ht="15.75" customHeight="1" x14ac:dyDescent="0.3">
      <c r="A69" s="6"/>
      <c r="B69" s="6"/>
      <c r="C69" s="6"/>
      <c r="D69" s="82"/>
      <c r="E69" s="82"/>
      <c r="F69" s="82"/>
      <c r="G69" s="1"/>
      <c r="H69" s="1"/>
      <c r="I69" s="1"/>
      <c r="J69" s="1"/>
      <c r="K69" s="1"/>
      <c r="L69" s="1"/>
      <c r="M69" s="1"/>
      <c r="N69" s="1"/>
      <c r="O69" s="1"/>
      <c r="P69" s="1"/>
      <c r="Q69" s="1"/>
      <c r="R69" s="1"/>
      <c r="S69" s="1"/>
      <c r="T69" s="1"/>
      <c r="U69" s="1"/>
      <c r="V69" s="1"/>
      <c r="W69" s="1"/>
      <c r="X69" s="1"/>
      <c r="Y69" s="1"/>
      <c r="Z69" s="1"/>
    </row>
    <row r="70" spans="1:26" ht="15.75" customHeight="1" x14ac:dyDescent="0.3">
      <c r="A70" s="6"/>
      <c r="B70" s="6"/>
      <c r="C70" s="6"/>
      <c r="D70" s="82"/>
      <c r="E70" s="82"/>
      <c r="F70" s="82"/>
      <c r="G70" s="1"/>
      <c r="H70" s="1"/>
      <c r="I70" s="1"/>
      <c r="J70" s="1"/>
      <c r="K70" s="1"/>
      <c r="L70" s="1"/>
      <c r="M70" s="1"/>
      <c r="N70" s="1"/>
      <c r="O70" s="1"/>
      <c r="P70" s="1"/>
      <c r="Q70" s="1"/>
      <c r="R70" s="1"/>
      <c r="S70" s="1"/>
      <c r="T70" s="1"/>
      <c r="U70" s="1"/>
      <c r="V70" s="1"/>
      <c r="W70" s="1"/>
      <c r="X70" s="1"/>
      <c r="Y70" s="1"/>
      <c r="Z70" s="1"/>
    </row>
    <row r="71" spans="1:26" ht="15.75" customHeight="1" x14ac:dyDescent="0.3">
      <c r="A71" s="6"/>
      <c r="B71" s="6"/>
      <c r="C71" s="6"/>
      <c r="D71" s="82"/>
      <c r="E71" s="82"/>
      <c r="F71" s="82"/>
      <c r="G71" s="1"/>
      <c r="H71" s="1"/>
      <c r="I71" s="1"/>
      <c r="J71" s="1"/>
      <c r="K71" s="1"/>
      <c r="L71" s="1"/>
      <c r="M71" s="1"/>
      <c r="N71" s="1"/>
      <c r="O71" s="1"/>
      <c r="P71" s="1"/>
      <c r="Q71" s="1"/>
      <c r="R71" s="1"/>
      <c r="S71" s="1"/>
      <c r="T71" s="1"/>
      <c r="U71" s="1"/>
      <c r="V71" s="1"/>
      <c r="W71" s="1"/>
      <c r="X71" s="1"/>
      <c r="Y71" s="1"/>
      <c r="Z71" s="1"/>
    </row>
    <row r="72" spans="1:26" ht="15.75" customHeight="1" x14ac:dyDescent="0.3">
      <c r="A72" s="6"/>
      <c r="B72" s="6"/>
      <c r="C72" s="6"/>
      <c r="D72" s="82"/>
      <c r="E72" s="82"/>
      <c r="F72" s="82"/>
      <c r="G72" s="1"/>
      <c r="H72" s="1"/>
      <c r="I72" s="1"/>
      <c r="J72" s="1"/>
      <c r="K72" s="1"/>
      <c r="L72" s="1"/>
      <c r="M72" s="1"/>
      <c r="N72" s="1"/>
      <c r="O72" s="1"/>
      <c r="P72" s="1"/>
      <c r="Q72" s="1"/>
      <c r="R72" s="1"/>
      <c r="S72" s="1"/>
      <c r="T72" s="1"/>
      <c r="U72" s="1"/>
      <c r="V72" s="1"/>
      <c r="W72" s="1"/>
      <c r="X72" s="1"/>
      <c r="Y72" s="1"/>
      <c r="Z72" s="1"/>
    </row>
    <row r="73" spans="1:26" ht="15.75" customHeight="1" x14ac:dyDescent="0.3">
      <c r="A73" s="6"/>
      <c r="B73" s="6"/>
      <c r="C73" s="6"/>
      <c r="D73" s="82"/>
      <c r="E73" s="82"/>
      <c r="F73" s="82"/>
      <c r="G73" s="1"/>
      <c r="H73" s="1"/>
      <c r="I73" s="1"/>
      <c r="J73" s="1"/>
      <c r="K73" s="1"/>
      <c r="L73" s="1"/>
      <c r="M73" s="1"/>
      <c r="N73" s="1"/>
      <c r="O73" s="1"/>
      <c r="P73" s="1"/>
      <c r="Q73" s="1"/>
      <c r="R73" s="1"/>
      <c r="S73" s="1"/>
      <c r="T73" s="1"/>
      <c r="U73" s="1"/>
      <c r="V73" s="1"/>
      <c r="W73" s="1"/>
      <c r="X73" s="1"/>
      <c r="Y73" s="1"/>
      <c r="Z73" s="1"/>
    </row>
    <row r="74" spans="1:26" ht="15.75" customHeight="1" x14ac:dyDescent="0.3">
      <c r="A74" s="6"/>
      <c r="B74" s="6"/>
      <c r="C74" s="6"/>
      <c r="D74" s="82"/>
      <c r="E74" s="82"/>
      <c r="F74" s="82"/>
      <c r="G74" s="1"/>
      <c r="H74" s="1"/>
      <c r="I74" s="1"/>
      <c r="J74" s="1"/>
      <c r="K74" s="1"/>
      <c r="L74" s="1"/>
      <c r="M74" s="1"/>
      <c r="N74" s="1"/>
      <c r="O74" s="1"/>
      <c r="P74" s="1"/>
      <c r="Q74" s="1"/>
      <c r="R74" s="1"/>
      <c r="S74" s="1"/>
      <c r="T74" s="1"/>
      <c r="U74" s="1"/>
      <c r="V74" s="1"/>
      <c r="W74" s="1"/>
      <c r="X74" s="1"/>
      <c r="Y74" s="1"/>
      <c r="Z74" s="1"/>
    </row>
    <row r="75" spans="1:26" ht="15.75" customHeight="1" x14ac:dyDescent="0.3">
      <c r="A75" s="6"/>
      <c r="B75" s="6"/>
      <c r="C75" s="6"/>
      <c r="D75" s="82"/>
      <c r="E75" s="82"/>
      <c r="F75" s="82"/>
      <c r="G75" s="1"/>
      <c r="H75" s="1"/>
      <c r="I75" s="1"/>
      <c r="J75" s="1"/>
      <c r="K75" s="1"/>
      <c r="L75" s="1"/>
      <c r="M75" s="1"/>
      <c r="N75" s="1"/>
      <c r="O75" s="1"/>
      <c r="P75" s="1"/>
      <c r="Q75" s="1"/>
      <c r="R75" s="1"/>
      <c r="S75" s="1"/>
      <c r="T75" s="1"/>
      <c r="U75" s="1"/>
      <c r="V75" s="1"/>
      <c r="W75" s="1"/>
      <c r="X75" s="1"/>
      <c r="Y75" s="1"/>
      <c r="Z75" s="1"/>
    </row>
    <row r="76" spans="1:26" ht="15.75" customHeight="1" x14ac:dyDescent="0.3">
      <c r="A76" s="6"/>
      <c r="B76" s="6"/>
      <c r="C76" s="6"/>
      <c r="D76" s="82"/>
      <c r="E76" s="82"/>
      <c r="F76" s="82"/>
      <c r="G76" s="1"/>
      <c r="H76" s="1"/>
      <c r="I76" s="1"/>
      <c r="J76" s="1"/>
      <c r="K76" s="1"/>
      <c r="L76" s="1"/>
      <c r="M76" s="1"/>
      <c r="N76" s="1"/>
      <c r="O76" s="1"/>
      <c r="P76" s="1"/>
      <c r="Q76" s="1"/>
      <c r="R76" s="1"/>
      <c r="S76" s="1"/>
      <c r="T76" s="1"/>
      <c r="U76" s="1"/>
      <c r="V76" s="1"/>
      <c r="W76" s="1"/>
      <c r="X76" s="1"/>
      <c r="Y76" s="1"/>
      <c r="Z76" s="1"/>
    </row>
    <row r="77" spans="1:26" ht="15.75" customHeight="1" x14ac:dyDescent="0.3">
      <c r="A77" s="6"/>
      <c r="B77" s="6"/>
      <c r="C77" s="6"/>
      <c r="D77" s="82"/>
      <c r="E77" s="82"/>
      <c r="F77" s="82"/>
      <c r="G77" s="1"/>
      <c r="H77" s="1"/>
      <c r="I77" s="1"/>
      <c r="J77" s="1"/>
      <c r="K77" s="1"/>
      <c r="L77" s="1"/>
      <c r="M77" s="1"/>
      <c r="N77" s="1"/>
      <c r="O77" s="1"/>
      <c r="P77" s="1"/>
      <c r="Q77" s="1"/>
      <c r="R77" s="1"/>
      <c r="S77" s="1"/>
      <c r="T77" s="1"/>
      <c r="U77" s="1"/>
      <c r="V77" s="1"/>
      <c r="W77" s="1"/>
      <c r="X77" s="1"/>
      <c r="Y77" s="1"/>
      <c r="Z77" s="1"/>
    </row>
    <row r="78" spans="1:26" ht="15.75" customHeight="1" x14ac:dyDescent="0.3">
      <c r="A78" s="6"/>
      <c r="B78" s="6"/>
      <c r="C78" s="6"/>
      <c r="D78" s="82"/>
      <c r="E78" s="82"/>
      <c r="F78" s="82"/>
      <c r="G78" s="1"/>
      <c r="H78" s="1"/>
      <c r="I78" s="1"/>
      <c r="J78" s="1"/>
      <c r="K78" s="1"/>
      <c r="L78" s="1"/>
      <c r="M78" s="1"/>
      <c r="N78" s="1"/>
      <c r="O78" s="1"/>
      <c r="P78" s="1"/>
      <c r="Q78" s="1"/>
      <c r="R78" s="1"/>
      <c r="S78" s="1"/>
      <c r="T78" s="1"/>
      <c r="U78" s="1"/>
      <c r="V78" s="1"/>
      <c r="W78" s="1"/>
      <c r="X78" s="1"/>
      <c r="Y78" s="1"/>
      <c r="Z78" s="1"/>
    </row>
    <row r="79" spans="1:26" ht="15.75" customHeight="1" x14ac:dyDescent="0.3">
      <c r="A79" s="6"/>
      <c r="B79" s="6"/>
      <c r="C79" s="6"/>
      <c r="D79" s="82"/>
      <c r="E79" s="82"/>
      <c r="F79" s="82"/>
      <c r="G79" s="1"/>
      <c r="H79" s="1"/>
      <c r="I79" s="1"/>
      <c r="J79" s="1"/>
      <c r="K79" s="1"/>
      <c r="L79" s="1"/>
      <c r="M79" s="1"/>
      <c r="N79" s="1"/>
      <c r="O79" s="1"/>
      <c r="P79" s="1"/>
      <c r="Q79" s="1"/>
      <c r="R79" s="1"/>
      <c r="S79" s="1"/>
      <c r="T79" s="1"/>
      <c r="U79" s="1"/>
      <c r="V79" s="1"/>
      <c r="W79" s="1"/>
      <c r="X79" s="1"/>
      <c r="Y79" s="1"/>
      <c r="Z79" s="1"/>
    </row>
    <row r="80" spans="1:26" ht="15.75" customHeight="1" x14ac:dyDescent="0.3">
      <c r="A80" s="6"/>
      <c r="B80" s="6"/>
      <c r="C80" s="6"/>
      <c r="D80" s="82"/>
      <c r="E80" s="82"/>
      <c r="F80" s="82"/>
      <c r="G80" s="1"/>
      <c r="H80" s="1"/>
      <c r="I80" s="1"/>
      <c r="J80" s="1"/>
      <c r="K80" s="1"/>
      <c r="L80" s="1"/>
      <c r="M80" s="1"/>
      <c r="N80" s="1"/>
      <c r="O80" s="1"/>
      <c r="P80" s="1"/>
      <c r="Q80" s="1"/>
      <c r="R80" s="1"/>
      <c r="S80" s="1"/>
      <c r="T80" s="1"/>
      <c r="U80" s="1"/>
      <c r="V80" s="1"/>
      <c r="W80" s="1"/>
      <c r="X80" s="1"/>
      <c r="Y80" s="1"/>
      <c r="Z80" s="1"/>
    </row>
    <row r="81" spans="1:26" ht="15.75" customHeight="1" x14ac:dyDescent="0.3">
      <c r="A81" s="6"/>
      <c r="B81" s="6"/>
      <c r="C81" s="6"/>
      <c r="D81" s="82"/>
      <c r="E81" s="82"/>
      <c r="F81" s="82"/>
      <c r="G81" s="1"/>
      <c r="H81" s="1"/>
      <c r="I81" s="1"/>
      <c r="J81" s="1"/>
      <c r="K81" s="1"/>
      <c r="L81" s="1"/>
      <c r="M81" s="1"/>
      <c r="N81" s="1"/>
      <c r="O81" s="1"/>
      <c r="P81" s="1"/>
      <c r="Q81" s="1"/>
      <c r="R81" s="1"/>
      <c r="S81" s="1"/>
      <c r="T81" s="1"/>
      <c r="U81" s="1"/>
      <c r="V81" s="1"/>
      <c r="W81" s="1"/>
      <c r="X81" s="1"/>
      <c r="Y81" s="1"/>
      <c r="Z81" s="1"/>
    </row>
    <row r="82" spans="1:26" ht="15.75" customHeight="1" x14ac:dyDescent="0.3">
      <c r="A82" s="6"/>
      <c r="B82" s="6"/>
      <c r="C82" s="6"/>
      <c r="D82" s="82"/>
      <c r="E82" s="82"/>
      <c r="F82" s="82"/>
      <c r="G82" s="1"/>
      <c r="H82" s="1"/>
      <c r="I82" s="1"/>
      <c r="J82" s="1"/>
      <c r="K82" s="1"/>
      <c r="L82" s="1"/>
      <c r="M82" s="1"/>
      <c r="N82" s="1"/>
      <c r="O82" s="1"/>
      <c r="P82" s="1"/>
      <c r="Q82" s="1"/>
      <c r="R82" s="1"/>
      <c r="S82" s="1"/>
      <c r="T82" s="1"/>
      <c r="U82" s="1"/>
      <c r="V82" s="1"/>
      <c r="W82" s="1"/>
      <c r="X82" s="1"/>
      <c r="Y82" s="1"/>
      <c r="Z82" s="1"/>
    </row>
    <row r="83" spans="1:26" ht="15.75" customHeight="1" x14ac:dyDescent="0.3">
      <c r="A83" s="6"/>
      <c r="B83" s="6"/>
      <c r="C83" s="6"/>
      <c r="D83" s="82"/>
      <c r="E83" s="82"/>
      <c r="F83" s="82"/>
      <c r="G83" s="1"/>
      <c r="H83" s="1"/>
      <c r="I83" s="1"/>
      <c r="J83" s="1"/>
      <c r="K83" s="1"/>
      <c r="L83" s="1"/>
      <c r="M83" s="1"/>
      <c r="N83" s="1"/>
      <c r="O83" s="1"/>
      <c r="P83" s="1"/>
      <c r="Q83" s="1"/>
      <c r="R83" s="1"/>
      <c r="S83" s="1"/>
      <c r="T83" s="1"/>
      <c r="U83" s="1"/>
      <c r="V83" s="1"/>
      <c r="W83" s="1"/>
      <c r="X83" s="1"/>
      <c r="Y83" s="1"/>
      <c r="Z83" s="1"/>
    </row>
    <row r="84" spans="1:26" ht="15.75" customHeight="1" x14ac:dyDescent="0.3">
      <c r="A84" s="6"/>
      <c r="B84" s="6"/>
      <c r="C84" s="6"/>
      <c r="D84" s="82"/>
      <c r="E84" s="82"/>
      <c r="F84" s="82"/>
      <c r="G84" s="1"/>
      <c r="H84" s="1"/>
      <c r="I84" s="1"/>
      <c r="J84" s="1"/>
      <c r="K84" s="1"/>
      <c r="L84" s="1"/>
      <c r="M84" s="1"/>
      <c r="N84" s="1"/>
      <c r="O84" s="1"/>
      <c r="P84" s="1"/>
      <c r="Q84" s="1"/>
      <c r="R84" s="1"/>
      <c r="S84" s="1"/>
      <c r="T84" s="1"/>
      <c r="U84" s="1"/>
      <c r="V84" s="1"/>
      <c r="W84" s="1"/>
      <c r="X84" s="1"/>
      <c r="Y84" s="1"/>
      <c r="Z84" s="1"/>
    </row>
    <row r="85" spans="1:26" ht="15.75" customHeight="1" x14ac:dyDescent="0.3">
      <c r="A85" s="6"/>
      <c r="B85" s="6"/>
      <c r="C85" s="6"/>
      <c r="D85" s="82"/>
      <c r="E85" s="82"/>
      <c r="F85" s="82"/>
      <c r="G85" s="1"/>
      <c r="H85" s="1"/>
      <c r="I85" s="1"/>
      <c r="J85" s="1"/>
      <c r="K85" s="1"/>
      <c r="L85" s="1"/>
      <c r="M85" s="1"/>
      <c r="N85" s="1"/>
      <c r="O85" s="1"/>
      <c r="P85" s="1"/>
      <c r="Q85" s="1"/>
      <c r="R85" s="1"/>
      <c r="S85" s="1"/>
      <c r="T85" s="1"/>
      <c r="U85" s="1"/>
      <c r="V85" s="1"/>
      <c r="W85" s="1"/>
      <c r="X85" s="1"/>
      <c r="Y85" s="1"/>
      <c r="Z85" s="1"/>
    </row>
    <row r="86" spans="1:26" ht="15.75" customHeight="1" x14ac:dyDescent="0.3">
      <c r="A86" s="6"/>
      <c r="B86" s="6"/>
      <c r="C86" s="6"/>
      <c r="D86" s="82"/>
      <c r="E86" s="82"/>
      <c r="F86" s="82"/>
      <c r="G86" s="1"/>
      <c r="H86" s="1"/>
      <c r="I86" s="1"/>
      <c r="J86" s="1"/>
      <c r="K86" s="1"/>
      <c r="L86" s="1"/>
      <c r="M86" s="1"/>
      <c r="N86" s="1"/>
      <c r="O86" s="1"/>
      <c r="P86" s="1"/>
      <c r="Q86" s="1"/>
      <c r="R86" s="1"/>
      <c r="S86" s="1"/>
      <c r="T86" s="1"/>
      <c r="U86" s="1"/>
      <c r="V86" s="1"/>
      <c r="W86" s="1"/>
      <c r="X86" s="1"/>
      <c r="Y86" s="1"/>
      <c r="Z86" s="1"/>
    </row>
    <row r="87" spans="1:26" ht="15.75" customHeight="1" x14ac:dyDescent="0.3">
      <c r="A87" s="6"/>
      <c r="B87" s="6"/>
      <c r="C87" s="6"/>
      <c r="D87" s="82"/>
      <c r="E87" s="82"/>
      <c r="F87" s="82"/>
      <c r="G87" s="1"/>
      <c r="H87" s="1"/>
      <c r="I87" s="1"/>
      <c r="J87" s="1"/>
      <c r="K87" s="1"/>
      <c r="L87" s="1"/>
      <c r="M87" s="1"/>
      <c r="N87" s="1"/>
      <c r="O87" s="1"/>
      <c r="P87" s="1"/>
      <c r="Q87" s="1"/>
      <c r="R87" s="1"/>
      <c r="S87" s="1"/>
      <c r="T87" s="1"/>
      <c r="U87" s="1"/>
      <c r="V87" s="1"/>
      <c r="W87" s="1"/>
      <c r="X87" s="1"/>
      <c r="Y87" s="1"/>
      <c r="Z87" s="1"/>
    </row>
    <row r="88" spans="1:26" ht="15.75" customHeight="1" x14ac:dyDescent="0.3">
      <c r="A88" s="6"/>
      <c r="B88" s="6"/>
      <c r="C88" s="6"/>
      <c r="D88" s="82"/>
      <c r="E88" s="82"/>
      <c r="F88" s="82"/>
      <c r="G88" s="1"/>
      <c r="H88" s="1"/>
      <c r="I88" s="1"/>
      <c r="J88" s="1"/>
      <c r="K88" s="1"/>
      <c r="L88" s="1"/>
      <c r="M88" s="1"/>
      <c r="N88" s="1"/>
      <c r="O88" s="1"/>
      <c r="P88" s="1"/>
      <c r="Q88" s="1"/>
      <c r="R88" s="1"/>
      <c r="S88" s="1"/>
      <c r="T88" s="1"/>
      <c r="U88" s="1"/>
      <c r="V88" s="1"/>
      <c r="W88" s="1"/>
      <c r="X88" s="1"/>
      <c r="Y88" s="1"/>
      <c r="Z88" s="1"/>
    </row>
    <row r="89" spans="1:26" ht="15.75" customHeight="1" x14ac:dyDescent="0.3">
      <c r="A89" s="6"/>
      <c r="B89" s="6"/>
      <c r="C89" s="6"/>
      <c r="D89" s="82"/>
      <c r="E89" s="82"/>
      <c r="F89" s="82"/>
      <c r="G89" s="1"/>
      <c r="H89" s="1"/>
      <c r="I89" s="1"/>
      <c r="J89" s="1"/>
      <c r="K89" s="1"/>
      <c r="L89" s="1"/>
      <c r="M89" s="1"/>
      <c r="N89" s="1"/>
      <c r="O89" s="1"/>
      <c r="P89" s="1"/>
      <c r="Q89" s="1"/>
      <c r="R89" s="1"/>
      <c r="S89" s="1"/>
      <c r="T89" s="1"/>
      <c r="U89" s="1"/>
      <c r="V89" s="1"/>
      <c r="W89" s="1"/>
      <c r="X89" s="1"/>
      <c r="Y89" s="1"/>
      <c r="Z89" s="1"/>
    </row>
    <row r="90" spans="1:26" ht="15.75" customHeight="1" x14ac:dyDescent="0.3">
      <c r="A90" s="6"/>
      <c r="B90" s="6"/>
      <c r="C90" s="6"/>
      <c r="D90" s="82"/>
      <c r="E90" s="82"/>
      <c r="F90" s="82"/>
      <c r="G90" s="1"/>
      <c r="H90" s="1"/>
      <c r="I90" s="1"/>
      <c r="J90" s="1"/>
      <c r="K90" s="1"/>
      <c r="L90" s="1"/>
      <c r="M90" s="1"/>
      <c r="N90" s="1"/>
      <c r="O90" s="1"/>
      <c r="P90" s="1"/>
      <c r="Q90" s="1"/>
      <c r="R90" s="1"/>
      <c r="S90" s="1"/>
      <c r="T90" s="1"/>
      <c r="U90" s="1"/>
      <c r="V90" s="1"/>
      <c r="W90" s="1"/>
      <c r="X90" s="1"/>
      <c r="Y90" s="1"/>
      <c r="Z90" s="1"/>
    </row>
    <row r="91" spans="1:26" ht="15.75" customHeight="1" x14ac:dyDescent="0.3">
      <c r="A91" s="6"/>
      <c r="B91" s="6"/>
      <c r="C91" s="6"/>
      <c r="D91" s="82"/>
      <c r="E91" s="82"/>
      <c r="F91" s="82"/>
      <c r="G91" s="1"/>
      <c r="H91" s="1"/>
      <c r="I91" s="1"/>
      <c r="J91" s="1"/>
      <c r="K91" s="1"/>
      <c r="L91" s="1"/>
      <c r="M91" s="1"/>
      <c r="N91" s="1"/>
      <c r="O91" s="1"/>
      <c r="P91" s="1"/>
      <c r="Q91" s="1"/>
      <c r="R91" s="1"/>
      <c r="S91" s="1"/>
      <c r="T91" s="1"/>
      <c r="U91" s="1"/>
      <c r="V91" s="1"/>
      <c r="W91" s="1"/>
      <c r="X91" s="1"/>
      <c r="Y91" s="1"/>
      <c r="Z91" s="1"/>
    </row>
    <row r="92" spans="1:26" ht="15.75" customHeight="1" x14ac:dyDescent="0.3">
      <c r="A92" s="6"/>
      <c r="B92" s="6"/>
      <c r="C92" s="6"/>
      <c r="D92" s="82"/>
      <c r="E92" s="82"/>
      <c r="F92" s="82"/>
      <c r="G92" s="1"/>
      <c r="H92" s="1"/>
      <c r="I92" s="1"/>
      <c r="J92" s="1"/>
      <c r="K92" s="1"/>
      <c r="L92" s="1"/>
      <c r="M92" s="1"/>
      <c r="N92" s="1"/>
      <c r="O92" s="1"/>
      <c r="P92" s="1"/>
      <c r="Q92" s="1"/>
      <c r="R92" s="1"/>
      <c r="S92" s="1"/>
      <c r="T92" s="1"/>
      <c r="U92" s="1"/>
      <c r="V92" s="1"/>
      <c r="W92" s="1"/>
      <c r="X92" s="1"/>
      <c r="Y92" s="1"/>
      <c r="Z92" s="1"/>
    </row>
    <row r="93" spans="1:26" ht="15.75" customHeight="1" x14ac:dyDescent="0.3">
      <c r="A93" s="6"/>
      <c r="B93" s="6"/>
      <c r="C93" s="6"/>
      <c r="D93" s="82"/>
      <c r="E93" s="82"/>
      <c r="F93" s="82"/>
      <c r="G93" s="1"/>
      <c r="H93" s="1"/>
      <c r="I93" s="1"/>
      <c r="J93" s="1"/>
      <c r="K93" s="1"/>
      <c r="L93" s="1"/>
      <c r="M93" s="1"/>
      <c r="N93" s="1"/>
      <c r="O93" s="1"/>
      <c r="P93" s="1"/>
      <c r="Q93" s="1"/>
      <c r="R93" s="1"/>
      <c r="S93" s="1"/>
      <c r="T93" s="1"/>
      <c r="U93" s="1"/>
      <c r="V93" s="1"/>
      <c r="W93" s="1"/>
      <c r="X93" s="1"/>
      <c r="Y93" s="1"/>
      <c r="Z93" s="1"/>
    </row>
    <row r="94" spans="1:26" ht="15.75" customHeight="1" x14ac:dyDescent="0.3">
      <c r="A94" s="6"/>
      <c r="B94" s="6"/>
      <c r="C94" s="6"/>
      <c r="D94" s="82"/>
      <c r="E94" s="82"/>
      <c r="F94" s="82"/>
      <c r="G94" s="1"/>
      <c r="H94" s="1"/>
      <c r="I94" s="1"/>
      <c r="J94" s="1"/>
      <c r="K94" s="1"/>
      <c r="L94" s="1"/>
      <c r="M94" s="1"/>
      <c r="N94" s="1"/>
      <c r="O94" s="1"/>
      <c r="P94" s="1"/>
      <c r="Q94" s="1"/>
      <c r="R94" s="1"/>
      <c r="S94" s="1"/>
      <c r="T94" s="1"/>
      <c r="U94" s="1"/>
      <c r="V94" s="1"/>
      <c r="W94" s="1"/>
      <c r="X94" s="1"/>
      <c r="Y94" s="1"/>
      <c r="Z94" s="1"/>
    </row>
    <row r="95" spans="1:26" ht="15.75" customHeight="1" x14ac:dyDescent="0.3">
      <c r="A95" s="6"/>
      <c r="B95" s="6"/>
      <c r="C95" s="6"/>
      <c r="D95" s="82"/>
      <c r="E95" s="82"/>
      <c r="F95" s="82"/>
      <c r="G95" s="1"/>
      <c r="H95" s="1"/>
      <c r="I95" s="1"/>
      <c r="J95" s="1"/>
      <c r="K95" s="1"/>
      <c r="L95" s="1"/>
      <c r="M95" s="1"/>
      <c r="N95" s="1"/>
      <c r="O95" s="1"/>
      <c r="P95" s="1"/>
      <c r="Q95" s="1"/>
      <c r="R95" s="1"/>
      <c r="S95" s="1"/>
      <c r="T95" s="1"/>
      <c r="U95" s="1"/>
      <c r="V95" s="1"/>
      <c r="W95" s="1"/>
      <c r="X95" s="1"/>
      <c r="Y95" s="1"/>
      <c r="Z95" s="1"/>
    </row>
    <row r="96" spans="1:26" ht="15.75" customHeight="1" x14ac:dyDescent="0.3">
      <c r="A96" s="6"/>
      <c r="B96" s="6"/>
      <c r="C96" s="6"/>
      <c r="D96" s="82"/>
      <c r="E96" s="82"/>
      <c r="F96" s="82"/>
      <c r="G96" s="1"/>
      <c r="H96" s="1"/>
      <c r="I96" s="1"/>
      <c r="J96" s="1"/>
      <c r="K96" s="1"/>
      <c r="L96" s="1"/>
      <c r="M96" s="1"/>
      <c r="N96" s="1"/>
      <c r="O96" s="1"/>
      <c r="P96" s="1"/>
      <c r="Q96" s="1"/>
      <c r="R96" s="1"/>
      <c r="S96" s="1"/>
      <c r="T96" s="1"/>
      <c r="U96" s="1"/>
      <c r="V96" s="1"/>
      <c r="W96" s="1"/>
      <c r="X96" s="1"/>
      <c r="Y96" s="1"/>
      <c r="Z96" s="1"/>
    </row>
    <row r="97" spans="1:26" ht="15.75" customHeight="1" x14ac:dyDescent="0.3">
      <c r="A97" s="6"/>
      <c r="B97" s="6"/>
      <c r="C97" s="6"/>
      <c r="D97" s="82"/>
      <c r="E97" s="82"/>
      <c r="F97" s="82"/>
      <c r="G97" s="1"/>
      <c r="H97" s="1"/>
      <c r="I97" s="1"/>
      <c r="J97" s="1"/>
      <c r="K97" s="1"/>
      <c r="L97" s="1"/>
      <c r="M97" s="1"/>
      <c r="N97" s="1"/>
      <c r="O97" s="1"/>
      <c r="P97" s="1"/>
      <c r="Q97" s="1"/>
      <c r="R97" s="1"/>
      <c r="S97" s="1"/>
      <c r="T97" s="1"/>
      <c r="U97" s="1"/>
      <c r="V97" s="1"/>
      <c r="W97" s="1"/>
      <c r="X97" s="1"/>
      <c r="Y97" s="1"/>
      <c r="Z97" s="1"/>
    </row>
    <row r="98" spans="1:26" ht="15.75" customHeight="1" x14ac:dyDescent="0.3">
      <c r="A98" s="6"/>
      <c r="B98" s="6"/>
      <c r="C98" s="6"/>
      <c r="D98" s="82"/>
      <c r="E98" s="82"/>
      <c r="F98" s="82"/>
      <c r="G98" s="1"/>
      <c r="H98" s="1"/>
      <c r="I98" s="1"/>
      <c r="J98" s="1"/>
      <c r="K98" s="1"/>
      <c r="L98" s="1"/>
      <c r="M98" s="1"/>
      <c r="N98" s="1"/>
      <c r="O98" s="1"/>
      <c r="P98" s="1"/>
      <c r="Q98" s="1"/>
      <c r="R98" s="1"/>
      <c r="S98" s="1"/>
      <c r="T98" s="1"/>
      <c r="U98" s="1"/>
      <c r="V98" s="1"/>
      <c r="W98" s="1"/>
      <c r="X98" s="1"/>
      <c r="Y98" s="1"/>
      <c r="Z98" s="1"/>
    </row>
    <row r="99" spans="1:26" ht="15.75" customHeight="1" x14ac:dyDescent="0.3">
      <c r="A99" s="6"/>
      <c r="B99" s="6"/>
      <c r="C99" s="6"/>
      <c r="D99" s="82"/>
      <c r="E99" s="82"/>
      <c r="F99" s="82"/>
      <c r="G99" s="1"/>
      <c r="H99" s="1"/>
      <c r="I99" s="1"/>
      <c r="J99" s="1"/>
      <c r="K99" s="1"/>
      <c r="L99" s="1"/>
      <c r="M99" s="1"/>
      <c r="N99" s="1"/>
      <c r="O99" s="1"/>
      <c r="P99" s="1"/>
      <c r="Q99" s="1"/>
      <c r="R99" s="1"/>
      <c r="S99" s="1"/>
      <c r="T99" s="1"/>
      <c r="U99" s="1"/>
      <c r="V99" s="1"/>
      <c r="W99" s="1"/>
      <c r="X99" s="1"/>
      <c r="Y99" s="1"/>
      <c r="Z99" s="1"/>
    </row>
    <row r="100" spans="1:26" ht="15.75" customHeight="1" x14ac:dyDescent="0.3">
      <c r="A100" s="6"/>
      <c r="B100" s="6"/>
      <c r="C100" s="6"/>
      <c r="D100" s="82"/>
      <c r="E100" s="82"/>
      <c r="F100" s="82"/>
      <c r="G100" s="1"/>
      <c r="H100" s="1"/>
      <c r="I100" s="1"/>
      <c r="J100" s="1"/>
      <c r="K100" s="1"/>
      <c r="L100" s="1"/>
      <c r="M100" s="1"/>
      <c r="N100" s="1"/>
      <c r="O100" s="1"/>
      <c r="P100" s="1"/>
      <c r="Q100" s="1"/>
      <c r="R100" s="1"/>
      <c r="S100" s="1"/>
      <c r="T100" s="1"/>
      <c r="U100" s="1"/>
      <c r="V100" s="1"/>
      <c r="W100" s="1"/>
      <c r="X100" s="1"/>
      <c r="Y100" s="1"/>
      <c r="Z100" s="1"/>
    </row>
    <row r="101" spans="1:26" ht="15.75" customHeight="1" x14ac:dyDescent="0.3">
      <c r="A101" s="6"/>
      <c r="B101" s="6"/>
      <c r="C101" s="6"/>
      <c r="D101" s="82"/>
      <c r="E101" s="82"/>
      <c r="F101" s="82"/>
      <c r="G101" s="1"/>
      <c r="H101" s="1"/>
      <c r="I101" s="1"/>
      <c r="J101" s="1"/>
      <c r="K101" s="1"/>
      <c r="L101" s="1"/>
      <c r="M101" s="1"/>
      <c r="N101" s="1"/>
      <c r="O101" s="1"/>
      <c r="P101" s="1"/>
      <c r="Q101" s="1"/>
      <c r="R101" s="1"/>
      <c r="S101" s="1"/>
      <c r="T101" s="1"/>
      <c r="U101" s="1"/>
      <c r="V101" s="1"/>
      <c r="W101" s="1"/>
      <c r="X101" s="1"/>
      <c r="Y101" s="1"/>
      <c r="Z101" s="1"/>
    </row>
    <row r="102" spans="1:26" ht="15.75" customHeight="1" x14ac:dyDescent="0.3">
      <c r="A102" s="6"/>
      <c r="B102" s="6"/>
      <c r="C102" s="6"/>
      <c r="D102" s="82"/>
      <c r="E102" s="82"/>
      <c r="F102" s="82"/>
      <c r="G102" s="1"/>
      <c r="H102" s="1"/>
      <c r="I102" s="1"/>
      <c r="J102" s="1"/>
      <c r="K102" s="1"/>
      <c r="L102" s="1"/>
      <c r="M102" s="1"/>
      <c r="N102" s="1"/>
      <c r="O102" s="1"/>
      <c r="P102" s="1"/>
      <c r="Q102" s="1"/>
      <c r="R102" s="1"/>
      <c r="S102" s="1"/>
      <c r="T102" s="1"/>
      <c r="U102" s="1"/>
      <c r="V102" s="1"/>
      <c r="W102" s="1"/>
      <c r="X102" s="1"/>
      <c r="Y102" s="1"/>
      <c r="Z102" s="1"/>
    </row>
    <row r="103" spans="1:26" ht="15.75" customHeight="1" x14ac:dyDescent="0.3">
      <c r="A103" s="6"/>
      <c r="B103" s="6"/>
      <c r="C103" s="6"/>
      <c r="D103" s="82"/>
      <c r="E103" s="82"/>
      <c r="F103" s="82"/>
      <c r="G103" s="1"/>
      <c r="H103" s="1"/>
      <c r="I103" s="1"/>
      <c r="J103" s="1"/>
      <c r="K103" s="1"/>
      <c r="L103" s="1"/>
      <c r="M103" s="1"/>
      <c r="N103" s="1"/>
      <c r="O103" s="1"/>
      <c r="P103" s="1"/>
      <c r="Q103" s="1"/>
      <c r="R103" s="1"/>
      <c r="S103" s="1"/>
      <c r="T103" s="1"/>
      <c r="U103" s="1"/>
      <c r="V103" s="1"/>
      <c r="W103" s="1"/>
      <c r="X103" s="1"/>
      <c r="Y103" s="1"/>
      <c r="Z103" s="1"/>
    </row>
    <row r="104" spans="1:26" ht="15.75" customHeight="1" x14ac:dyDescent="0.3">
      <c r="A104" s="6"/>
      <c r="B104" s="6"/>
      <c r="C104" s="6"/>
      <c r="D104" s="82"/>
      <c r="E104" s="82"/>
      <c r="F104" s="82"/>
      <c r="G104" s="1"/>
      <c r="H104" s="1"/>
      <c r="I104" s="1"/>
      <c r="J104" s="1"/>
      <c r="K104" s="1"/>
      <c r="L104" s="1"/>
      <c r="M104" s="1"/>
      <c r="N104" s="1"/>
      <c r="O104" s="1"/>
      <c r="P104" s="1"/>
      <c r="Q104" s="1"/>
      <c r="R104" s="1"/>
      <c r="S104" s="1"/>
      <c r="T104" s="1"/>
      <c r="U104" s="1"/>
      <c r="V104" s="1"/>
      <c r="W104" s="1"/>
      <c r="X104" s="1"/>
      <c r="Y104" s="1"/>
      <c r="Z104" s="1"/>
    </row>
    <row r="105" spans="1:26" ht="15.75" customHeight="1" x14ac:dyDescent="0.3">
      <c r="A105" s="6"/>
      <c r="B105" s="6"/>
      <c r="C105" s="6"/>
      <c r="D105" s="82"/>
      <c r="E105" s="82"/>
      <c r="F105" s="82"/>
      <c r="G105" s="1"/>
      <c r="H105" s="1"/>
      <c r="I105" s="1"/>
      <c r="J105" s="1"/>
      <c r="K105" s="1"/>
      <c r="L105" s="1"/>
      <c r="M105" s="1"/>
      <c r="N105" s="1"/>
      <c r="O105" s="1"/>
      <c r="P105" s="1"/>
      <c r="Q105" s="1"/>
      <c r="R105" s="1"/>
      <c r="S105" s="1"/>
      <c r="T105" s="1"/>
      <c r="U105" s="1"/>
      <c r="V105" s="1"/>
      <c r="W105" s="1"/>
      <c r="X105" s="1"/>
      <c r="Y105" s="1"/>
      <c r="Z105" s="1"/>
    </row>
    <row r="106" spans="1:26" ht="15.75" customHeight="1" x14ac:dyDescent="0.3">
      <c r="A106" s="6"/>
      <c r="B106" s="6"/>
      <c r="C106" s="6"/>
      <c r="D106" s="82"/>
      <c r="E106" s="82"/>
      <c r="F106" s="82"/>
      <c r="G106" s="1"/>
      <c r="H106" s="1"/>
      <c r="I106" s="1"/>
      <c r="J106" s="1"/>
      <c r="K106" s="1"/>
      <c r="L106" s="1"/>
      <c r="M106" s="1"/>
      <c r="N106" s="1"/>
      <c r="O106" s="1"/>
      <c r="P106" s="1"/>
      <c r="Q106" s="1"/>
      <c r="R106" s="1"/>
      <c r="S106" s="1"/>
      <c r="T106" s="1"/>
      <c r="U106" s="1"/>
      <c r="V106" s="1"/>
      <c r="W106" s="1"/>
      <c r="X106" s="1"/>
      <c r="Y106" s="1"/>
      <c r="Z106" s="1"/>
    </row>
    <row r="107" spans="1:26" ht="15.75" customHeight="1" x14ac:dyDescent="0.3">
      <c r="A107" s="6"/>
      <c r="B107" s="6"/>
      <c r="C107" s="6"/>
      <c r="D107" s="82"/>
      <c r="E107" s="82"/>
      <c r="F107" s="82"/>
      <c r="G107" s="1"/>
      <c r="H107" s="1"/>
      <c r="I107" s="1"/>
      <c r="J107" s="1"/>
      <c r="K107" s="1"/>
      <c r="L107" s="1"/>
      <c r="M107" s="1"/>
      <c r="N107" s="1"/>
      <c r="O107" s="1"/>
      <c r="P107" s="1"/>
      <c r="Q107" s="1"/>
      <c r="R107" s="1"/>
      <c r="S107" s="1"/>
      <c r="T107" s="1"/>
      <c r="U107" s="1"/>
      <c r="V107" s="1"/>
      <c r="W107" s="1"/>
      <c r="X107" s="1"/>
      <c r="Y107" s="1"/>
      <c r="Z107" s="1"/>
    </row>
    <row r="108" spans="1:26" ht="15.75" customHeight="1" x14ac:dyDescent="0.3">
      <c r="A108" s="6"/>
      <c r="B108" s="6"/>
      <c r="C108" s="6"/>
      <c r="D108" s="82"/>
      <c r="E108" s="82"/>
      <c r="F108" s="82"/>
      <c r="G108" s="1"/>
      <c r="H108" s="1"/>
      <c r="I108" s="1"/>
      <c r="J108" s="1"/>
      <c r="K108" s="1"/>
      <c r="L108" s="1"/>
      <c r="M108" s="1"/>
      <c r="N108" s="1"/>
      <c r="O108" s="1"/>
      <c r="P108" s="1"/>
      <c r="Q108" s="1"/>
      <c r="R108" s="1"/>
      <c r="S108" s="1"/>
      <c r="T108" s="1"/>
      <c r="U108" s="1"/>
      <c r="V108" s="1"/>
      <c r="W108" s="1"/>
      <c r="X108" s="1"/>
      <c r="Y108" s="1"/>
      <c r="Z108" s="1"/>
    </row>
    <row r="109" spans="1:26" ht="15.75" customHeight="1" x14ac:dyDescent="0.3">
      <c r="A109" s="6"/>
      <c r="B109" s="6"/>
      <c r="C109" s="6"/>
      <c r="D109" s="82"/>
      <c r="E109" s="82"/>
      <c r="F109" s="82"/>
      <c r="G109" s="1"/>
      <c r="H109" s="1"/>
      <c r="I109" s="1"/>
      <c r="J109" s="1"/>
      <c r="K109" s="1"/>
      <c r="L109" s="1"/>
      <c r="M109" s="1"/>
      <c r="N109" s="1"/>
      <c r="O109" s="1"/>
      <c r="P109" s="1"/>
      <c r="Q109" s="1"/>
      <c r="R109" s="1"/>
      <c r="S109" s="1"/>
      <c r="T109" s="1"/>
      <c r="U109" s="1"/>
      <c r="V109" s="1"/>
      <c r="W109" s="1"/>
      <c r="X109" s="1"/>
      <c r="Y109" s="1"/>
      <c r="Z109" s="1"/>
    </row>
    <row r="110" spans="1:26" ht="15.75" customHeight="1" x14ac:dyDescent="0.3">
      <c r="A110" s="6"/>
      <c r="B110" s="6"/>
      <c r="C110" s="6"/>
      <c r="D110" s="82"/>
      <c r="E110" s="82"/>
      <c r="F110" s="82"/>
      <c r="G110" s="1"/>
      <c r="H110" s="1"/>
      <c r="I110" s="1"/>
      <c r="J110" s="1"/>
      <c r="K110" s="1"/>
      <c r="L110" s="1"/>
      <c r="M110" s="1"/>
      <c r="N110" s="1"/>
      <c r="O110" s="1"/>
      <c r="P110" s="1"/>
      <c r="Q110" s="1"/>
      <c r="R110" s="1"/>
      <c r="S110" s="1"/>
      <c r="T110" s="1"/>
      <c r="U110" s="1"/>
      <c r="V110" s="1"/>
      <c r="W110" s="1"/>
      <c r="X110" s="1"/>
      <c r="Y110" s="1"/>
      <c r="Z110" s="1"/>
    </row>
    <row r="111" spans="1:26" ht="15.75" customHeight="1" x14ac:dyDescent="0.3">
      <c r="A111" s="6"/>
      <c r="B111" s="6"/>
      <c r="C111" s="6"/>
      <c r="D111" s="82"/>
      <c r="E111" s="82"/>
      <c r="F111" s="82"/>
      <c r="G111" s="1"/>
      <c r="H111" s="1"/>
      <c r="I111" s="1"/>
      <c r="J111" s="1"/>
      <c r="K111" s="1"/>
      <c r="L111" s="1"/>
      <c r="M111" s="1"/>
      <c r="N111" s="1"/>
      <c r="O111" s="1"/>
      <c r="P111" s="1"/>
      <c r="Q111" s="1"/>
      <c r="R111" s="1"/>
      <c r="S111" s="1"/>
      <c r="T111" s="1"/>
      <c r="U111" s="1"/>
      <c r="V111" s="1"/>
      <c r="W111" s="1"/>
      <c r="X111" s="1"/>
      <c r="Y111" s="1"/>
      <c r="Z111" s="1"/>
    </row>
    <row r="112" spans="1:26" ht="15.75" customHeight="1" x14ac:dyDescent="0.3">
      <c r="A112" s="6"/>
      <c r="B112" s="6"/>
      <c r="C112" s="6"/>
      <c r="D112" s="82"/>
      <c r="E112" s="82"/>
      <c r="F112" s="82"/>
      <c r="G112" s="1"/>
      <c r="H112" s="1"/>
      <c r="I112" s="1"/>
      <c r="J112" s="1"/>
      <c r="K112" s="1"/>
      <c r="L112" s="1"/>
      <c r="M112" s="1"/>
      <c r="N112" s="1"/>
      <c r="O112" s="1"/>
      <c r="P112" s="1"/>
      <c r="Q112" s="1"/>
      <c r="R112" s="1"/>
      <c r="S112" s="1"/>
      <c r="T112" s="1"/>
      <c r="U112" s="1"/>
      <c r="V112" s="1"/>
      <c r="W112" s="1"/>
      <c r="X112" s="1"/>
      <c r="Y112" s="1"/>
      <c r="Z112" s="1"/>
    </row>
    <row r="113" spans="1:26" ht="15.75" customHeight="1" x14ac:dyDescent="0.3">
      <c r="A113" s="6"/>
      <c r="B113" s="6"/>
      <c r="C113" s="6"/>
      <c r="D113" s="82"/>
      <c r="E113" s="82"/>
      <c r="F113" s="82"/>
      <c r="G113" s="1"/>
      <c r="H113" s="1"/>
      <c r="I113" s="1"/>
      <c r="J113" s="1"/>
      <c r="K113" s="1"/>
      <c r="L113" s="1"/>
      <c r="M113" s="1"/>
      <c r="N113" s="1"/>
      <c r="O113" s="1"/>
      <c r="P113" s="1"/>
      <c r="Q113" s="1"/>
      <c r="R113" s="1"/>
      <c r="S113" s="1"/>
      <c r="T113" s="1"/>
      <c r="U113" s="1"/>
      <c r="V113" s="1"/>
      <c r="W113" s="1"/>
      <c r="X113" s="1"/>
      <c r="Y113" s="1"/>
      <c r="Z113" s="1"/>
    </row>
    <row r="114" spans="1:26" ht="15.75" customHeight="1" x14ac:dyDescent="0.3">
      <c r="A114" s="6"/>
      <c r="B114" s="6"/>
      <c r="C114" s="6"/>
      <c r="D114" s="82"/>
      <c r="E114" s="82"/>
      <c r="F114" s="82"/>
      <c r="G114" s="1"/>
      <c r="H114" s="1"/>
      <c r="I114" s="1"/>
      <c r="J114" s="1"/>
      <c r="K114" s="1"/>
      <c r="L114" s="1"/>
      <c r="M114" s="1"/>
      <c r="N114" s="1"/>
      <c r="O114" s="1"/>
      <c r="P114" s="1"/>
      <c r="Q114" s="1"/>
      <c r="R114" s="1"/>
      <c r="S114" s="1"/>
      <c r="T114" s="1"/>
      <c r="U114" s="1"/>
      <c r="V114" s="1"/>
      <c r="W114" s="1"/>
      <c r="X114" s="1"/>
      <c r="Y114" s="1"/>
      <c r="Z114" s="1"/>
    </row>
    <row r="115" spans="1:26" ht="15.75" customHeight="1" x14ac:dyDescent="0.3">
      <c r="A115" s="6"/>
      <c r="B115" s="6"/>
      <c r="C115" s="6"/>
      <c r="D115" s="82"/>
      <c r="E115" s="82"/>
      <c r="F115" s="82"/>
      <c r="G115" s="1"/>
      <c r="H115" s="1"/>
      <c r="I115" s="1"/>
      <c r="J115" s="1"/>
      <c r="K115" s="1"/>
      <c r="L115" s="1"/>
      <c r="M115" s="1"/>
      <c r="N115" s="1"/>
      <c r="O115" s="1"/>
      <c r="P115" s="1"/>
      <c r="Q115" s="1"/>
      <c r="R115" s="1"/>
      <c r="S115" s="1"/>
      <c r="T115" s="1"/>
      <c r="U115" s="1"/>
      <c r="V115" s="1"/>
      <c r="W115" s="1"/>
      <c r="X115" s="1"/>
      <c r="Y115" s="1"/>
      <c r="Z115" s="1"/>
    </row>
    <row r="116" spans="1:26" ht="15.75" customHeight="1" x14ac:dyDescent="0.3">
      <c r="A116" s="6"/>
      <c r="B116" s="6"/>
      <c r="C116" s="6"/>
      <c r="D116" s="82"/>
      <c r="E116" s="82"/>
      <c r="F116" s="82"/>
      <c r="G116" s="1"/>
      <c r="H116" s="1"/>
      <c r="I116" s="1"/>
      <c r="J116" s="1"/>
      <c r="K116" s="1"/>
      <c r="L116" s="1"/>
      <c r="M116" s="1"/>
      <c r="N116" s="1"/>
      <c r="O116" s="1"/>
      <c r="P116" s="1"/>
      <c r="Q116" s="1"/>
      <c r="R116" s="1"/>
      <c r="S116" s="1"/>
      <c r="T116" s="1"/>
      <c r="U116" s="1"/>
      <c r="V116" s="1"/>
      <c r="W116" s="1"/>
      <c r="X116" s="1"/>
      <c r="Y116" s="1"/>
      <c r="Z116" s="1"/>
    </row>
    <row r="117" spans="1:26" ht="15.75" customHeight="1" x14ac:dyDescent="0.3">
      <c r="A117" s="6"/>
      <c r="B117" s="6"/>
      <c r="C117" s="6"/>
      <c r="D117" s="82"/>
      <c r="E117" s="82"/>
      <c r="F117" s="82"/>
      <c r="G117" s="1"/>
      <c r="H117" s="1"/>
      <c r="I117" s="1"/>
      <c r="J117" s="1"/>
      <c r="K117" s="1"/>
      <c r="L117" s="1"/>
      <c r="M117" s="1"/>
      <c r="N117" s="1"/>
      <c r="O117" s="1"/>
      <c r="P117" s="1"/>
      <c r="Q117" s="1"/>
      <c r="R117" s="1"/>
      <c r="S117" s="1"/>
      <c r="T117" s="1"/>
      <c r="U117" s="1"/>
      <c r="V117" s="1"/>
      <c r="W117" s="1"/>
      <c r="X117" s="1"/>
      <c r="Y117" s="1"/>
      <c r="Z117" s="1"/>
    </row>
    <row r="118" spans="1:26" ht="15.75" customHeight="1" x14ac:dyDescent="0.3">
      <c r="A118" s="6"/>
      <c r="B118" s="6"/>
      <c r="C118" s="6"/>
      <c r="D118" s="82"/>
      <c r="E118" s="82"/>
      <c r="F118" s="82"/>
      <c r="G118" s="1"/>
      <c r="H118" s="1"/>
      <c r="I118" s="1"/>
      <c r="J118" s="1"/>
      <c r="K118" s="1"/>
      <c r="L118" s="1"/>
      <c r="M118" s="1"/>
      <c r="N118" s="1"/>
      <c r="O118" s="1"/>
      <c r="P118" s="1"/>
      <c r="Q118" s="1"/>
      <c r="R118" s="1"/>
      <c r="S118" s="1"/>
      <c r="T118" s="1"/>
      <c r="U118" s="1"/>
      <c r="V118" s="1"/>
      <c r="W118" s="1"/>
      <c r="X118" s="1"/>
      <c r="Y118" s="1"/>
      <c r="Z118" s="1"/>
    </row>
    <row r="119" spans="1:26" ht="15.75" customHeight="1" x14ac:dyDescent="0.3">
      <c r="A119" s="6"/>
      <c r="B119" s="6"/>
      <c r="C119" s="6"/>
      <c r="D119" s="82"/>
      <c r="E119" s="82"/>
      <c r="F119" s="82"/>
      <c r="G119" s="1"/>
      <c r="H119" s="1"/>
      <c r="I119" s="1"/>
      <c r="J119" s="1"/>
      <c r="K119" s="1"/>
      <c r="L119" s="1"/>
      <c r="M119" s="1"/>
      <c r="N119" s="1"/>
      <c r="O119" s="1"/>
      <c r="P119" s="1"/>
      <c r="Q119" s="1"/>
      <c r="R119" s="1"/>
      <c r="S119" s="1"/>
      <c r="T119" s="1"/>
      <c r="U119" s="1"/>
      <c r="V119" s="1"/>
      <c r="W119" s="1"/>
      <c r="X119" s="1"/>
      <c r="Y119" s="1"/>
      <c r="Z119" s="1"/>
    </row>
    <row r="120" spans="1:26" ht="15.75" customHeight="1" x14ac:dyDescent="0.3">
      <c r="A120" s="6"/>
      <c r="B120" s="6"/>
      <c r="C120" s="6"/>
      <c r="D120" s="82"/>
      <c r="E120" s="82"/>
      <c r="F120" s="82"/>
      <c r="G120" s="1"/>
      <c r="H120" s="1"/>
      <c r="I120" s="1"/>
      <c r="J120" s="1"/>
      <c r="K120" s="1"/>
      <c r="L120" s="1"/>
      <c r="M120" s="1"/>
      <c r="N120" s="1"/>
      <c r="O120" s="1"/>
      <c r="P120" s="1"/>
      <c r="Q120" s="1"/>
      <c r="R120" s="1"/>
      <c r="S120" s="1"/>
      <c r="T120" s="1"/>
      <c r="U120" s="1"/>
      <c r="V120" s="1"/>
      <c r="W120" s="1"/>
      <c r="X120" s="1"/>
      <c r="Y120" s="1"/>
      <c r="Z120" s="1"/>
    </row>
    <row r="121" spans="1:26" ht="15.75" customHeight="1" x14ac:dyDescent="0.3">
      <c r="A121" s="6"/>
      <c r="B121" s="6"/>
      <c r="C121" s="6"/>
      <c r="D121" s="82"/>
      <c r="E121" s="82"/>
      <c r="F121" s="82"/>
      <c r="G121" s="1"/>
      <c r="H121" s="1"/>
      <c r="I121" s="1"/>
      <c r="J121" s="1"/>
      <c r="K121" s="1"/>
      <c r="L121" s="1"/>
      <c r="M121" s="1"/>
      <c r="N121" s="1"/>
      <c r="O121" s="1"/>
      <c r="P121" s="1"/>
      <c r="Q121" s="1"/>
      <c r="R121" s="1"/>
      <c r="S121" s="1"/>
      <c r="T121" s="1"/>
      <c r="U121" s="1"/>
      <c r="V121" s="1"/>
      <c r="W121" s="1"/>
      <c r="X121" s="1"/>
      <c r="Y121" s="1"/>
      <c r="Z121" s="1"/>
    </row>
    <row r="122" spans="1:26" ht="15.75" customHeight="1" x14ac:dyDescent="0.3">
      <c r="A122" s="6"/>
      <c r="B122" s="6"/>
      <c r="C122" s="6"/>
      <c r="D122" s="82"/>
      <c r="E122" s="82"/>
      <c r="F122" s="82"/>
      <c r="G122" s="1"/>
      <c r="H122" s="1"/>
      <c r="I122" s="1"/>
      <c r="J122" s="1"/>
      <c r="K122" s="1"/>
      <c r="L122" s="1"/>
      <c r="M122" s="1"/>
      <c r="N122" s="1"/>
      <c r="O122" s="1"/>
      <c r="P122" s="1"/>
      <c r="Q122" s="1"/>
      <c r="R122" s="1"/>
      <c r="S122" s="1"/>
      <c r="T122" s="1"/>
      <c r="U122" s="1"/>
      <c r="V122" s="1"/>
      <c r="W122" s="1"/>
      <c r="X122" s="1"/>
      <c r="Y122" s="1"/>
      <c r="Z122" s="1"/>
    </row>
    <row r="123" spans="1:26" ht="15.75" customHeight="1" x14ac:dyDescent="0.3">
      <c r="A123" s="6"/>
      <c r="B123" s="6"/>
      <c r="C123" s="6"/>
      <c r="D123" s="82"/>
      <c r="E123" s="82"/>
      <c r="F123" s="82"/>
      <c r="G123" s="1"/>
      <c r="H123" s="1"/>
      <c r="I123" s="1"/>
      <c r="J123" s="1"/>
      <c r="K123" s="1"/>
      <c r="L123" s="1"/>
      <c r="M123" s="1"/>
      <c r="N123" s="1"/>
      <c r="O123" s="1"/>
      <c r="P123" s="1"/>
      <c r="Q123" s="1"/>
      <c r="R123" s="1"/>
      <c r="S123" s="1"/>
      <c r="T123" s="1"/>
      <c r="U123" s="1"/>
      <c r="V123" s="1"/>
      <c r="W123" s="1"/>
      <c r="X123" s="1"/>
      <c r="Y123" s="1"/>
      <c r="Z123" s="1"/>
    </row>
    <row r="124" spans="1:26" ht="15.75" customHeight="1" x14ac:dyDescent="0.3">
      <c r="A124" s="6"/>
      <c r="B124" s="6"/>
      <c r="C124" s="6"/>
      <c r="D124" s="82"/>
      <c r="E124" s="82"/>
      <c r="F124" s="82"/>
      <c r="G124" s="1"/>
      <c r="H124" s="1"/>
      <c r="I124" s="1"/>
      <c r="J124" s="1"/>
      <c r="K124" s="1"/>
      <c r="L124" s="1"/>
      <c r="M124" s="1"/>
      <c r="N124" s="1"/>
      <c r="O124" s="1"/>
      <c r="P124" s="1"/>
      <c r="Q124" s="1"/>
      <c r="R124" s="1"/>
      <c r="S124" s="1"/>
      <c r="T124" s="1"/>
      <c r="U124" s="1"/>
      <c r="V124" s="1"/>
      <c r="W124" s="1"/>
      <c r="X124" s="1"/>
      <c r="Y124" s="1"/>
      <c r="Z124" s="1"/>
    </row>
    <row r="125" spans="1:26" ht="15.75" customHeight="1" x14ac:dyDescent="0.3">
      <c r="A125" s="6"/>
      <c r="B125" s="6"/>
      <c r="C125" s="6"/>
      <c r="D125" s="82"/>
      <c r="E125" s="82"/>
      <c r="F125" s="82"/>
      <c r="G125" s="1"/>
      <c r="H125" s="1"/>
      <c r="I125" s="1"/>
      <c r="J125" s="1"/>
      <c r="K125" s="1"/>
      <c r="L125" s="1"/>
      <c r="M125" s="1"/>
      <c r="N125" s="1"/>
      <c r="O125" s="1"/>
      <c r="P125" s="1"/>
      <c r="Q125" s="1"/>
      <c r="R125" s="1"/>
      <c r="S125" s="1"/>
      <c r="T125" s="1"/>
      <c r="U125" s="1"/>
      <c r="V125" s="1"/>
      <c r="W125" s="1"/>
      <c r="X125" s="1"/>
      <c r="Y125" s="1"/>
      <c r="Z125" s="1"/>
    </row>
    <row r="126" spans="1:26" ht="15.75" customHeight="1" x14ac:dyDescent="0.3">
      <c r="A126" s="6"/>
      <c r="B126" s="6"/>
      <c r="C126" s="6"/>
      <c r="D126" s="82"/>
      <c r="E126" s="82"/>
      <c r="F126" s="82"/>
      <c r="G126" s="1"/>
      <c r="H126" s="1"/>
      <c r="I126" s="1"/>
      <c r="J126" s="1"/>
      <c r="K126" s="1"/>
      <c r="L126" s="1"/>
      <c r="M126" s="1"/>
      <c r="N126" s="1"/>
      <c r="O126" s="1"/>
      <c r="P126" s="1"/>
      <c r="Q126" s="1"/>
      <c r="R126" s="1"/>
      <c r="S126" s="1"/>
      <c r="T126" s="1"/>
      <c r="U126" s="1"/>
      <c r="V126" s="1"/>
      <c r="W126" s="1"/>
      <c r="X126" s="1"/>
      <c r="Y126" s="1"/>
      <c r="Z126" s="1"/>
    </row>
    <row r="127" spans="1:26" ht="15.75" customHeight="1" x14ac:dyDescent="0.3">
      <c r="A127" s="6"/>
      <c r="B127" s="6"/>
      <c r="C127" s="6"/>
      <c r="D127" s="82"/>
      <c r="E127" s="82"/>
      <c r="F127" s="82"/>
      <c r="G127" s="1"/>
      <c r="H127" s="1"/>
      <c r="I127" s="1"/>
      <c r="J127" s="1"/>
      <c r="K127" s="1"/>
      <c r="L127" s="1"/>
      <c r="M127" s="1"/>
      <c r="N127" s="1"/>
      <c r="O127" s="1"/>
      <c r="P127" s="1"/>
      <c r="Q127" s="1"/>
      <c r="R127" s="1"/>
      <c r="S127" s="1"/>
      <c r="T127" s="1"/>
      <c r="U127" s="1"/>
      <c r="V127" s="1"/>
      <c r="W127" s="1"/>
      <c r="X127" s="1"/>
      <c r="Y127" s="1"/>
      <c r="Z127" s="1"/>
    </row>
    <row r="128" spans="1:26" ht="15.75" customHeight="1" x14ac:dyDescent="0.3">
      <c r="A128" s="6"/>
      <c r="B128" s="6"/>
      <c r="C128" s="6"/>
      <c r="D128" s="82"/>
      <c r="E128" s="82"/>
      <c r="F128" s="82"/>
      <c r="G128" s="1"/>
      <c r="H128" s="1"/>
      <c r="I128" s="1"/>
      <c r="J128" s="1"/>
      <c r="K128" s="1"/>
      <c r="L128" s="1"/>
      <c r="M128" s="1"/>
      <c r="N128" s="1"/>
      <c r="O128" s="1"/>
      <c r="P128" s="1"/>
      <c r="Q128" s="1"/>
      <c r="R128" s="1"/>
      <c r="S128" s="1"/>
      <c r="T128" s="1"/>
      <c r="U128" s="1"/>
      <c r="V128" s="1"/>
      <c r="W128" s="1"/>
      <c r="X128" s="1"/>
      <c r="Y128" s="1"/>
      <c r="Z128" s="1"/>
    </row>
    <row r="129" spans="1:26" ht="15.75" customHeight="1" x14ac:dyDescent="0.3">
      <c r="A129" s="6"/>
      <c r="B129" s="6"/>
      <c r="C129" s="6"/>
      <c r="D129" s="82"/>
      <c r="E129" s="82"/>
      <c r="F129" s="82"/>
      <c r="G129" s="1"/>
      <c r="H129" s="1"/>
      <c r="I129" s="1"/>
      <c r="J129" s="1"/>
      <c r="K129" s="1"/>
      <c r="L129" s="1"/>
      <c r="M129" s="1"/>
      <c r="N129" s="1"/>
      <c r="O129" s="1"/>
      <c r="P129" s="1"/>
      <c r="Q129" s="1"/>
      <c r="R129" s="1"/>
      <c r="S129" s="1"/>
      <c r="T129" s="1"/>
      <c r="U129" s="1"/>
      <c r="V129" s="1"/>
      <c r="W129" s="1"/>
      <c r="X129" s="1"/>
      <c r="Y129" s="1"/>
      <c r="Z129" s="1"/>
    </row>
    <row r="130" spans="1:26" ht="15.75" customHeight="1" x14ac:dyDescent="0.3">
      <c r="A130" s="6"/>
      <c r="B130" s="6"/>
      <c r="C130" s="6"/>
      <c r="D130" s="82"/>
      <c r="E130" s="82"/>
      <c r="F130" s="82"/>
      <c r="G130" s="1"/>
      <c r="H130" s="1"/>
      <c r="I130" s="1"/>
      <c r="J130" s="1"/>
      <c r="K130" s="1"/>
      <c r="L130" s="1"/>
      <c r="M130" s="1"/>
      <c r="N130" s="1"/>
      <c r="O130" s="1"/>
      <c r="P130" s="1"/>
      <c r="Q130" s="1"/>
      <c r="R130" s="1"/>
      <c r="S130" s="1"/>
      <c r="T130" s="1"/>
      <c r="U130" s="1"/>
      <c r="V130" s="1"/>
      <c r="W130" s="1"/>
      <c r="X130" s="1"/>
      <c r="Y130" s="1"/>
      <c r="Z130" s="1"/>
    </row>
    <row r="131" spans="1:26" ht="15.75" customHeight="1" x14ac:dyDescent="0.3">
      <c r="A131" s="6"/>
      <c r="B131" s="6"/>
      <c r="C131" s="6"/>
      <c r="D131" s="82"/>
      <c r="E131" s="82"/>
      <c r="F131" s="82"/>
      <c r="G131" s="1"/>
      <c r="H131" s="1"/>
      <c r="I131" s="1"/>
      <c r="J131" s="1"/>
      <c r="K131" s="1"/>
      <c r="L131" s="1"/>
      <c r="M131" s="1"/>
      <c r="N131" s="1"/>
      <c r="O131" s="1"/>
      <c r="P131" s="1"/>
      <c r="Q131" s="1"/>
      <c r="R131" s="1"/>
      <c r="S131" s="1"/>
      <c r="T131" s="1"/>
      <c r="U131" s="1"/>
      <c r="V131" s="1"/>
      <c r="W131" s="1"/>
      <c r="X131" s="1"/>
      <c r="Y131" s="1"/>
      <c r="Z131" s="1"/>
    </row>
    <row r="132" spans="1:26" ht="15.75" customHeight="1" x14ac:dyDescent="0.3">
      <c r="A132" s="6"/>
      <c r="B132" s="6"/>
      <c r="C132" s="6"/>
      <c r="D132" s="82"/>
      <c r="E132" s="82"/>
      <c r="F132" s="82"/>
      <c r="G132" s="1"/>
      <c r="H132" s="1"/>
      <c r="I132" s="1"/>
      <c r="J132" s="1"/>
      <c r="K132" s="1"/>
      <c r="L132" s="1"/>
      <c r="M132" s="1"/>
      <c r="N132" s="1"/>
      <c r="O132" s="1"/>
      <c r="P132" s="1"/>
      <c r="Q132" s="1"/>
      <c r="R132" s="1"/>
      <c r="S132" s="1"/>
      <c r="T132" s="1"/>
      <c r="U132" s="1"/>
      <c r="V132" s="1"/>
      <c r="W132" s="1"/>
      <c r="X132" s="1"/>
      <c r="Y132" s="1"/>
      <c r="Z132" s="1"/>
    </row>
    <row r="133" spans="1:26" ht="15.75" customHeight="1" x14ac:dyDescent="0.3">
      <c r="A133" s="6"/>
      <c r="B133" s="6"/>
      <c r="C133" s="6"/>
      <c r="D133" s="82"/>
      <c r="E133" s="82"/>
      <c r="F133" s="82"/>
      <c r="G133" s="1"/>
      <c r="H133" s="1"/>
      <c r="I133" s="1"/>
      <c r="J133" s="1"/>
      <c r="K133" s="1"/>
      <c r="L133" s="1"/>
      <c r="M133" s="1"/>
      <c r="N133" s="1"/>
      <c r="O133" s="1"/>
      <c r="P133" s="1"/>
      <c r="Q133" s="1"/>
      <c r="R133" s="1"/>
      <c r="S133" s="1"/>
      <c r="T133" s="1"/>
      <c r="U133" s="1"/>
      <c r="V133" s="1"/>
      <c r="W133" s="1"/>
      <c r="X133" s="1"/>
      <c r="Y133" s="1"/>
      <c r="Z133" s="1"/>
    </row>
    <row r="134" spans="1:26" ht="15.75" customHeight="1" x14ac:dyDescent="0.3">
      <c r="A134" s="6"/>
      <c r="B134" s="6"/>
      <c r="C134" s="6"/>
      <c r="D134" s="82"/>
      <c r="E134" s="82"/>
      <c r="F134" s="82"/>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
      <c r="A135" s="6"/>
      <c r="B135" s="6"/>
      <c r="C135" s="6"/>
      <c r="D135" s="82"/>
      <c r="E135" s="82"/>
      <c r="F135" s="82"/>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
      <c r="A136" s="6"/>
      <c r="B136" s="6"/>
      <c r="C136" s="6"/>
      <c r="D136" s="82"/>
      <c r="E136" s="82"/>
      <c r="F136" s="82"/>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
      <c r="A137" s="6"/>
      <c r="B137" s="6"/>
      <c r="C137" s="6"/>
      <c r="D137" s="82"/>
      <c r="E137" s="82"/>
      <c r="F137" s="82"/>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
      <c r="A138" s="6"/>
      <c r="B138" s="6"/>
      <c r="C138" s="6"/>
      <c r="D138" s="82"/>
      <c r="E138" s="82"/>
      <c r="F138" s="82"/>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
      <c r="A139" s="6"/>
      <c r="B139" s="6"/>
      <c r="C139" s="6"/>
      <c r="D139" s="82"/>
      <c r="E139" s="82"/>
      <c r="F139" s="82"/>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
      <c r="A140" s="6"/>
      <c r="B140" s="6"/>
      <c r="C140" s="6"/>
      <c r="D140" s="82"/>
      <c r="E140" s="82"/>
      <c r="F140" s="82"/>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
      <c r="A141" s="6"/>
      <c r="B141" s="6"/>
      <c r="C141" s="6"/>
      <c r="D141" s="82"/>
      <c r="E141" s="82"/>
      <c r="F141" s="82"/>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
      <c r="A142" s="6"/>
      <c r="B142" s="6"/>
      <c r="C142" s="6"/>
      <c r="D142" s="82"/>
      <c r="E142" s="82"/>
      <c r="F142" s="82"/>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
      <c r="A143" s="6"/>
      <c r="B143" s="6"/>
      <c r="C143" s="6"/>
      <c r="D143" s="82"/>
      <c r="E143" s="82"/>
      <c r="F143" s="82"/>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
      <c r="A144" s="6"/>
      <c r="B144" s="6"/>
      <c r="C144" s="6"/>
      <c r="D144" s="82"/>
      <c r="E144" s="82"/>
      <c r="F144" s="82"/>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
      <c r="A145" s="6"/>
      <c r="B145" s="6"/>
      <c r="C145" s="6"/>
      <c r="D145" s="82"/>
      <c r="E145" s="82"/>
      <c r="F145" s="82"/>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
      <c r="A146" s="6"/>
      <c r="B146" s="6"/>
      <c r="C146" s="6"/>
      <c r="D146" s="82"/>
      <c r="E146" s="82"/>
      <c r="F146" s="82"/>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
      <c r="A147" s="6"/>
      <c r="B147" s="6"/>
      <c r="C147" s="6"/>
      <c r="D147" s="82"/>
      <c r="E147" s="82"/>
      <c r="F147" s="82"/>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
      <c r="A148" s="6"/>
      <c r="B148" s="6"/>
      <c r="C148" s="6"/>
      <c r="D148" s="82"/>
      <c r="E148" s="82"/>
      <c r="F148" s="82"/>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
      <c r="A149" s="6"/>
      <c r="B149" s="6"/>
      <c r="C149" s="6"/>
      <c r="D149" s="82"/>
      <c r="E149" s="82"/>
      <c r="F149" s="82"/>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
      <c r="A150" s="6"/>
      <c r="B150" s="6"/>
      <c r="C150" s="6"/>
      <c r="D150" s="82"/>
      <c r="E150" s="82"/>
      <c r="F150" s="82"/>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
      <c r="A151" s="6"/>
      <c r="B151" s="6"/>
      <c r="C151" s="6"/>
      <c r="D151" s="82"/>
      <c r="E151" s="82"/>
      <c r="F151" s="82"/>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
      <c r="A152" s="6"/>
      <c r="B152" s="6"/>
      <c r="C152" s="6"/>
      <c r="D152" s="82"/>
      <c r="E152" s="82"/>
      <c r="F152" s="82"/>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
      <c r="A153" s="6"/>
      <c r="B153" s="6"/>
      <c r="C153" s="6"/>
      <c r="D153" s="82"/>
      <c r="E153" s="82"/>
      <c r="F153" s="82"/>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
      <c r="A154" s="6"/>
      <c r="B154" s="6"/>
      <c r="C154" s="6"/>
      <c r="D154" s="82"/>
      <c r="E154" s="82"/>
      <c r="F154" s="82"/>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
      <c r="A155" s="6"/>
      <c r="B155" s="6"/>
      <c r="C155" s="6"/>
      <c r="D155" s="82"/>
      <c r="E155" s="82"/>
      <c r="F155" s="82"/>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
      <c r="A156" s="6"/>
      <c r="B156" s="6"/>
      <c r="C156" s="6"/>
      <c r="D156" s="82"/>
      <c r="E156" s="82"/>
      <c r="F156" s="82"/>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
      <c r="A157" s="6"/>
      <c r="B157" s="6"/>
      <c r="C157" s="6"/>
      <c r="D157" s="82"/>
      <c r="E157" s="82"/>
      <c r="F157" s="82"/>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
      <c r="A158" s="6"/>
      <c r="B158" s="6"/>
      <c r="C158" s="6"/>
      <c r="D158" s="82"/>
      <c r="E158" s="82"/>
      <c r="F158" s="82"/>
      <c r="G158" s="1"/>
      <c r="H158" s="1"/>
      <c r="I158" s="1"/>
      <c r="J158" s="1"/>
      <c r="K158" s="1"/>
      <c r="L158" s="1"/>
      <c r="M158" s="1"/>
      <c r="N158" s="1"/>
      <c r="O158" s="1"/>
      <c r="P158" s="1"/>
      <c r="Q158" s="1"/>
      <c r="R158" s="1"/>
      <c r="S158" s="1"/>
      <c r="T158" s="1"/>
      <c r="U158" s="1"/>
      <c r="V158" s="1"/>
      <c r="W158" s="1"/>
      <c r="X158" s="1"/>
      <c r="Y158" s="1"/>
      <c r="Z158" s="1"/>
    </row>
    <row r="159" spans="1:26" ht="15.75" customHeight="1" x14ac:dyDescent="0.3">
      <c r="A159" s="6"/>
      <c r="B159" s="6"/>
      <c r="C159" s="6"/>
      <c r="D159" s="82"/>
      <c r="E159" s="82"/>
      <c r="F159" s="82"/>
      <c r="G159" s="1"/>
      <c r="H159" s="1"/>
      <c r="I159" s="1"/>
      <c r="J159" s="1"/>
      <c r="K159" s="1"/>
      <c r="L159" s="1"/>
      <c r="M159" s="1"/>
      <c r="N159" s="1"/>
      <c r="O159" s="1"/>
      <c r="P159" s="1"/>
      <c r="Q159" s="1"/>
      <c r="R159" s="1"/>
      <c r="S159" s="1"/>
      <c r="T159" s="1"/>
      <c r="U159" s="1"/>
      <c r="V159" s="1"/>
      <c r="W159" s="1"/>
      <c r="X159" s="1"/>
      <c r="Y159" s="1"/>
      <c r="Z159" s="1"/>
    </row>
    <row r="160" spans="1:26" ht="15.75" customHeight="1" x14ac:dyDescent="0.3">
      <c r="A160" s="6"/>
      <c r="B160" s="6"/>
      <c r="C160" s="6"/>
      <c r="D160" s="82"/>
      <c r="E160" s="82"/>
      <c r="F160" s="82"/>
      <c r="G160" s="1"/>
      <c r="H160" s="1"/>
      <c r="I160" s="1"/>
      <c r="J160" s="1"/>
      <c r="K160" s="1"/>
      <c r="L160" s="1"/>
      <c r="M160" s="1"/>
      <c r="N160" s="1"/>
      <c r="O160" s="1"/>
      <c r="P160" s="1"/>
      <c r="Q160" s="1"/>
      <c r="R160" s="1"/>
      <c r="S160" s="1"/>
      <c r="T160" s="1"/>
      <c r="U160" s="1"/>
      <c r="V160" s="1"/>
      <c r="W160" s="1"/>
      <c r="X160" s="1"/>
      <c r="Y160" s="1"/>
      <c r="Z160" s="1"/>
    </row>
    <row r="161" spans="1:26" ht="15.75" customHeight="1" x14ac:dyDescent="0.3">
      <c r="A161" s="6"/>
      <c r="B161" s="6"/>
      <c r="C161" s="6"/>
      <c r="D161" s="82"/>
      <c r="E161" s="82"/>
      <c r="F161" s="82"/>
      <c r="G161" s="1"/>
      <c r="H161" s="1"/>
      <c r="I161" s="1"/>
      <c r="J161" s="1"/>
      <c r="K161" s="1"/>
      <c r="L161" s="1"/>
      <c r="M161" s="1"/>
      <c r="N161" s="1"/>
      <c r="O161" s="1"/>
      <c r="P161" s="1"/>
      <c r="Q161" s="1"/>
      <c r="R161" s="1"/>
      <c r="S161" s="1"/>
      <c r="T161" s="1"/>
      <c r="U161" s="1"/>
      <c r="V161" s="1"/>
      <c r="W161" s="1"/>
      <c r="X161" s="1"/>
      <c r="Y161" s="1"/>
      <c r="Z161" s="1"/>
    </row>
    <row r="162" spans="1:26" ht="15.75" customHeight="1" x14ac:dyDescent="0.3">
      <c r="A162" s="6"/>
      <c r="B162" s="6"/>
      <c r="C162" s="6"/>
      <c r="D162" s="82"/>
      <c r="E162" s="82"/>
      <c r="F162" s="82"/>
      <c r="G162" s="1"/>
      <c r="H162" s="1"/>
      <c r="I162" s="1"/>
      <c r="J162" s="1"/>
      <c r="K162" s="1"/>
      <c r="L162" s="1"/>
      <c r="M162" s="1"/>
      <c r="N162" s="1"/>
      <c r="O162" s="1"/>
      <c r="P162" s="1"/>
      <c r="Q162" s="1"/>
      <c r="R162" s="1"/>
      <c r="S162" s="1"/>
      <c r="T162" s="1"/>
      <c r="U162" s="1"/>
      <c r="V162" s="1"/>
      <c r="W162" s="1"/>
      <c r="X162" s="1"/>
      <c r="Y162" s="1"/>
      <c r="Z162" s="1"/>
    </row>
    <row r="163" spans="1:26" ht="15.75" customHeight="1" x14ac:dyDescent="0.3">
      <c r="A163" s="6"/>
      <c r="B163" s="6"/>
      <c r="C163" s="6"/>
      <c r="D163" s="82"/>
      <c r="E163" s="82"/>
      <c r="F163" s="82"/>
      <c r="G163" s="1"/>
      <c r="H163" s="1"/>
      <c r="I163" s="1"/>
      <c r="J163" s="1"/>
      <c r="K163" s="1"/>
      <c r="L163" s="1"/>
      <c r="M163" s="1"/>
      <c r="N163" s="1"/>
      <c r="O163" s="1"/>
      <c r="P163" s="1"/>
      <c r="Q163" s="1"/>
      <c r="R163" s="1"/>
      <c r="S163" s="1"/>
      <c r="T163" s="1"/>
      <c r="U163" s="1"/>
      <c r="V163" s="1"/>
      <c r="W163" s="1"/>
      <c r="X163" s="1"/>
      <c r="Y163" s="1"/>
      <c r="Z163" s="1"/>
    </row>
    <row r="164" spans="1:26" ht="15.75" customHeight="1" x14ac:dyDescent="0.3">
      <c r="A164" s="6"/>
      <c r="B164" s="6"/>
      <c r="C164" s="6"/>
      <c r="D164" s="82"/>
      <c r="E164" s="82"/>
      <c r="F164" s="82"/>
      <c r="G164" s="1"/>
      <c r="H164" s="1"/>
      <c r="I164" s="1"/>
      <c r="J164" s="1"/>
      <c r="K164" s="1"/>
      <c r="L164" s="1"/>
      <c r="M164" s="1"/>
      <c r="N164" s="1"/>
      <c r="O164" s="1"/>
      <c r="P164" s="1"/>
      <c r="Q164" s="1"/>
      <c r="R164" s="1"/>
      <c r="S164" s="1"/>
      <c r="T164" s="1"/>
      <c r="U164" s="1"/>
      <c r="V164" s="1"/>
      <c r="W164" s="1"/>
      <c r="X164" s="1"/>
      <c r="Y164" s="1"/>
      <c r="Z164" s="1"/>
    </row>
    <row r="165" spans="1:26" ht="15.75" customHeight="1" x14ac:dyDescent="0.3">
      <c r="A165" s="6"/>
      <c r="B165" s="6"/>
      <c r="C165" s="6"/>
      <c r="D165" s="82"/>
      <c r="E165" s="82"/>
      <c r="F165" s="82"/>
      <c r="G165" s="1"/>
      <c r="H165" s="1"/>
      <c r="I165" s="1"/>
      <c r="J165" s="1"/>
      <c r="K165" s="1"/>
      <c r="L165" s="1"/>
      <c r="M165" s="1"/>
      <c r="N165" s="1"/>
      <c r="O165" s="1"/>
      <c r="P165" s="1"/>
      <c r="Q165" s="1"/>
      <c r="R165" s="1"/>
      <c r="S165" s="1"/>
      <c r="T165" s="1"/>
      <c r="U165" s="1"/>
      <c r="V165" s="1"/>
      <c r="W165" s="1"/>
      <c r="X165" s="1"/>
      <c r="Y165" s="1"/>
      <c r="Z165" s="1"/>
    </row>
    <row r="166" spans="1:26" ht="15.75" customHeight="1" x14ac:dyDescent="0.3">
      <c r="A166" s="6"/>
      <c r="B166" s="6"/>
      <c r="C166" s="6"/>
      <c r="D166" s="82"/>
      <c r="E166" s="82"/>
      <c r="F166" s="82"/>
      <c r="G166" s="1"/>
      <c r="H166" s="1"/>
      <c r="I166" s="1"/>
      <c r="J166" s="1"/>
      <c r="K166" s="1"/>
      <c r="L166" s="1"/>
      <c r="M166" s="1"/>
      <c r="N166" s="1"/>
      <c r="O166" s="1"/>
      <c r="P166" s="1"/>
      <c r="Q166" s="1"/>
      <c r="R166" s="1"/>
      <c r="S166" s="1"/>
      <c r="T166" s="1"/>
      <c r="U166" s="1"/>
      <c r="V166" s="1"/>
      <c r="W166" s="1"/>
      <c r="X166" s="1"/>
      <c r="Y166" s="1"/>
      <c r="Z166" s="1"/>
    </row>
    <row r="167" spans="1:26" ht="15.75" customHeight="1" x14ac:dyDescent="0.3">
      <c r="A167" s="6"/>
      <c r="B167" s="6"/>
      <c r="C167" s="6"/>
      <c r="D167" s="82"/>
      <c r="E167" s="82"/>
      <c r="F167" s="82"/>
      <c r="G167" s="1"/>
      <c r="H167" s="1"/>
      <c r="I167" s="1"/>
      <c r="J167" s="1"/>
      <c r="K167" s="1"/>
      <c r="L167" s="1"/>
      <c r="M167" s="1"/>
      <c r="N167" s="1"/>
      <c r="O167" s="1"/>
      <c r="P167" s="1"/>
      <c r="Q167" s="1"/>
      <c r="R167" s="1"/>
      <c r="S167" s="1"/>
      <c r="T167" s="1"/>
      <c r="U167" s="1"/>
      <c r="V167" s="1"/>
      <c r="W167" s="1"/>
      <c r="X167" s="1"/>
      <c r="Y167" s="1"/>
      <c r="Z167" s="1"/>
    </row>
    <row r="168" spans="1:26" ht="15.75" customHeight="1" x14ac:dyDescent="0.3">
      <c r="A168" s="6"/>
      <c r="B168" s="6"/>
      <c r="C168" s="6"/>
      <c r="D168" s="82"/>
      <c r="E168" s="82"/>
      <c r="F168" s="82"/>
      <c r="G168" s="1"/>
      <c r="H168" s="1"/>
      <c r="I168" s="1"/>
      <c r="J168" s="1"/>
      <c r="K168" s="1"/>
      <c r="L168" s="1"/>
      <c r="M168" s="1"/>
      <c r="N168" s="1"/>
      <c r="O168" s="1"/>
      <c r="P168" s="1"/>
      <c r="Q168" s="1"/>
      <c r="R168" s="1"/>
      <c r="S168" s="1"/>
      <c r="T168" s="1"/>
      <c r="U168" s="1"/>
      <c r="V168" s="1"/>
      <c r="W168" s="1"/>
      <c r="X168" s="1"/>
      <c r="Y168" s="1"/>
      <c r="Z168" s="1"/>
    </row>
    <row r="169" spans="1:26" ht="15.75" customHeight="1" x14ac:dyDescent="0.3">
      <c r="A169" s="6"/>
      <c r="B169" s="6"/>
      <c r="C169" s="6"/>
      <c r="D169" s="82"/>
      <c r="E169" s="82"/>
      <c r="F169" s="82"/>
      <c r="G169" s="1"/>
      <c r="H169" s="1"/>
      <c r="I169" s="1"/>
      <c r="J169" s="1"/>
      <c r="K169" s="1"/>
      <c r="L169" s="1"/>
      <c r="M169" s="1"/>
      <c r="N169" s="1"/>
      <c r="O169" s="1"/>
      <c r="P169" s="1"/>
      <c r="Q169" s="1"/>
      <c r="R169" s="1"/>
      <c r="S169" s="1"/>
      <c r="T169" s="1"/>
      <c r="U169" s="1"/>
      <c r="V169" s="1"/>
      <c r="W169" s="1"/>
      <c r="X169" s="1"/>
      <c r="Y169" s="1"/>
      <c r="Z169" s="1"/>
    </row>
    <row r="170" spans="1:26" ht="15.75" customHeight="1" x14ac:dyDescent="0.3">
      <c r="A170" s="6"/>
      <c r="B170" s="6"/>
      <c r="C170" s="6"/>
      <c r="D170" s="82"/>
      <c r="E170" s="82"/>
      <c r="F170" s="82"/>
      <c r="G170" s="1"/>
      <c r="H170" s="1"/>
      <c r="I170" s="1"/>
      <c r="J170" s="1"/>
      <c r="K170" s="1"/>
      <c r="L170" s="1"/>
      <c r="M170" s="1"/>
      <c r="N170" s="1"/>
      <c r="O170" s="1"/>
      <c r="P170" s="1"/>
      <c r="Q170" s="1"/>
      <c r="R170" s="1"/>
      <c r="S170" s="1"/>
      <c r="T170" s="1"/>
      <c r="U170" s="1"/>
      <c r="V170" s="1"/>
      <c r="W170" s="1"/>
      <c r="X170" s="1"/>
      <c r="Y170" s="1"/>
      <c r="Z170" s="1"/>
    </row>
    <row r="171" spans="1:26" ht="15.75" customHeight="1" x14ac:dyDescent="0.3">
      <c r="A171" s="6"/>
      <c r="B171" s="6"/>
      <c r="C171" s="6"/>
      <c r="D171" s="82"/>
      <c r="E171" s="82"/>
      <c r="F171" s="82"/>
      <c r="G171" s="1"/>
      <c r="H171" s="1"/>
      <c r="I171" s="1"/>
      <c r="J171" s="1"/>
      <c r="K171" s="1"/>
      <c r="L171" s="1"/>
      <c r="M171" s="1"/>
      <c r="N171" s="1"/>
      <c r="O171" s="1"/>
      <c r="P171" s="1"/>
      <c r="Q171" s="1"/>
      <c r="R171" s="1"/>
      <c r="S171" s="1"/>
      <c r="T171" s="1"/>
      <c r="U171" s="1"/>
      <c r="V171" s="1"/>
      <c r="W171" s="1"/>
      <c r="X171" s="1"/>
      <c r="Y171" s="1"/>
      <c r="Z171" s="1"/>
    </row>
    <row r="172" spans="1:26" ht="15.75" customHeight="1" x14ac:dyDescent="0.3">
      <c r="A172" s="6"/>
      <c r="B172" s="6"/>
      <c r="C172" s="6"/>
      <c r="D172" s="82"/>
      <c r="E172" s="82"/>
      <c r="F172" s="82"/>
      <c r="G172" s="1"/>
      <c r="H172" s="1"/>
      <c r="I172" s="1"/>
      <c r="J172" s="1"/>
      <c r="K172" s="1"/>
      <c r="L172" s="1"/>
      <c r="M172" s="1"/>
      <c r="N172" s="1"/>
      <c r="O172" s="1"/>
      <c r="P172" s="1"/>
      <c r="Q172" s="1"/>
      <c r="R172" s="1"/>
      <c r="S172" s="1"/>
      <c r="T172" s="1"/>
      <c r="U172" s="1"/>
      <c r="V172" s="1"/>
      <c r="W172" s="1"/>
      <c r="X172" s="1"/>
      <c r="Y172" s="1"/>
      <c r="Z172" s="1"/>
    </row>
    <row r="173" spans="1:26" ht="15.75" customHeight="1" x14ac:dyDescent="0.3">
      <c r="A173" s="6"/>
      <c r="B173" s="6"/>
      <c r="C173" s="6"/>
      <c r="D173" s="82"/>
      <c r="E173" s="82"/>
      <c r="F173" s="82"/>
      <c r="G173" s="1"/>
      <c r="H173" s="1"/>
      <c r="I173" s="1"/>
      <c r="J173" s="1"/>
      <c r="K173" s="1"/>
      <c r="L173" s="1"/>
      <c r="M173" s="1"/>
      <c r="N173" s="1"/>
      <c r="O173" s="1"/>
      <c r="P173" s="1"/>
      <c r="Q173" s="1"/>
      <c r="R173" s="1"/>
      <c r="S173" s="1"/>
      <c r="T173" s="1"/>
      <c r="U173" s="1"/>
      <c r="V173" s="1"/>
      <c r="W173" s="1"/>
      <c r="X173" s="1"/>
      <c r="Y173" s="1"/>
      <c r="Z173" s="1"/>
    </row>
    <row r="174" spans="1:26" ht="15.75" customHeight="1" x14ac:dyDescent="0.3">
      <c r="A174" s="6"/>
      <c r="B174" s="6"/>
      <c r="C174" s="6"/>
      <c r="D174" s="82"/>
      <c r="E174" s="82"/>
      <c r="F174" s="82"/>
      <c r="G174" s="1"/>
      <c r="H174" s="1"/>
      <c r="I174" s="1"/>
      <c r="J174" s="1"/>
      <c r="K174" s="1"/>
      <c r="L174" s="1"/>
      <c r="M174" s="1"/>
      <c r="N174" s="1"/>
      <c r="O174" s="1"/>
      <c r="P174" s="1"/>
      <c r="Q174" s="1"/>
      <c r="R174" s="1"/>
      <c r="S174" s="1"/>
      <c r="T174" s="1"/>
      <c r="U174" s="1"/>
      <c r="V174" s="1"/>
      <c r="W174" s="1"/>
      <c r="X174" s="1"/>
      <c r="Y174" s="1"/>
      <c r="Z174" s="1"/>
    </row>
    <row r="175" spans="1:26" ht="15.75" customHeight="1" x14ac:dyDescent="0.3">
      <c r="A175" s="6"/>
      <c r="B175" s="6"/>
      <c r="C175" s="6"/>
      <c r="D175" s="82"/>
      <c r="E175" s="82"/>
      <c r="F175" s="82"/>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
      <c r="A176" s="6"/>
      <c r="B176" s="6"/>
      <c r="C176" s="6"/>
      <c r="D176" s="82"/>
      <c r="E176" s="82"/>
      <c r="F176" s="82"/>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
      <c r="A177" s="6"/>
      <c r="B177" s="6"/>
      <c r="C177" s="6"/>
      <c r="D177" s="82"/>
      <c r="E177" s="82"/>
      <c r="F177" s="82"/>
      <c r="G177" s="1"/>
      <c r="H177" s="1"/>
      <c r="I177" s="1"/>
      <c r="J177" s="1"/>
      <c r="K177" s="1"/>
      <c r="L177" s="1"/>
      <c r="M177" s="1"/>
      <c r="N177" s="1"/>
      <c r="O177" s="1"/>
      <c r="P177" s="1"/>
      <c r="Q177" s="1"/>
      <c r="R177" s="1"/>
      <c r="S177" s="1"/>
      <c r="T177" s="1"/>
      <c r="U177" s="1"/>
      <c r="V177" s="1"/>
      <c r="W177" s="1"/>
      <c r="X177" s="1"/>
      <c r="Y177" s="1"/>
      <c r="Z177" s="1"/>
    </row>
    <row r="178" spans="1:26" ht="15.75" customHeight="1" x14ac:dyDescent="0.3">
      <c r="A178" s="6"/>
      <c r="B178" s="6"/>
      <c r="C178" s="6"/>
      <c r="D178" s="82"/>
      <c r="E178" s="82"/>
      <c r="F178" s="82"/>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
      <c r="A179" s="6"/>
      <c r="B179" s="6"/>
      <c r="C179" s="6"/>
      <c r="D179" s="82"/>
      <c r="E179" s="82"/>
      <c r="F179" s="82"/>
      <c r="G179" s="1"/>
      <c r="H179" s="1"/>
      <c r="I179" s="1"/>
      <c r="J179" s="1"/>
      <c r="K179" s="1"/>
      <c r="L179" s="1"/>
      <c r="M179" s="1"/>
      <c r="N179" s="1"/>
      <c r="O179" s="1"/>
      <c r="P179" s="1"/>
      <c r="Q179" s="1"/>
      <c r="R179" s="1"/>
      <c r="S179" s="1"/>
      <c r="T179" s="1"/>
      <c r="U179" s="1"/>
      <c r="V179" s="1"/>
      <c r="W179" s="1"/>
      <c r="X179" s="1"/>
      <c r="Y179" s="1"/>
      <c r="Z179" s="1"/>
    </row>
    <row r="180" spans="1:26" ht="15.75" customHeight="1" x14ac:dyDescent="0.3">
      <c r="A180" s="6"/>
      <c r="B180" s="6"/>
      <c r="C180" s="6"/>
      <c r="D180" s="82"/>
      <c r="E180" s="82"/>
      <c r="F180" s="82"/>
      <c r="G180" s="1"/>
      <c r="H180" s="1"/>
      <c r="I180" s="1"/>
      <c r="J180" s="1"/>
      <c r="K180" s="1"/>
      <c r="L180" s="1"/>
      <c r="M180" s="1"/>
      <c r="N180" s="1"/>
      <c r="O180" s="1"/>
      <c r="P180" s="1"/>
      <c r="Q180" s="1"/>
      <c r="R180" s="1"/>
      <c r="S180" s="1"/>
      <c r="T180" s="1"/>
      <c r="U180" s="1"/>
      <c r="V180" s="1"/>
      <c r="W180" s="1"/>
      <c r="X180" s="1"/>
      <c r="Y180" s="1"/>
      <c r="Z180" s="1"/>
    </row>
    <row r="181" spans="1:26" ht="15.75" customHeight="1" x14ac:dyDescent="0.3">
      <c r="A181" s="6"/>
      <c r="B181" s="6"/>
      <c r="C181" s="6"/>
      <c r="D181" s="82"/>
      <c r="E181" s="82"/>
      <c r="F181" s="82"/>
      <c r="G181" s="1"/>
      <c r="H181" s="1"/>
      <c r="I181" s="1"/>
      <c r="J181" s="1"/>
      <c r="K181" s="1"/>
      <c r="L181" s="1"/>
      <c r="M181" s="1"/>
      <c r="N181" s="1"/>
      <c r="O181" s="1"/>
      <c r="P181" s="1"/>
      <c r="Q181" s="1"/>
      <c r="R181" s="1"/>
      <c r="S181" s="1"/>
      <c r="T181" s="1"/>
      <c r="U181" s="1"/>
      <c r="V181" s="1"/>
      <c r="W181" s="1"/>
      <c r="X181" s="1"/>
      <c r="Y181" s="1"/>
      <c r="Z181" s="1"/>
    </row>
    <row r="182" spans="1:26" ht="15.75" customHeight="1" x14ac:dyDescent="0.3">
      <c r="A182" s="6"/>
      <c r="B182" s="6"/>
      <c r="C182" s="6"/>
      <c r="D182" s="82"/>
      <c r="E182" s="82"/>
      <c r="F182" s="82"/>
      <c r="G182" s="1"/>
      <c r="H182" s="1"/>
      <c r="I182" s="1"/>
      <c r="J182" s="1"/>
      <c r="K182" s="1"/>
      <c r="L182" s="1"/>
      <c r="M182" s="1"/>
      <c r="N182" s="1"/>
      <c r="O182" s="1"/>
      <c r="P182" s="1"/>
      <c r="Q182" s="1"/>
      <c r="R182" s="1"/>
      <c r="S182" s="1"/>
      <c r="T182" s="1"/>
      <c r="U182" s="1"/>
      <c r="V182" s="1"/>
      <c r="W182" s="1"/>
      <c r="X182" s="1"/>
      <c r="Y182" s="1"/>
      <c r="Z182" s="1"/>
    </row>
    <row r="183" spans="1:26" ht="15.75" customHeight="1" x14ac:dyDescent="0.3">
      <c r="A183" s="6"/>
      <c r="B183" s="6"/>
      <c r="C183" s="6"/>
      <c r="D183" s="82"/>
      <c r="E183" s="82"/>
      <c r="F183" s="82"/>
      <c r="G183" s="1"/>
      <c r="H183" s="1"/>
      <c r="I183" s="1"/>
      <c r="J183" s="1"/>
      <c r="K183" s="1"/>
      <c r="L183" s="1"/>
      <c r="M183" s="1"/>
      <c r="N183" s="1"/>
      <c r="O183" s="1"/>
      <c r="P183" s="1"/>
      <c r="Q183" s="1"/>
      <c r="R183" s="1"/>
      <c r="S183" s="1"/>
      <c r="T183" s="1"/>
      <c r="U183" s="1"/>
      <c r="V183" s="1"/>
      <c r="W183" s="1"/>
      <c r="X183" s="1"/>
      <c r="Y183" s="1"/>
      <c r="Z183" s="1"/>
    </row>
    <row r="184" spans="1:26" ht="15.75" customHeight="1" x14ac:dyDescent="0.3">
      <c r="A184" s="6"/>
      <c r="B184" s="6"/>
      <c r="C184" s="6"/>
      <c r="D184" s="82"/>
      <c r="E184" s="82"/>
      <c r="F184" s="82"/>
      <c r="G184" s="1"/>
      <c r="H184" s="1"/>
      <c r="I184" s="1"/>
      <c r="J184" s="1"/>
      <c r="K184" s="1"/>
      <c r="L184" s="1"/>
      <c r="M184" s="1"/>
      <c r="N184" s="1"/>
      <c r="O184" s="1"/>
      <c r="P184" s="1"/>
      <c r="Q184" s="1"/>
      <c r="R184" s="1"/>
      <c r="S184" s="1"/>
      <c r="T184" s="1"/>
      <c r="U184" s="1"/>
      <c r="V184" s="1"/>
      <c r="W184" s="1"/>
      <c r="X184" s="1"/>
      <c r="Y184" s="1"/>
      <c r="Z184" s="1"/>
    </row>
    <row r="185" spans="1:26" ht="15.75" customHeight="1" x14ac:dyDescent="0.3">
      <c r="A185" s="6"/>
      <c r="B185" s="6"/>
      <c r="C185" s="6"/>
      <c r="D185" s="82"/>
      <c r="E185" s="82"/>
      <c r="F185" s="82"/>
      <c r="G185" s="1"/>
      <c r="H185" s="1"/>
      <c r="I185" s="1"/>
      <c r="J185" s="1"/>
      <c r="K185" s="1"/>
      <c r="L185" s="1"/>
      <c r="M185" s="1"/>
      <c r="N185" s="1"/>
      <c r="O185" s="1"/>
      <c r="P185" s="1"/>
      <c r="Q185" s="1"/>
      <c r="R185" s="1"/>
      <c r="S185" s="1"/>
      <c r="T185" s="1"/>
      <c r="U185" s="1"/>
      <c r="V185" s="1"/>
      <c r="W185" s="1"/>
      <c r="X185" s="1"/>
      <c r="Y185" s="1"/>
      <c r="Z185" s="1"/>
    </row>
    <row r="186" spans="1:26" ht="15.75" customHeight="1" x14ac:dyDescent="0.3">
      <c r="A186" s="6"/>
      <c r="B186" s="6"/>
      <c r="C186" s="6"/>
      <c r="D186" s="82"/>
      <c r="E186" s="82"/>
      <c r="F186" s="82"/>
      <c r="G186" s="1"/>
      <c r="H186" s="1"/>
      <c r="I186" s="1"/>
      <c r="J186" s="1"/>
      <c r="K186" s="1"/>
      <c r="L186" s="1"/>
      <c r="M186" s="1"/>
      <c r="N186" s="1"/>
      <c r="O186" s="1"/>
      <c r="P186" s="1"/>
      <c r="Q186" s="1"/>
      <c r="R186" s="1"/>
      <c r="S186" s="1"/>
      <c r="T186" s="1"/>
      <c r="U186" s="1"/>
      <c r="V186" s="1"/>
      <c r="W186" s="1"/>
      <c r="X186" s="1"/>
      <c r="Y186" s="1"/>
      <c r="Z186" s="1"/>
    </row>
    <row r="187" spans="1:26" ht="15.75" customHeight="1" x14ac:dyDescent="0.3">
      <c r="A187" s="6"/>
      <c r="B187" s="6"/>
      <c r="C187" s="6"/>
      <c r="D187" s="82"/>
      <c r="E187" s="82"/>
      <c r="F187" s="82"/>
      <c r="G187" s="1"/>
      <c r="H187" s="1"/>
      <c r="I187" s="1"/>
      <c r="J187" s="1"/>
      <c r="K187" s="1"/>
      <c r="L187" s="1"/>
      <c r="M187" s="1"/>
      <c r="N187" s="1"/>
      <c r="O187" s="1"/>
      <c r="P187" s="1"/>
      <c r="Q187" s="1"/>
      <c r="R187" s="1"/>
      <c r="S187" s="1"/>
      <c r="T187" s="1"/>
      <c r="U187" s="1"/>
      <c r="V187" s="1"/>
      <c r="W187" s="1"/>
      <c r="X187" s="1"/>
      <c r="Y187" s="1"/>
      <c r="Z187" s="1"/>
    </row>
    <row r="188" spans="1:26" ht="15.75" customHeight="1" x14ac:dyDescent="0.3">
      <c r="A188" s="6"/>
      <c r="B188" s="6"/>
      <c r="C188" s="6"/>
      <c r="D188" s="82"/>
      <c r="E188" s="82"/>
      <c r="F188" s="82"/>
      <c r="G188" s="1"/>
      <c r="H188" s="1"/>
      <c r="I188" s="1"/>
      <c r="J188" s="1"/>
      <c r="K188" s="1"/>
      <c r="L188" s="1"/>
      <c r="M188" s="1"/>
      <c r="N188" s="1"/>
      <c r="O188" s="1"/>
      <c r="P188" s="1"/>
      <c r="Q188" s="1"/>
      <c r="R188" s="1"/>
      <c r="S188" s="1"/>
      <c r="T188" s="1"/>
      <c r="U188" s="1"/>
      <c r="V188" s="1"/>
      <c r="W188" s="1"/>
      <c r="X188" s="1"/>
      <c r="Y188" s="1"/>
      <c r="Z188" s="1"/>
    </row>
    <row r="189" spans="1:26" ht="15.75" customHeight="1" x14ac:dyDescent="0.3">
      <c r="A189" s="6"/>
      <c r="B189" s="6"/>
      <c r="C189" s="6"/>
      <c r="D189" s="82"/>
      <c r="E189" s="82"/>
      <c r="F189" s="82"/>
      <c r="G189" s="1"/>
      <c r="H189" s="1"/>
      <c r="I189" s="1"/>
      <c r="J189" s="1"/>
      <c r="K189" s="1"/>
      <c r="L189" s="1"/>
      <c r="M189" s="1"/>
      <c r="N189" s="1"/>
      <c r="O189" s="1"/>
      <c r="P189" s="1"/>
      <c r="Q189" s="1"/>
      <c r="R189" s="1"/>
      <c r="S189" s="1"/>
      <c r="T189" s="1"/>
      <c r="U189" s="1"/>
      <c r="V189" s="1"/>
      <c r="W189" s="1"/>
      <c r="X189" s="1"/>
      <c r="Y189" s="1"/>
      <c r="Z189" s="1"/>
    </row>
    <row r="190" spans="1:26" ht="15.75" customHeight="1" x14ac:dyDescent="0.3">
      <c r="A190" s="6"/>
      <c r="B190" s="6"/>
      <c r="C190" s="6"/>
      <c r="D190" s="82"/>
      <c r="E190" s="82"/>
      <c r="F190" s="82"/>
      <c r="G190" s="1"/>
      <c r="H190" s="1"/>
      <c r="I190" s="1"/>
      <c r="J190" s="1"/>
      <c r="K190" s="1"/>
      <c r="L190" s="1"/>
      <c r="M190" s="1"/>
      <c r="N190" s="1"/>
      <c r="O190" s="1"/>
      <c r="P190" s="1"/>
      <c r="Q190" s="1"/>
      <c r="R190" s="1"/>
      <c r="S190" s="1"/>
      <c r="T190" s="1"/>
      <c r="U190" s="1"/>
      <c r="V190" s="1"/>
      <c r="W190" s="1"/>
      <c r="X190" s="1"/>
      <c r="Y190" s="1"/>
      <c r="Z190" s="1"/>
    </row>
    <row r="191" spans="1:26" ht="15.75" customHeight="1" x14ac:dyDescent="0.3">
      <c r="A191" s="6"/>
      <c r="B191" s="6"/>
      <c r="C191" s="6"/>
      <c r="D191" s="82"/>
      <c r="E191" s="82"/>
      <c r="F191" s="82"/>
      <c r="G191" s="1"/>
      <c r="H191" s="1"/>
      <c r="I191" s="1"/>
      <c r="J191" s="1"/>
      <c r="K191" s="1"/>
      <c r="L191" s="1"/>
      <c r="M191" s="1"/>
      <c r="N191" s="1"/>
      <c r="O191" s="1"/>
      <c r="P191" s="1"/>
      <c r="Q191" s="1"/>
      <c r="R191" s="1"/>
      <c r="S191" s="1"/>
      <c r="T191" s="1"/>
      <c r="U191" s="1"/>
      <c r="V191" s="1"/>
      <c r="W191" s="1"/>
      <c r="X191" s="1"/>
      <c r="Y191" s="1"/>
      <c r="Z191" s="1"/>
    </row>
    <row r="192" spans="1:26" ht="15.75" customHeight="1" x14ac:dyDescent="0.3">
      <c r="A192" s="6"/>
      <c r="B192" s="6"/>
      <c r="C192" s="6"/>
      <c r="D192" s="82"/>
      <c r="E192" s="82"/>
      <c r="F192" s="82"/>
      <c r="G192" s="1"/>
      <c r="H192" s="1"/>
      <c r="I192" s="1"/>
      <c r="J192" s="1"/>
      <c r="K192" s="1"/>
      <c r="L192" s="1"/>
      <c r="M192" s="1"/>
      <c r="N192" s="1"/>
      <c r="O192" s="1"/>
      <c r="P192" s="1"/>
      <c r="Q192" s="1"/>
      <c r="R192" s="1"/>
      <c r="S192" s="1"/>
      <c r="T192" s="1"/>
      <c r="U192" s="1"/>
      <c r="V192" s="1"/>
      <c r="W192" s="1"/>
      <c r="X192" s="1"/>
      <c r="Y192" s="1"/>
      <c r="Z192" s="1"/>
    </row>
    <row r="193" spans="1:26" ht="15.75" customHeight="1" x14ac:dyDescent="0.3">
      <c r="A193" s="6"/>
      <c r="B193" s="6"/>
      <c r="C193" s="6"/>
      <c r="D193" s="82"/>
      <c r="E193" s="82"/>
      <c r="F193" s="82"/>
      <c r="G193" s="1"/>
      <c r="H193" s="1"/>
      <c r="I193" s="1"/>
      <c r="J193" s="1"/>
      <c r="K193" s="1"/>
      <c r="L193" s="1"/>
      <c r="M193" s="1"/>
      <c r="N193" s="1"/>
      <c r="O193" s="1"/>
      <c r="P193" s="1"/>
      <c r="Q193" s="1"/>
      <c r="R193" s="1"/>
      <c r="S193" s="1"/>
      <c r="T193" s="1"/>
      <c r="U193" s="1"/>
      <c r="V193" s="1"/>
      <c r="W193" s="1"/>
      <c r="X193" s="1"/>
      <c r="Y193" s="1"/>
      <c r="Z193" s="1"/>
    </row>
    <row r="194" spans="1:26" ht="15.75" customHeight="1" x14ac:dyDescent="0.3">
      <c r="A194" s="6"/>
      <c r="B194" s="6"/>
      <c r="C194" s="6"/>
      <c r="D194" s="82"/>
      <c r="E194" s="82"/>
      <c r="F194" s="82"/>
      <c r="G194" s="1"/>
      <c r="H194" s="1"/>
      <c r="I194" s="1"/>
      <c r="J194" s="1"/>
      <c r="K194" s="1"/>
      <c r="L194" s="1"/>
      <c r="M194" s="1"/>
      <c r="N194" s="1"/>
      <c r="O194" s="1"/>
      <c r="P194" s="1"/>
      <c r="Q194" s="1"/>
      <c r="R194" s="1"/>
      <c r="S194" s="1"/>
      <c r="T194" s="1"/>
      <c r="U194" s="1"/>
      <c r="V194" s="1"/>
      <c r="W194" s="1"/>
      <c r="X194" s="1"/>
      <c r="Y194" s="1"/>
      <c r="Z194" s="1"/>
    </row>
    <row r="195" spans="1:26" ht="15.75" customHeight="1" x14ac:dyDescent="0.3">
      <c r="A195" s="6"/>
      <c r="B195" s="6"/>
      <c r="C195" s="6"/>
      <c r="D195" s="82"/>
      <c r="E195" s="82"/>
      <c r="F195" s="82"/>
      <c r="G195" s="1"/>
      <c r="H195" s="1"/>
      <c r="I195" s="1"/>
      <c r="J195" s="1"/>
      <c r="K195" s="1"/>
      <c r="L195" s="1"/>
      <c r="M195" s="1"/>
      <c r="N195" s="1"/>
      <c r="O195" s="1"/>
      <c r="P195" s="1"/>
      <c r="Q195" s="1"/>
      <c r="R195" s="1"/>
      <c r="S195" s="1"/>
      <c r="T195" s="1"/>
      <c r="U195" s="1"/>
      <c r="V195" s="1"/>
      <c r="W195" s="1"/>
      <c r="X195" s="1"/>
      <c r="Y195" s="1"/>
      <c r="Z195" s="1"/>
    </row>
    <row r="196" spans="1:26" ht="15.75" customHeight="1" x14ac:dyDescent="0.3">
      <c r="A196" s="6"/>
      <c r="B196" s="6"/>
      <c r="C196" s="6"/>
      <c r="D196" s="82"/>
      <c r="E196" s="82"/>
      <c r="F196" s="82"/>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
      <c r="A197" s="6"/>
      <c r="B197" s="6"/>
      <c r="C197" s="6"/>
      <c r="D197" s="82"/>
      <c r="E197" s="82"/>
      <c r="F197" s="82"/>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
      <c r="A198" s="6"/>
      <c r="B198" s="6"/>
      <c r="C198" s="6"/>
      <c r="D198" s="82"/>
      <c r="E198" s="82"/>
      <c r="F198" s="82"/>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
      <c r="A199" s="6"/>
      <c r="B199" s="6"/>
      <c r="C199" s="6"/>
      <c r="D199" s="82"/>
      <c r="E199" s="82"/>
      <c r="F199" s="82"/>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
      <c r="A200" s="6"/>
      <c r="B200" s="6"/>
      <c r="C200" s="6"/>
      <c r="D200" s="82"/>
      <c r="E200" s="82"/>
      <c r="F200" s="82"/>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6"/>
      <c r="B201" s="6"/>
      <c r="C201" s="6"/>
      <c r="D201" s="82"/>
      <c r="E201" s="82"/>
      <c r="F201" s="82"/>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6"/>
      <c r="B202" s="6"/>
      <c r="C202" s="6"/>
      <c r="D202" s="82"/>
      <c r="E202" s="82"/>
      <c r="F202" s="82"/>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6"/>
      <c r="B203" s="6"/>
      <c r="C203" s="6"/>
      <c r="D203" s="82"/>
      <c r="E203" s="82"/>
      <c r="F203" s="82"/>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6"/>
      <c r="B204" s="6"/>
      <c r="C204" s="6"/>
      <c r="D204" s="82"/>
      <c r="E204" s="82"/>
      <c r="F204" s="82"/>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6"/>
      <c r="B205" s="6"/>
      <c r="C205" s="6"/>
      <c r="D205" s="82"/>
      <c r="E205" s="82"/>
      <c r="F205" s="82"/>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6"/>
      <c r="B206" s="6"/>
      <c r="C206" s="6"/>
      <c r="D206" s="82"/>
      <c r="E206" s="82"/>
      <c r="F206" s="82"/>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6"/>
      <c r="B207" s="6"/>
      <c r="C207" s="6"/>
      <c r="D207" s="82"/>
      <c r="E207" s="82"/>
      <c r="F207" s="82"/>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6"/>
      <c r="B208" s="6"/>
      <c r="C208" s="6"/>
      <c r="D208" s="82"/>
      <c r="E208" s="82"/>
      <c r="F208" s="82"/>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6"/>
      <c r="B209" s="6"/>
      <c r="C209" s="6"/>
      <c r="D209" s="82"/>
      <c r="E209" s="82"/>
      <c r="F209" s="82"/>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6"/>
      <c r="B210" s="6"/>
      <c r="C210" s="6"/>
      <c r="D210" s="82"/>
      <c r="E210" s="82"/>
      <c r="F210" s="82"/>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6"/>
      <c r="B211" s="6"/>
      <c r="C211" s="6"/>
      <c r="D211" s="82"/>
      <c r="E211" s="82"/>
      <c r="F211" s="82"/>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6"/>
      <c r="B212" s="6"/>
      <c r="C212" s="6"/>
      <c r="D212" s="82"/>
      <c r="E212" s="82"/>
      <c r="F212" s="82"/>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6"/>
      <c r="B213" s="6"/>
      <c r="C213" s="6"/>
      <c r="D213" s="82"/>
      <c r="E213" s="82"/>
      <c r="F213" s="82"/>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6"/>
      <c r="B214" s="6"/>
      <c r="C214" s="6"/>
      <c r="D214" s="82"/>
      <c r="E214" s="82"/>
      <c r="F214" s="82"/>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6"/>
      <c r="B215" s="6"/>
      <c r="C215" s="6"/>
      <c r="D215" s="82"/>
      <c r="E215" s="82"/>
      <c r="F215" s="82"/>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6"/>
      <c r="B216" s="6"/>
      <c r="C216" s="6"/>
      <c r="D216" s="82"/>
      <c r="E216" s="82"/>
      <c r="F216" s="82"/>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6"/>
      <c r="B217" s="6"/>
      <c r="C217" s="6"/>
      <c r="D217" s="82"/>
      <c r="E217" s="82"/>
      <c r="F217" s="82"/>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
      <c r="A218" s="6"/>
      <c r="B218" s="6"/>
      <c r="C218" s="6"/>
      <c r="D218" s="82"/>
      <c r="E218" s="82"/>
      <c r="F218" s="82"/>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
      <c r="A219" s="6"/>
      <c r="B219" s="6"/>
      <c r="C219" s="6"/>
      <c r="D219" s="82"/>
      <c r="E219" s="82"/>
      <c r="F219" s="82"/>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
      <c r="A220" s="6"/>
      <c r="B220" s="6"/>
      <c r="C220" s="6"/>
      <c r="D220" s="82"/>
      <c r="E220" s="82"/>
      <c r="F220" s="82"/>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
      <c r="A221" s="6"/>
      <c r="B221" s="6"/>
      <c r="C221" s="6"/>
      <c r="D221" s="82"/>
      <c r="E221" s="82"/>
      <c r="F221" s="82"/>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
      <c r="A222" s="6"/>
      <c r="B222" s="6"/>
      <c r="C222" s="6"/>
      <c r="D222" s="82"/>
      <c r="E222" s="82"/>
      <c r="F222" s="82"/>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
      <c r="A223" s="6"/>
      <c r="B223" s="6"/>
      <c r="C223" s="6"/>
      <c r="D223" s="82"/>
      <c r="E223" s="82"/>
      <c r="F223" s="82"/>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
      <c r="A224" s="6"/>
      <c r="B224" s="6"/>
      <c r="C224" s="6"/>
      <c r="D224" s="82"/>
      <c r="E224" s="82"/>
      <c r="F224" s="82"/>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
      <c r="A225" s="6"/>
      <c r="B225" s="6"/>
      <c r="C225" s="6"/>
      <c r="D225" s="82"/>
      <c r="E225" s="82"/>
      <c r="F225" s="82"/>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
      <c r="A226" s="6"/>
      <c r="B226" s="6"/>
      <c r="C226" s="6"/>
      <c r="D226" s="82"/>
      <c r="E226" s="82"/>
      <c r="F226" s="82"/>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
      <c r="A227" s="6"/>
      <c r="B227" s="6"/>
      <c r="C227" s="6"/>
      <c r="D227" s="82"/>
      <c r="E227" s="82"/>
      <c r="F227" s="82"/>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
      <c r="A228" s="6"/>
      <c r="B228" s="6"/>
      <c r="C228" s="6"/>
      <c r="D228" s="82"/>
      <c r="E228" s="82"/>
      <c r="F228" s="82"/>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
      <c r="A229" s="6"/>
      <c r="B229" s="6"/>
      <c r="C229" s="6"/>
      <c r="D229" s="82"/>
      <c r="E229" s="82"/>
      <c r="F229" s="82"/>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
      <c r="A230" s="6"/>
      <c r="B230" s="6"/>
      <c r="C230" s="6"/>
      <c r="D230" s="82"/>
      <c r="E230" s="82"/>
      <c r="F230" s="82"/>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
      <c r="A231" s="6"/>
      <c r="B231" s="6"/>
      <c r="C231" s="6"/>
      <c r="D231" s="82"/>
      <c r="E231" s="82"/>
      <c r="F231" s="82"/>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
      <c r="A232" s="6"/>
      <c r="B232" s="6"/>
      <c r="C232" s="6"/>
      <c r="D232" s="82"/>
      <c r="E232" s="82"/>
      <c r="F232" s="82"/>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
      <c r="A233" s="6"/>
      <c r="B233" s="6"/>
      <c r="C233" s="6"/>
      <c r="D233" s="82"/>
      <c r="E233" s="82"/>
      <c r="F233" s="82"/>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
      <c r="A234" s="6"/>
      <c r="B234" s="6"/>
      <c r="C234" s="6"/>
      <c r="D234" s="82"/>
      <c r="E234" s="82"/>
      <c r="F234" s="82"/>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
      <c r="A235" s="6"/>
      <c r="B235" s="6"/>
      <c r="C235" s="6"/>
      <c r="D235" s="82"/>
      <c r="E235" s="82"/>
      <c r="F235" s="82"/>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
      <c r="A236" s="6"/>
      <c r="B236" s="6"/>
      <c r="C236" s="6"/>
      <c r="D236" s="82"/>
      <c r="E236" s="82"/>
      <c r="F236" s="82"/>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
      <c r="A237" s="6"/>
      <c r="B237" s="6"/>
      <c r="C237" s="6"/>
      <c r="D237" s="82"/>
      <c r="E237" s="82"/>
      <c r="F237" s="82"/>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
      <c r="A238" s="6"/>
      <c r="B238" s="6"/>
      <c r="C238" s="6"/>
      <c r="D238" s="82"/>
      <c r="E238" s="82"/>
      <c r="F238" s="82"/>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
      <c r="A239" s="6"/>
      <c r="B239" s="6"/>
      <c r="C239" s="6"/>
      <c r="D239" s="82"/>
      <c r="E239" s="82"/>
      <c r="F239" s="82"/>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
      <c r="A240" s="6"/>
      <c r="B240" s="6"/>
      <c r="C240" s="6"/>
      <c r="D240" s="82"/>
      <c r="E240" s="82"/>
      <c r="F240" s="82"/>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
      <c r="A241" s="6"/>
      <c r="B241" s="6"/>
      <c r="C241" s="6"/>
      <c r="D241" s="82"/>
      <c r="E241" s="82"/>
      <c r="F241" s="82"/>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
      <c r="A242" s="6"/>
      <c r="B242" s="6"/>
      <c r="C242" s="6"/>
      <c r="D242" s="82"/>
      <c r="E242" s="82"/>
      <c r="F242" s="82"/>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
      <c r="A243" s="6"/>
      <c r="B243" s="6"/>
      <c r="C243" s="6"/>
      <c r="D243" s="82"/>
      <c r="E243" s="82"/>
      <c r="F243" s="82"/>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
      <c r="A244" s="6"/>
      <c r="B244" s="6"/>
      <c r="C244" s="6"/>
      <c r="D244" s="82"/>
      <c r="E244" s="82"/>
      <c r="F244" s="82"/>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
      <c r="A245" s="6"/>
      <c r="B245" s="6"/>
      <c r="C245" s="6"/>
      <c r="D245" s="82"/>
      <c r="E245" s="82"/>
      <c r="F245" s="82"/>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
      <c r="A246" s="6"/>
      <c r="B246" s="6"/>
      <c r="C246" s="6"/>
      <c r="D246" s="82"/>
      <c r="E246" s="82"/>
      <c r="F246" s="82"/>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
      <c r="A247" s="6"/>
      <c r="B247" s="6"/>
      <c r="C247" s="6"/>
      <c r="D247" s="82"/>
      <c r="E247" s="82"/>
      <c r="F247" s="82"/>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
      <c r="A248" s="6"/>
      <c r="B248" s="6"/>
      <c r="C248" s="6"/>
      <c r="D248" s="82"/>
      <c r="E248" s="82"/>
      <c r="F248" s="82"/>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
      <c r="A249" s="6"/>
      <c r="B249" s="6"/>
      <c r="C249" s="6"/>
      <c r="D249" s="82"/>
      <c r="E249" s="82"/>
      <c r="F249" s="82"/>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
      <c r="A250" s="6"/>
      <c r="B250" s="6"/>
      <c r="C250" s="6"/>
      <c r="D250" s="82"/>
      <c r="E250" s="82"/>
      <c r="F250" s="82"/>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
      <c r="A251" s="6"/>
      <c r="B251" s="6"/>
      <c r="C251" s="6"/>
      <c r="D251" s="82"/>
      <c r="E251" s="82"/>
      <c r="F251" s="82"/>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
      <c r="A252" s="6"/>
      <c r="B252" s="6"/>
      <c r="C252" s="6"/>
      <c r="D252" s="82"/>
      <c r="E252" s="82"/>
      <c r="F252" s="82"/>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
      <c r="A253" s="6"/>
      <c r="B253" s="6"/>
      <c r="C253" s="6"/>
      <c r="D253" s="82"/>
      <c r="E253" s="82"/>
      <c r="F253" s="82"/>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
      <c r="A254" s="6"/>
      <c r="B254" s="6"/>
      <c r="C254" s="6"/>
      <c r="D254" s="82"/>
      <c r="E254" s="82"/>
      <c r="F254" s="82"/>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
      <c r="A255" s="6"/>
      <c r="B255" s="6"/>
      <c r="C255" s="6"/>
      <c r="D255" s="82"/>
      <c r="E255" s="82"/>
      <c r="F255" s="82"/>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
      <c r="A256" s="6"/>
      <c r="B256" s="6"/>
      <c r="C256" s="6"/>
      <c r="D256" s="82"/>
      <c r="E256" s="82"/>
      <c r="F256" s="82"/>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
      <c r="A257" s="6"/>
      <c r="B257" s="6"/>
      <c r="C257" s="6"/>
      <c r="D257" s="82"/>
      <c r="E257" s="82"/>
      <c r="F257" s="82"/>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
      <c r="A258" s="6"/>
      <c r="B258" s="6"/>
      <c r="C258" s="6"/>
      <c r="D258" s="82"/>
      <c r="E258" s="82"/>
      <c r="F258" s="82"/>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
      <c r="A259" s="6"/>
      <c r="B259" s="6"/>
      <c r="C259" s="6"/>
      <c r="D259" s="82"/>
      <c r="E259" s="82"/>
      <c r="F259" s="82"/>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
      <c r="A260" s="6"/>
      <c r="B260" s="6"/>
      <c r="C260" s="6"/>
      <c r="D260" s="82"/>
      <c r="E260" s="82"/>
      <c r="F260" s="82"/>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
      <c r="A261" s="6"/>
      <c r="B261" s="6"/>
      <c r="C261" s="6"/>
      <c r="D261" s="82"/>
      <c r="E261" s="82"/>
      <c r="F261" s="82"/>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
      <c r="A262" s="6"/>
      <c r="B262" s="6"/>
      <c r="C262" s="6"/>
      <c r="D262" s="82"/>
      <c r="E262" s="82"/>
      <c r="F262" s="82"/>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
      <c r="A263" s="6"/>
      <c r="B263" s="6"/>
      <c r="C263" s="6"/>
      <c r="D263" s="82"/>
      <c r="E263" s="82"/>
      <c r="F263" s="82"/>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
      <c r="A264" s="6"/>
      <c r="B264" s="6"/>
      <c r="C264" s="6"/>
      <c r="D264" s="82"/>
      <c r="E264" s="82"/>
      <c r="F264" s="82"/>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
      <c r="A265" s="6"/>
      <c r="B265" s="6"/>
      <c r="C265" s="6"/>
      <c r="D265" s="82"/>
      <c r="E265" s="82"/>
      <c r="F265" s="82"/>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
      <c r="A266" s="6"/>
      <c r="B266" s="6"/>
      <c r="C266" s="6"/>
      <c r="D266" s="82"/>
      <c r="E266" s="82"/>
      <c r="F266" s="82"/>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
      <c r="A267" s="6"/>
      <c r="B267" s="6"/>
      <c r="C267" s="6"/>
      <c r="D267" s="82"/>
      <c r="E267" s="82"/>
      <c r="F267" s="82"/>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
      <c r="A268" s="6"/>
      <c r="B268" s="6"/>
      <c r="C268" s="6"/>
      <c r="D268" s="82"/>
      <c r="E268" s="82"/>
      <c r="F268" s="82"/>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
      <c r="A269" s="6"/>
      <c r="B269" s="6"/>
      <c r="C269" s="6"/>
      <c r="D269" s="82"/>
      <c r="E269" s="82"/>
      <c r="F269" s="82"/>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
      <c r="A270" s="6"/>
      <c r="B270" s="6"/>
      <c r="C270" s="6"/>
      <c r="D270" s="82"/>
      <c r="E270" s="82"/>
      <c r="F270" s="82"/>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
      <c r="A271" s="6"/>
      <c r="B271" s="6"/>
      <c r="C271" s="6"/>
      <c r="D271" s="82"/>
      <c r="E271" s="82"/>
      <c r="F271" s="82"/>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
      <c r="A272" s="6"/>
      <c r="B272" s="6"/>
      <c r="C272" s="6"/>
      <c r="D272" s="82"/>
      <c r="E272" s="82"/>
      <c r="F272" s="82"/>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
      <c r="A273" s="6"/>
      <c r="B273" s="6"/>
      <c r="C273" s="6"/>
      <c r="D273" s="82"/>
      <c r="E273" s="82"/>
      <c r="F273" s="82"/>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
      <c r="A274" s="6"/>
      <c r="B274" s="6"/>
      <c r="C274" s="6"/>
      <c r="D274" s="82"/>
      <c r="E274" s="82"/>
      <c r="F274" s="82"/>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
      <c r="A275" s="6"/>
      <c r="B275" s="6"/>
      <c r="C275" s="6"/>
      <c r="D275" s="82"/>
      <c r="E275" s="82"/>
      <c r="F275" s="82"/>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
      <c r="A276" s="6"/>
      <c r="B276" s="6"/>
      <c r="C276" s="6"/>
      <c r="D276" s="82"/>
      <c r="E276" s="82"/>
      <c r="F276" s="82"/>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
      <c r="A277" s="6"/>
      <c r="B277" s="6"/>
      <c r="C277" s="6"/>
      <c r="D277" s="82"/>
      <c r="E277" s="82"/>
      <c r="F277" s="82"/>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
      <c r="A278" s="6"/>
      <c r="B278" s="6"/>
      <c r="C278" s="6"/>
      <c r="D278" s="82"/>
      <c r="E278" s="82"/>
      <c r="F278" s="82"/>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
      <c r="A279" s="6"/>
      <c r="B279" s="6"/>
      <c r="C279" s="6"/>
      <c r="D279" s="82"/>
      <c r="E279" s="82"/>
      <c r="F279" s="82"/>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
      <c r="A280" s="6"/>
      <c r="B280" s="6"/>
      <c r="C280" s="6"/>
      <c r="D280" s="82"/>
      <c r="E280" s="82"/>
      <c r="F280" s="82"/>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
      <c r="A281" s="6"/>
      <c r="B281" s="6"/>
      <c r="C281" s="6"/>
      <c r="D281" s="82"/>
      <c r="E281" s="82"/>
      <c r="F281" s="82"/>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
      <c r="A282" s="6"/>
      <c r="B282" s="6"/>
      <c r="C282" s="6"/>
      <c r="D282" s="82"/>
      <c r="E282" s="82"/>
      <c r="F282" s="82"/>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
      <c r="A283" s="6"/>
      <c r="B283" s="6"/>
      <c r="C283" s="6"/>
      <c r="D283" s="82"/>
      <c r="E283" s="82"/>
      <c r="F283" s="82"/>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
      <c r="A284" s="6"/>
      <c r="B284" s="6"/>
      <c r="C284" s="6"/>
      <c r="D284" s="82"/>
      <c r="E284" s="82"/>
      <c r="F284" s="82"/>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
      <c r="A285" s="6"/>
      <c r="B285" s="6"/>
      <c r="C285" s="6"/>
      <c r="D285" s="82"/>
      <c r="E285" s="82"/>
      <c r="F285" s="82"/>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
      <c r="A286" s="6"/>
      <c r="B286" s="6"/>
      <c r="C286" s="6"/>
      <c r="D286" s="82"/>
      <c r="E286" s="82"/>
      <c r="F286" s="82"/>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
      <c r="A287" s="6"/>
      <c r="B287" s="6"/>
      <c r="C287" s="6"/>
      <c r="D287" s="82"/>
      <c r="E287" s="82"/>
      <c r="F287" s="82"/>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
      <c r="A288" s="6"/>
      <c r="B288" s="6"/>
      <c r="C288" s="6"/>
      <c r="D288" s="82"/>
      <c r="E288" s="82"/>
      <c r="F288" s="82"/>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
      <c r="A289" s="6"/>
      <c r="B289" s="6"/>
      <c r="C289" s="6"/>
      <c r="D289" s="82"/>
      <c r="E289" s="82"/>
      <c r="F289" s="82"/>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
      <c r="A290" s="6"/>
      <c r="B290" s="6"/>
      <c r="C290" s="6"/>
      <c r="D290" s="82"/>
      <c r="E290" s="82"/>
      <c r="F290" s="82"/>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
      <c r="A291" s="6"/>
      <c r="B291" s="6"/>
      <c r="C291" s="6"/>
      <c r="D291" s="82"/>
      <c r="E291" s="82"/>
      <c r="F291" s="82"/>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
      <c r="A292" s="6"/>
      <c r="B292" s="6"/>
      <c r="C292" s="6"/>
      <c r="D292" s="82"/>
      <c r="E292" s="82"/>
      <c r="F292" s="82"/>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
      <c r="A293" s="6"/>
      <c r="B293" s="6"/>
      <c r="C293" s="6"/>
      <c r="D293" s="82"/>
      <c r="E293" s="82"/>
      <c r="F293" s="82"/>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
      <c r="A294" s="6"/>
      <c r="B294" s="6"/>
      <c r="C294" s="6"/>
      <c r="D294" s="82"/>
      <c r="E294" s="82"/>
      <c r="F294" s="82"/>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
      <c r="A295" s="6"/>
      <c r="B295" s="6"/>
      <c r="C295" s="6"/>
      <c r="D295" s="82"/>
      <c r="E295" s="82"/>
      <c r="F295" s="82"/>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
      <c r="A296" s="6"/>
      <c r="B296" s="6"/>
      <c r="C296" s="6"/>
      <c r="D296" s="82"/>
      <c r="E296" s="82"/>
      <c r="F296" s="82"/>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
      <c r="A297" s="6"/>
      <c r="B297" s="6"/>
      <c r="C297" s="6"/>
      <c r="D297" s="82"/>
      <c r="E297" s="82"/>
      <c r="F297" s="82"/>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
      <c r="A298" s="6"/>
      <c r="B298" s="6"/>
      <c r="C298" s="6"/>
      <c r="D298" s="82"/>
      <c r="E298" s="82"/>
      <c r="F298" s="82"/>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
      <c r="A299" s="6"/>
      <c r="B299" s="6"/>
      <c r="C299" s="6"/>
      <c r="D299" s="82"/>
      <c r="E299" s="82"/>
      <c r="F299" s="82"/>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
      <c r="A300" s="6"/>
      <c r="B300" s="6"/>
      <c r="C300" s="6"/>
      <c r="D300" s="82"/>
      <c r="E300" s="82"/>
      <c r="F300" s="82"/>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
      <c r="A301" s="6"/>
      <c r="B301" s="6"/>
      <c r="C301" s="6"/>
      <c r="D301" s="82"/>
      <c r="E301" s="82"/>
      <c r="F301" s="82"/>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
      <c r="A302" s="6"/>
      <c r="B302" s="6"/>
      <c r="C302" s="6"/>
      <c r="D302" s="82"/>
      <c r="E302" s="82"/>
      <c r="F302" s="82"/>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
      <c r="A303" s="6"/>
      <c r="B303" s="6"/>
      <c r="C303" s="6"/>
      <c r="D303" s="82"/>
      <c r="E303" s="82"/>
      <c r="F303" s="82"/>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
      <c r="A304" s="6"/>
      <c r="B304" s="6"/>
      <c r="C304" s="6"/>
      <c r="D304" s="82"/>
      <c r="E304" s="82"/>
      <c r="F304" s="82"/>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
      <c r="A305" s="6"/>
      <c r="B305" s="6"/>
      <c r="C305" s="6"/>
      <c r="D305" s="82"/>
      <c r="E305" s="82"/>
      <c r="F305" s="82"/>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
      <c r="A306" s="6"/>
      <c r="B306" s="6"/>
      <c r="C306" s="6"/>
      <c r="D306" s="82"/>
      <c r="E306" s="82"/>
      <c r="F306" s="82"/>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
      <c r="A307" s="6"/>
      <c r="B307" s="6"/>
      <c r="C307" s="6"/>
      <c r="D307" s="82"/>
      <c r="E307" s="82"/>
      <c r="F307" s="82"/>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
      <c r="A308" s="6"/>
      <c r="B308" s="6"/>
      <c r="C308" s="6"/>
      <c r="D308" s="82"/>
      <c r="E308" s="82"/>
      <c r="F308" s="82"/>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
      <c r="A309" s="6"/>
      <c r="B309" s="6"/>
      <c r="C309" s="6"/>
      <c r="D309" s="82"/>
      <c r="E309" s="82"/>
      <c r="F309" s="82"/>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
      <c r="A310" s="6"/>
      <c r="B310" s="6"/>
      <c r="C310" s="6"/>
      <c r="D310" s="82"/>
      <c r="E310" s="82"/>
      <c r="F310" s="82"/>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
      <c r="A311" s="6"/>
      <c r="B311" s="6"/>
      <c r="C311" s="6"/>
      <c r="D311" s="82"/>
      <c r="E311" s="82"/>
      <c r="F311" s="82"/>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
      <c r="A312" s="6"/>
      <c r="B312" s="6"/>
      <c r="C312" s="6"/>
      <c r="D312" s="82"/>
      <c r="E312" s="82"/>
      <c r="F312" s="82"/>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
      <c r="A313" s="6"/>
      <c r="B313" s="6"/>
      <c r="C313" s="6"/>
      <c r="D313" s="82"/>
      <c r="E313" s="82"/>
      <c r="F313" s="82"/>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
      <c r="A314" s="6"/>
      <c r="B314" s="6"/>
      <c r="C314" s="6"/>
      <c r="D314" s="82"/>
      <c r="E314" s="82"/>
      <c r="F314" s="82"/>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
      <c r="A315" s="6"/>
      <c r="B315" s="6"/>
      <c r="C315" s="6"/>
      <c r="D315" s="82"/>
      <c r="E315" s="82"/>
      <c r="F315" s="82"/>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
      <c r="A316" s="6"/>
      <c r="B316" s="6"/>
      <c r="C316" s="6"/>
      <c r="D316" s="82"/>
      <c r="E316" s="82"/>
      <c r="F316" s="82"/>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
      <c r="A317" s="6"/>
      <c r="B317" s="6"/>
      <c r="C317" s="6"/>
      <c r="D317" s="82"/>
      <c r="E317" s="82"/>
      <c r="F317" s="82"/>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
      <c r="A318" s="6"/>
      <c r="B318" s="6"/>
      <c r="C318" s="6"/>
      <c r="D318" s="82"/>
      <c r="E318" s="82"/>
      <c r="F318" s="82"/>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
      <c r="A319" s="6"/>
      <c r="B319" s="6"/>
      <c r="C319" s="6"/>
      <c r="D319" s="82"/>
      <c r="E319" s="82"/>
      <c r="F319" s="82"/>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
      <c r="A320" s="6"/>
      <c r="B320" s="6"/>
      <c r="C320" s="6"/>
      <c r="D320" s="82"/>
      <c r="E320" s="82"/>
      <c r="F320" s="82"/>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
      <c r="A321" s="6"/>
      <c r="B321" s="6"/>
      <c r="C321" s="6"/>
      <c r="D321" s="82"/>
      <c r="E321" s="82"/>
      <c r="F321" s="82"/>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
      <c r="A322" s="6"/>
      <c r="B322" s="6"/>
      <c r="C322" s="6"/>
      <c r="D322" s="82"/>
      <c r="E322" s="82"/>
      <c r="F322" s="82"/>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
      <c r="A323" s="6"/>
      <c r="B323" s="6"/>
      <c r="C323" s="6"/>
      <c r="D323" s="82"/>
      <c r="E323" s="82"/>
      <c r="F323" s="82"/>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
      <c r="A324" s="6"/>
      <c r="B324" s="6"/>
      <c r="C324" s="6"/>
      <c r="D324" s="82"/>
      <c r="E324" s="82"/>
      <c r="F324" s="82"/>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
      <c r="A325" s="6"/>
      <c r="B325" s="6"/>
      <c r="C325" s="6"/>
      <c r="D325" s="82"/>
      <c r="E325" s="82"/>
      <c r="F325" s="82"/>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
      <c r="A326" s="6"/>
      <c r="B326" s="6"/>
      <c r="C326" s="6"/>
      <c r="D326" s="82"/>
      <c r="E326" s="82"/>
      <c r="F326" s="82"/>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
      <c r="A327" s="6"/>
      <c r="B327" s="6"/>
      <c r="C327" s="6"/>
      <c r="D327" s="82"/>
      <c r="E327" s="82"/>
      <c r="F327" s="82"/>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
      <c r="A328" s="6"/>
      <c r="B328" s="6"/>
      <c r="C328" s="6"/>
      <c r="D328" s="82"/>
      <c r="E328" s="82"/>
      <c r="F328" s="82"/>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
      <c r="A329" s="6"/>
      <c r="B329" s="6"/>
      <c r="C329" s="6"/>
      <c r="D329" s="82"/>
      <c r="E329" s="82"/>
      <c r="F329" s="82"/>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
      <c r="A330" s="6"/>
      <c r="B330" s="6"/>
      <c r="C330" s="6"/>
      <c r="D330" s="82"/>
      <c r="E330" s="82"/>
      <c r="F330" s="82"/>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
      <c r="A331" s="6"/>
      <c r="B331" s="6"/>
      <c r="C331" s="6"/>
      <c r="D331" s="82"/>
      <c r="E331" s="82"/>
      <c r="F331" s="82"/>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
      <c r="A332" s="6"/>
      <c r="B332" s="6"/>
      <c r="C332" s="6"/>
      <c r="D332" s="82"/>
      <c r="E332" s="82"/>
      <c r="F332" s="82"/>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
      <c r="A333" s="6"/>
      <c r="B333" s="6"/>
      <c r="C333" s="6"/>
      <c r="D333" s="82"/>
      <c r="E333" s="82"/>
      <c r="F333" s="82"/>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
      <c r="A334" s="6"/>
      <c r="B334" s="6"/>
      <c r="C334" s="6"/>
      <c r="D334" s="82"/>
      <c r="E334" s="82"/>
      <c r="F334" s="82"/>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
      <c r="A335" s="6"/>
      <c r="B335" s="6"/>
      <c r="C335" s="6"/>
      <c r="D335" s="82"/>
      <c r="E335" s="82"/>
      <c r="F335" s="82"/>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
      <c r="A336" s="6"/>
      <c r="B336" s="6"/>
      <c r="C336" s="6"/>
      <c r="D336" s="82"/>
      <c r="E336" s="82"/>
      <c r="F336" s="82"/>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
      <c r="A337" s="6"/>
      <c r="B337" s="6"/>
      <c r="C337" s="6"/>
      <c r="D337" s="82"/>
      <c r="E337" s="82"/>
      <c r="F337" s="82"/>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
      <c r="A338" s="6"/>
      <c r="B338" s="6"/>
      <c r="C338" s="6"/>
      <c r="D338" s="82"/>
      <c r="E338" s="82"/>
      <c r="F338" s="82"/>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
      <c r="A339" s="6"/>
      <c r="B339" s="6"/>
      <c r="C339" s="6"/>
      <c r="D339" s="82"/>
      <c r="E339" s="82"/>
      <c r="F339" s="82"/>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
      <c r="A340" s="6"/>
      <c r="B340" s="6"/>
      <c r="C340" s="6"/>
      <c r="D340" s="82"/>
      <c r="E340" s="82"/>
      <c r="F340" s="82"/>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
      <c r="A341" s="6"/>
      <c r="B341" s="6"/>
      <c r="C341" s="6"/>
      <c r="D341" s="82"/>
      <c r="E341" s="82"/>
      <c r="F341" s="82"/>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
      <c r="A342" s="6"/>
      <c r="B342" s="6"/>
      <c r="C342" s="6"/>
      <c r="D342" s="82"/>
      <c r="E342" s="82"/>
      <c r="F342" s="82"/>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
      <c r="A343" s="6"/>
      <c r="B343" s="6"/>
      <c r="C343" s="6"/>
      <c r="D343" s="82"/>
      <c r="E343" s="82"/>
      <c r="F343" s="82"/>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
      <c r="A344" s="6"/>
      <c r="B344" s="6"/>
      <c r="C344" s="6"/>
      <c r="D344" s="82"/>
      <c r="E344" s="82"/>
      <c r="F344" s="82"/>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
      <c r="A345" s="6"/>
      <c r="B345" s="6"/>
      <c r="C345" s="6"/>
      <c r="D345" s="82"/>
      <c r="E345" s="82"/>
      <c r="F345" s="82"/>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
      <c r="A346" s="6"/>
      <c r="B346" s="6"/>
      <c r="C346" s="6"/>
      <c r="D346" s="82"/>
      <c r="E346" s="82"/>
      <c r="F346" s="82"/>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
      <c r="A347" s="6"/>
      <c r="B347" s="6"/>
      <c r="C347" s="6"/>
      <c r="D347" s="82"/>
      <c r="E347" s="82"/>
      <c r="F347" s="82"/>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
      <c r="A348" s="6"/>
      <c r="B348" s="6"/>
      <c r="C348" s="6"/>
      <c r="D348" s="82"/>
      <c r="E348" s="82"/>
      <c r="F348" s="82"/>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
      <c r="A349" s="6"/>
      <c r="B349" s="6"/>
      <c r="C349" s="6"/>
      <c r="D349" s="82"/>
      <c r="E349" s="82"/>
      <c r="F349" s="82"/>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
      <c r="A350" s="6"/>
      <c r="B350" s="6"/>
      <c r="C350" s="6"/>
      <c r="D350" s="82"/>
      <c r="E350" s="82"/>
      <c r="F350" s="82"/>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
      <c r="A351" s="6"/>
      <c r="B351" s="6"/>
      <c r="C351" s="6"/>
      <c r="D351" s="82"/>
      <c r="E351" s="82"/>
      <c r="F351" s="82"/>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
      <c r="A352" s="6"/>
      <c r="B352" s="6"/>
      <c r="C352" s="6"/>
      <c r="D352" s="82"/>
      <c r="E352" s="82"/>
      <c r="F352" s="82"/>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
      <c r="A353" s="6"/>
      <c r="B353" s="6"/>
      <c r="C353" s="6"/>
      <c r="D353" s="82"/>
      <c r="E353" s="82"/>
      <c r="F353" s="82"/>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
      <c r="A354" s="6"/>
      <c r="B354" s="6"/>
      <c r="C354" s="6"/>
      <c r="D354" s="82"/>
      <c r="E354" s="82"/>
      <c r="F354" s="82"/>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
      <c r="A355" s="6"/>
      <c r="B355" s="6"/>
      <c r="C355" s="6"/>
      <c r="D355" s="82"/>
      <c r="E355" s="82"/>
      <c r="F355" s="82"/>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
      <c r="A356" s="6"/>
      <c r="B356" s="6"/>
      <c r="C356" s="6"/>
      <c r="D356" s="82"/>
      <c r="E356" s="82"/>
      <c r="F356" s="82"/>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
      <c r="A357" s="6"/>
      <c r="B357" s="6"/>
      <c r="C357" s="6"/>
      <c r="D357" s="82"/>
      <c r="E357" s="82"/>
      <c r="F357" s="82"/>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
      <c r="A358" s="6"/>
      <c r="B358" s="6"/>
      <c r="C358" s="6"/>
      <c r="D358" s="82"/>
      <c r="E358" s="82"/>
      <c r="F358" s="82"/>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
      <c r="A359" s="6"/>
      <c r="B359" s="6"/>
      <c r="C359" s="6"/>
      <c r="D359" s="82"/>
      <c r="E359" s="82"/>
      <c r="F359" s="82"/>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
      <c r="A360" s="6"/>
      <c r="B360" s="6"/>
      <c r="C360" s="6"/>
      <c r="D360" s="82"/>
      <c r="E360" s="82"/>
      <c r="F360" s="82"/>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
      <c r="A361" s="6"/>
      <c r="B361" s="6"/>
      <c r="C361" s="6"/>
      <c r="D361" s="82"/>
      <c r="E361" s="82"/>
      <c r="F361" s="82"/>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
      <c r="A362" s="6"/>
      <c r="B362" s="6"/>
      <c r="C362" s="6"/>
      <c r="D362" s="82"/>
      <c r="E362" s="82"/>
      <c r="F362" s="82"/>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
      <c r="A363" s="6"/>
      <c r="B363" s="6"/>
      <c r="C363" s="6"/>
      <c r="D363" s="82"/>
      <c r="E363" s="82"/>
      <c r="F363" s="82"/>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
      <c r="A364" s="6"/>
      <c r="B364" s="6"/>
      <c r="C364" s="6"/>
      <c r="D364" s="82"/>
      <c r="E364" s="82"/>
      <c r="F364" s="82"/>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
      <c r="A365" s="6"/>
      <c r="B365" s="6"/>
      <c r="C365" s="6"/>
      <c r="D365" s="82"/>
      <c r="E365" s="82"/>
      <c r="F365" s="82"/>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
      <c r="A366" s="6"/>
      <c r="B366" s="6"/>
      <c r="C366" s="6"/>
      <c r="D366" s="82"/>
      <c r="E366" s="82"/>
      <c r="F366" s="82"/>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
      <c r="A367" s="6"/>
      <c r="B367" s="6"/>
      <c r="C367" s="6"/>
      <c r="D367" s="82"/>
      <c r="E367" s="82"/>
      <c r="F367" s="82"/>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
      <c r="A368" s="6"/>
      <c r="B368" s="6"/>
      <c r="C368" s="6"/>
      <c r="D368" s="82"/>
      <c r="E368" s="82"/>
      <c r="F368" s="82"/>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
      <c r="A369" s="6"/>
      <c r="B369" s="6"/>
      <c r="C369" s="6"/>
      <c r="D369" s="82"/>
      <c r="E369" s="82"/>
      <c r="F369" s="82"/>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
      <c r="A370" s="6"/>
      <c r="B370" s="6"/>
      <c r="C370" s="6"/>
      <c r="D370" s="82"/>
      <c r="E370" s="82"/>
      <c r="F370" s="82"/>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
      <c r="A371" s="6"/>
      <c r="B371" s="6"/>
      <c r="C371" s="6"/>
      <c r="D371" s="82"/>
      <c r="E371" s="82"/>
      <c r="F371" s="82"/>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
      <c r="A372" s="6"/>
      <c r="B372" s="6"/>
      <c r="C372" s="6"/>
      <c r="D372" s="82"/>
      <c r="E372" s="82"/>
      <c r="F372" s="82"/>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
      <c r="A373" s="6"/>
      <c r="B373" s="6"/>
      <c r="C373" s="6"/>
      <c r="D373" s="82"/>
      <c r="E373" s="82"/>
      <c r="F373" s="82"/>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
      <c r="A374" s="6"/>
      <c r="B374" s="6"/>
      <c r="C374" s="6"/>
      <c r="D374" s="82"/>
      <c r="E374" s="82"/>
      <c r="F374" s="82"/>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
      <c r="A375" s="6"/>
      <c r="B375" s="6"/>
      <c r="C375" s="6"/>
      <c r="D375" s="82"/>
      <c r="E375" s="82"/>
      <c r="F375" s="82"/>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
      <c r="A376" s="6"/>
      <c r="B376" s="6"/>
      <c r="C376" s="6"/>
      <c r="D376" s="82"/>
      <c r="E376" s="82"/>
      <c r="F376" s="82"/>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
      <c r="A377" s="6"/>
      <c r="B377" s="6"/>
      <c r="C377" s="6"/>
      <c r="D377" s="82"/>
      <c r="E377" s="82"/>
      <c r="F377" s="82"/>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
      <c r="A378" s="6"/>
      <c r="B378" s="6"/>
      <c r="C378" s="6"/>
      <c r="D378" s="82"/>
      <c r="E378" s="82"/>
      <c r="F378" s="82"/>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
      <c r="A379" s="6"/>
      <c r="B379" s="6"/>
      <c r="C379" s="6"/>
      <c r="D379" s="82"/>
      <c r="E379" s="82"/>
      <c r="F379" s="82"/>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6"/>
      <c r="B380" s="6"/>
      <c r="C380" s="6"/>
      <c r="D380" s="82"/>
      <c r="E380" s="82"/>
      <c r="F380" s="82"/>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6"/>
      <c r="B381" s="6"/>
      <c r="C381" s="6"/>
      <c r="D381" s="82"/>
      <c r="E381" s="82"/>
      <c r="F381" s="82"/>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6"/>
      <c r="B382" s="6"/>
      <c r="C382" s="6"/>
      <c r="D382" s="82"/>
      <c r="E382" s="82"/>
      <c r="F382" s="82"/>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6"/>
      <c r="B383" s="6"/>
      <c r="C383" s="6"/>
      <c r="D383" s="82"/>
      <c r="E383" s="82"/>
      <c r="F383" s="82"/>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6"/>
      <c r="B384" s="6"/>
      <c r="C384" s="6"/>
      <c r="D384" s="82"/>
      <c r="E384" s="82"/>
      <c r="F384" s="82"/>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6"/>
      <c r="B385" s="6"/>
      <c r="C385" s="6"/>
      <c r="D385" s="82"/>
      <c r="E385" s="82"/>
      <c r="F385" s="82"/>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6"/>
      <c r="B386" s="6"/>
      <c r="C386" s="6"/>
      <c r="D386" s="82"/>
      <c r="E386" s="82"/>
      <c r="F386" s="82"/>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6"/>
      <c r="B387" s="6"/>
      <c r="C387" s="6"/>
      <c r="D387" s="82"/>
      <c r="E387" s="82"/>
      <c r="F387" s="82"/>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6"/>
      <c r="B388" s="6"/>
      <c r="C388" s="6"/>
      <c r="D388" s="82"/>
      <c r="E388" s="82"/>
      <c r="F388" s="82"/>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6"/>
      <c r="B389" s="6"/>
      <c r="C389" s="6"/>
      <c r="D389" s="82"/>
      <c r="E389" s="82"/>
      <c r="F389" s="82"/>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6"/>
      <c r="B390" s="6"/>
      <c r="C390" s="6"/>
      <c r="D390" s="82"/>
      <c r="E390" s="82"/>
      <c r="F390" s="82"/>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6"/>
      <c r="B391" s="6"/>
      <c r="C391" s="6"/>
      <c r="D391" s="82"/>
      <c r="E391" s="82"/>
      <c r="F391" s="82"/>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6"/>
      <c r="B392" s="6"/>
      <c r="C392" s="6"/>
      <c r="D392" s="82"/>
      <c r="E392" s="82"/>
      <c r="F392" s="82"/>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6"/>
      <c r="B393" s="6"/>
      <c r="C393" s="6"/>
      <c r="D393" s="82"/>
      <c r="E393" s="82"/>
      <c r="F393" s="82"/>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6"/>
      <c r="B394" s="6"/>
      <c r="C394" s="6"/>
      <c r="D394" s="82"/>
      <c r="E394" s="82"/>
      <c r="F394" s="82"/>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6"/>
      <c r="B395" s="6"/>
      <c r="C395" s="6"/>
      <c r="D395" s="82"/>
      <c r="E395" s="82"/>
      <c r="F395" s="82"/>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6"/>
      <c r="B396" s="6"/>
      <c r="C396" s="6"/>
      <c r="D396" s="82"/>
      <c r="E396" s="82"/>
      <c r="F396" s="82"/>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6"/>
      <c r="B397" s="6"/>
      <c r="C397" s="6"/>
      <c r="D397" s="82"/>
      <c r="E397" s="82"/>
      <c r="F397" s="82"/>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6"/>
      <c r="B398" s="6"/>
      <c r="C398" s="6"/>
      <c r="D398" s="82"/>
      <c r="E398" s="82"/>
      <c r="F398" s="82"/>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6"/>
      <c r="B399" s="6"/>
      <c r="C399" s="6"/>
      <c r="D399" s="82"/>
      <c r="E399" s="82"/>
      <c r="F399" s="82"/>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6"/>
      <c r="B400" s="6"/>
      <c r="C400" s="6"/>
      <c r="D400" s="82"/>
      <c r="E400" s="82"/>
      <c r="F400" s="82"/>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6"/>
      <c r="B401" s="6"/>
      <c r="C401" s="6"/>
      <c r="D401" s="82"/>
      <c r="E401" s="82"/>
      <c r="F401" s="82"/>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6"/>
      <c r="B402" s="6"/>
      <c r="C402" s="6"/>
      <c r="D402" s="82"/>
      <c r="E402" s="82"/>
      <c r="F402" s="82"/>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6"/>
      <c r="B403" s="6"/>
      <c r="C403" s="6"/>
      <c r="D403" s="82"/>
      <c r="E403" s="82"/>
      <c r="F403" s="82"/>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6"/>
      <c r="B404" s="6"/>
      <c r="C404" s="6"/>
      <c r="D404" s="82"/>
      <c r="E404" s="82"/>
      <c r="F404" s="82"/>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6"/>
      <c r="B405" s="6"/>
      <c r="C405" s="6"/>
      <c r="D405" s="82"/>
      <c r="E405" s="82"/>
      <c r="F405" s="82"/>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6"/>
      <c r="B406" s="6"/>
      <c r="C406" s="6"/>
      <c r="D406" s="82"/>
      <c r="E406" s="82"/>
      <c r="F406" s="82"/>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6"/>
      <c r="B407" s="6"/>
      <c r="C407" s="6"/>
      <c r="D407" s="82"/>
      <c r="E407" s="82"/>
      <c r="F407" s="82"/>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6"/>
      <c r="B408" s="6"/>
      <c r="C408" s="6"/>
      <c r="D408" s="82"/>
      <c r="E408" s="82"/>
      <c r="F408" s="82"/>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6"/>
      <c r="B409" s="6"/>
      <c r="C409" s="6"/>
      <c r="D409" s="82"/>
      <c r="E409" s="82"/>
      <c r="F409" s="82"/>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6"/>
      <c r="B410" s="6"/>
      <c r="C410" s="6"/>
      <c r="D410" s="82"/>
      <c r="E410" s="82"/>
      <c r="F410" s="82"/>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6"/>
      <c r="B411" s="6"/>
      <c r="C411" s="6"/>
      <c r="D411" s="82"/>
      <c r="E411" s="82"/>
      <c r="F411" s="82"/>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6"/>
      <c r="B412" s="6"/>
      <c r="C412" s="6"/>
      <c r="D412" s="82"/>
      <c r="E412" s="82"/>
      <c r="F412" s="82"/>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6"/>
      <c r="B413" s="6"/>
      <c r="C413" s="6"/>
      <c r="D413" s="82"/>
      <c r="E413" s="82"/>
      <c r="F413" s="82"/>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6"/>
      <c r="B414" s="6"/>
      <c r="C414" s="6"/>
      <c r="D414" s="82"/>
      <c r="E414" s="82"/>
      <c r="F414" s="82"/>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6"/>
      <c r="B415" s="6"/>
      <c r="C415" s="6"/>
      <c r="D415" s="82"/>
      <c r="E415" s="82"/>
      <c r="F415" s="82"/>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6"/>
      <c r="B416" s="6"/>
      <c r="C416" s="6"/>
      <c r="D416" s="82"/>
      <c r="E416" s="82"/>
      <c r="F416" s="82"/>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6"/>
      <c r="B417" s="6"/>
      <c r="C417" s="6"/>
      <c r="D417" s="82"/>
      <c r="E417" s="82"/>
      <c r="F417" s="82"/>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6"/>
      <c r="B418" s="6"/>
      <c r="C418" s="6"/>
      <c r="D418" s="82"/>
      <c r="E418" s="82"/>
      <c r="F418" s="82"/>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6"/>
      <c r="B419" s="6"/>
      <c r="C419" s="6"/>
      <c r="D419" s="82"/>
      <c r="E419" s="82"/>
      <c r="F419" s="82"/>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6"/>
      <c r="B420" s="6"/>
      <c r="C420" s="6"/>
      <c r="D420" s="82"/>
      <c r="E420" s="82"/>
      <c r="F420" s="82"/>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6"/>
      <c r="B421" s="6"/>
      <c r="C421" s="6"/>
      <c r="D421" s="82"/>
      <c r="E421" s="82"/>
      <c r="F421" s="82"/>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6"/>
      <c r="B422" s="6"/>
      <c r="C422" s="6"/>
      <c r="D422" s="82"/>
      <c r="E422" s="82"/>
      <c r="F422" s="82"/>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6"/>
      <c r="B423" s="6"/>
      <c r="C423" s="6"/>
      <c r="D423" s="82"/>
      <c r="E423" s="82"/>
      <c r="F423" s="82"/>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6"/>
      <c r="B424" s="6"/>
      <c r="C424" s="6"/>
      <c r="D424" s="82"/>
      <c r="E424" s="82"/>
      <c r="F424" s="82"/>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6"/>
      <c r="B425" s="6"/>
      <c r="C425" s="6"/>
      <c r="D425" s="82"/>
      <c r="E425" s="82"/>
      <c r="F425" s="82"/>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6"/>
      <c r="B426" s="6"/>
      <c r="C426" s="6"/>
      <c r="D426" s="82"/>
      <c r="E426" s="82"/>
      <c r="F426" s="82"/>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6"/>
      <c r="B427" s="6"/>
      <c r="C427" s="6"/>
      <c r="D427" s="82"/>
      <c r="E427" s="82"/>
      <c r="F427" s="82"/>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6"/>
      <c r="B428" s="6"/>
      <c r="C428" s="6"/>
      <c r="D428" s="82"/>
      <c r="E428" s="82"/>
      <c r="F428" s="82"/>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6"/>
      <c r="B429" s="6"/>
      <c r="C429" s="6"/>
      <c r="D429" s="82"/>
      <c r="E429" s="82"/>
      <c r="F429" s="82"/>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6"/>
      <c r="B430" s="6"/>
      <c r="C430" s="6"/>
      <c r="D430" s="82"/>
      <c r="E430" s="82"/>
      <c r="F430" s="82"/>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6"/>
      <c r="B431" s="6"/>
      <c r="C431" s="6"/>
      <c r="D431" s="82"/>
      <c r="E431" s="82"/>
      <c r="F431" s="82"/>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6"/>
      <c r="B432" s="6"/>
      <c r="C432" s="6"/>
      <c r="D432" s="82"/>
      <c r="E432" s="82"/>
      <c r="F432" s="82"/>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6"/>
      <c r="B433" s="6"/>
      <c r="C433" s="6"/>
      <c r="D433" s="82"/>
      <c r="E433" s="82"/>
      <c r="F433" s="82"/>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6"/>
      <c r="B434" s="6"/>
      <c r="C434" s="6"/>
      <c r="D434" s="82"/>
      <c r="E434" s="82"/>
      <c r="F434" s="82"/>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6"/>
      <c r="B435" s="6"/>
      <c r="C435" s="6"/>
      <c r="D435" s="82"/>
      <c r="E435" s="82"/>
      <c r="F435" s="82"/>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6"/>
      <c r="B436" s="6"/>
      <c r="C436" s="6"/>
      <c r="D436" s="82"/>
      <c r="E436" s="82"/>
      <c r="F436" s="82"/>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6"/>
      <c r="B437" s="6"/>
      <c r="C437" s="6"/>
      <c r="D437" s="82"/>
      <c r="E437" s="82"/>
      <c r="F437" s="82"/>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6"/>
      <c r="B438" s="6"/>
      <c r="C438" s="6"/>
      <c r="D438" s="82"/>
      <c r="E438" s="82"/>
      <c r="F438" s="82"/>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6"/>
      <c r="B439" s="6"/>
      <c r="C439" s="6"/>
      <c r="D439" s="82"/>
      <c r="E439" s="82"/>
      <c r="F439" s="82"/>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6"/>
      <c r="B440" s="6"/>
      <c r="C440" s="6"/>
      <c r="D440" s="82"/>
      <c r="E440" s="82"/>
      <c r="F440" s="82"/>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6"/>
      <c r="B441" s="6"/>
      <c r="C441" s="6"/>
      <c r="D441" s="82"/>
      <c r="E441" s="82"/>
      <c r="F441" s="82"/>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6"/>
      <c r="B442" s="6"/>
      <c r="C442" s="6"/>
      <c r="D442" s="82"/>
      <c r="E442" s="82"/>
      <c r="F442" s="82"/>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6"/>
      <c r="B443" s="6"/>
      <c r="C443" s="6"/>
      <c r="D443" s="82"/>
      <c r="E443" s="82"/>
      <c r="F443" s="82"/>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6"/>
      <c r="B444" s="6"/>
      <c r="C444" s="6"/>
      <c r="D444" s="82"/>
      <c r="E444" s="82"/>
      <c r="F444" s="82"/>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6"/>
      <c r="B445" s="6"/>
      <c r="C445" s="6"/>
      <c r="D445" s="82"/>
      <c r="E445" s="82"/>
      <c r="F445" s="82"/>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6"/>
      <c r="B446" s="6"/>
      <c r="C446" s="6"/>
      <c r="D446" s="82"/>
      <c r="E446" s="82"/>
      <c r="F446" s="82"/>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6"/>
      <c r="B447" s="6"/>
      <c r="C447" s="6"/>
      <c r="D447" s="82"/>
      <c r="E447" s="82"/>
      <c r="F447" s="82"/>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6"/>
      <c r="B448" s="6"/>
      <c r="C448" s="6"/>
      <c r="D448" s="82"/>
      <c r="E448" s="82"/>
      <c r="F448" s="82"/>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6"/>
      <c r="B449" s="6"/>
      <c r="C449" s="6"/>
      <c r="D449" s="82"/>
      <c r="E449" s="82"/>
      <c r="F449" s="82"/>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6"/>
      <c r="B450" s="6"/>
      <c r="C450" s="6"/>
      <c r="D450" s="82"/>
      <c r="E450" s="82"/>
      <c r="F450" s="82"/>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6"/>
      <c r="B451" s="6"/>
      <c r="C451" s="6"/>
      <c r="D451" s="82"/>
      <c r="E451" s="82"/>
      <c r="F451" s="82"/>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6"/>
      <c r="B452" s="6"/>
      <c r="C452" s="6"/>
      <c r="D452" s="82"/>
      <c r="E452" s="82"/>
      <c r="F452" s="82"/>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6"/>
      <c r="B453" s="6"/>
      <c r="C453" s="6"/>
      <c r="D453" s="82"/>
      <c r="E453" s="82"/>
      <c r="F453" s="82"/>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6"/>
      <c r="B454" s="6"/>
      <c r="C454" s="6"/>
      <c r="D454" s="82"/>
      <c r="E454" s="82"/>
      <c r="F454" s="82"/>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6"/>
      <c r="B455" s="6"/>
      <c r="C455" s="6"/>
      <c r="D455" s="82"/>
      <c r="E455" s="82"/>
      <c r="F455" s="82"/>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6"/>
      <c r="B456" s="6"/>
      <c r="C456" s="6"/>
      <c r="D456" s="82"/>
      <c r="E456" s="82"/>
      <c r="F456" s="82"/>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6"/>
      <c r="B457" s="6"/>
      <c r="C457" s="6"/>
      <c r="D457" s="82"/>
      <c r="E457" s="82"/>
      <c r="F457" s="82"/>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6"/>
      <c r="B458" s="6"/>
      <c r="C458" s="6"/>
      <c r="D458" s="82"/>
      <c r="E458" s="82"/>
      <c r="F458" s="82"/>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6"/>
      <c r="B459" s="6"/>
      <c r="C459" s="6"/>
      <c r="D459" s="82"/>
      <c r="E459" s="82"/>
      <c r="F459" s="82"/>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6"/>
      <c r="B460" s="6"/>
      <c r="C460" s="6"/>
      <c r="D460" s="82"/>
      <c r="E460" s="82"/>
      <c r="F460" s="82"/>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6"/>
      <c r="B461" s="6"/>
      <c r="C461" s="6"/>
      <c r="D461" s="82"/>
      <c r="E461" s="82"/>
      <c r="F461" s="82"/>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6"/>
      <c r="B462" s="6"/>
      <c r="C462" s="6"/>
      <c r="D462" s="82"/>
      <c r="E462" s="82"/>
      <c r="F462" s="82"/>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6"/>
      <c r="B463" s="6"/>
      <c r="C463" s="6"/>
      <c r="D463" s="82"/>
      <c r="E463" s="82"/>
      <c r="F463" s="82"/>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6"/>
      <c r="B464" s="6"/>
      <c r="C464" s="6"/>
      <c r="D464" s="82"/>
      <c r="E464" s="82"/>
      <c r="F464" s="82"/>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6"/>
      <c r="B465" s="6"/>
      <c r="C465" s="6"/>
      <c r="D465" s="82"/>
      <c r="E465" s="82"/>
      <c r="F465" s="82"/>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6"/>
      <c r="B466" s="6"/>
      <c r="C466" s="6"/>
      <c r="D466" s="82"/>
      <c r="E466" s="82"/>
      <c r="F466" s="82"/>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6"/>
      <c r="B467" s="6"/>
      <c r="C467" s="6"/>
      <c r="D467" s="82"/>
      <c r="E467" s="82"/>
      <c r="F467" s="82"/>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6"/>
      <c r="B468" s="6"/>
      <c r="C468" s="6"/>
      <c r="D468" s="82"/>
      <c r="E468" s="82"/>
      <c r="F468" s="82"/>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6"/>
      <c r="B469" s="6"/>
      <c r="C469" s="6"/>
      <c r="D469" s="82"/>
      <c r="E469" s="82"/>
      <c r="F469" s="82"/>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6"/>
      <c r="B470" s="6"/>
      <c r="C470" s="6"/>
      <c r="D470" s="82"/>
      <c r="E470" s="82"/>
      <c r="F470" s="82"/>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6"/>
      <c r="B471" s="6"/>
      <c r="C471" s="6"/>
      <c r="D471" s="82"/>
      <c r="E471" s="82"/>
      <c r="F471" s="82"/>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6"/>
      <c r="B472" s="6"/>
      <c r="C472" s="6"/>
      <c r="D472" s="82"/>
      <c r="E472" s="82"/>
      <c r="F472" s="82"/>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6"/>
      <c r="B473" s="6"/>
      <c r="C473" s="6"/>
      <c r="D473" s="82"/>
      <c r="E473" s="82"/>
      <c r="F473" s="82"/>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6"/>
      <c r="B474" s="6"/>
      <c r="C474" s="6"/>
      <c r="D474" s="82"/>
      <c r="E474" s="82"/>
      <c r="F474" s="82"/>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6"/>
      <c r="B475" s="6"/>
      <c r="C475" s="6"/>
      <c r="D475" s="82"/>
      <c r="E475" s="82"/>
      <c r="F475" s="82"/>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6"/>
      <c r="B476" s="6"/>
      <c r="C476" s="6"/>
      <c r="D476" s="82"/>
      <c r="E476" s="82"/>
      <c r="F476" s="82"/>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6"/>
      <c r="B477" s="6"/>
      <c r="C477" s="6"/>
      <c r="D477" s="82"/>
      <c r="E477" s="82"/>
      <c r="F477" s="82"/>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6"/>
      <c r="B478" s="6"/>
      <c r="C478" s="6"/>
      <c r="D478" s="82"/>
      <c r="E478" s="82"/>
      <c r="F478" s="82"/>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6"/>
      <c r="B479" s="6"/>
      <c r="C479" s="6"/>
      <c r="D479" s="82"/>
      <c r="E479" s="82"/>
      <c r="F479" s="82"/>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6"/>
      <c r="B480" s="6"/>
      <c r="C480" s="6"/>
      <c r="D480" s="82"/>
      <c r="E480" s="82"/>
      <c r="F480" s="82"/>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6"/>
      <c r="B481" s="6"/>
      <c r="C481" s="6"/>
      <c r="D481" s="82"/>
      <c r="E481" s="82"/>
      <c r="F481" s="82"/>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6"/>
      <c r="B482" s="6"/>
      <c r="C482" s="6"/>
      <c r="D482" s="82"/>
      <c r="E482" s="82"/>
      <c r="F482" s="82"/>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6"/>
      <c r="B483" s="6"/>
      <c r="C483" s="6"/>
      <c r="D483" s="82"/>
      <c r="E483" s="82"/>
      <c r="F483" s="82"/>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6"/>
      <c r="B484" s="6"/>
      <c r="C484" s="6"/>
      <c r="D484" s="82"/>
      <c r="E484" s="82"/>
      <c r="F484" s="82"/>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6"/>
      <c r="B485" s="6"/>
      <c r="C485" s="6"/>
      <c r="D485" s="82"/>
      <c r="E485" s="82"/>
      <c r="F485" s="82"/>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6"/>
      <c r="B486" s="6"/>
      <c r="C486" s="6"/>
      <c r="D486" s="82"/>
      <c r="E486" s="82"/>
      <c r="F486" s="82"/>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6"/>
      <c r="B487" s="6"/>
      <c r="C487" s="6"/>
      <c r="D487" s="82"/>
      <c r="E487" s="82"/>
      <c r="F487" s="82"/>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6"/>
      <c r="B488" s="6"/>
      <c r="C488" s="6"/>
      <c r="D488" s="82"/>
      <c r="E488" s="82"/>
      <c r="F488" s="82"/>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6"/>
      <c r="B489" s="6"/>
      <c r="C489" s="6"/>
      <c r="D489" s="82"/>
      <c r="E489" s="82"/>
      <c r="F489" s="82"/>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6"/>
      <c r="B490" s="6"/>
      <c r="C490" s="6"/>
      <c r="D490" s="82"/>
      <c r="E490" s="82"/>
      <c r="F490" s="82"/>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6"/>
      <c r="B491" s="6"/>
      <c r="C491" s="6"/>
      <c r="D491" s="82"/>
      <c r="E491" s="82"/>
      <c r="F491" s="82"/>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6"/>
      <c r="B492" s="6"/>
      <c r="C492" s="6"/>
      <c r="D492" s="82"/>
      <c r="E492" s="82"/>
      <c r="F492" s="82"/>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6"/>
      <c r="B493" s="6"/>
      <c r="C493" s="6"/>
      <c r="D493" s="82"/>
      <c r="E493" s="82"/>
      <c r="F493" s="82"/>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6"/>
      <c r="B494" s="6"/>
      <c r="C494" s="6"/>
      <c r="D494" s="82"/>
      <c r="E494" s="82"/>
      <c r="F494" s="82"/>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6"/>
      <c r="B495" s="6"/>
      <c r="C495" s="6"/>
      <c r="D495" s="82"/>
      <c r="E495" s="82"/>
      <c r="F495" s="82"/>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6"/>
      <c r="B496" s="6"/>
      <c r="C496" s="6"/>
      <c r="D496" s="82"/>
      <c r="E496" s="82"/>
      <c r="F496" s="82"/>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6"/>
      <c r="B497" s="6"/>
      <c r="C497" s="6"/>
      <c r="D497" s="82"/>
      <c r="E497" s="82"/>
      <c r="F497" s="82"/>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6"/>
      <c r="B498" s="6"/>
      <c r="C498" s="6"/>
      <c r="D498" s="82"/>
      <c r="E498" s="82"/>
      <c r="F498" s="82"/>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6"/>
      <c r="B499" s="6"/>
      <c r="C499" s="6"/>
      <c r="D499" s="82"/>
      <c r="E499" s="82"/>
      <c r="F499" s="82"/>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6"/>
      <c r="B500" s="6"/>
      <c r="C500" s="6"/>
      <c r="D500" s="82"/>
      <c r="E500" s="82"/>
      <c r="F500" s="82"/>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6"/>
      <c r="B501" s="6"/>
      <c r="C501" s="6"/>
      <c r="D501" s="82"/>
      <c r="E501" s="82"/>
      <c r="F501" s="82"/>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6"/>
      <c r="B502" s="6"/>
      <c r="C502" s="6"/>
      <c r="D502" s="82"/>
      <c r="E502" s="82"/>
      <c r="F502" s="82"/>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6"/>
      <c r="B503" s="6"/>
      <c r="C503" s="6"/>
      <c r="D503" s="82"/>
      <c r="E503" s="82"/>
      <c r="F503" s="82"/>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6"/>
      <c r="B504" s="6"/>
      <c r="C504" s="6"/>
      <c r="D504" s="82"/>
      <c r="E504" s="82"/>
      <c r="F504" s="82"/>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6"/>
      <c r="B505" s="6"/>
      <c r="C505" s="6"/>
      <c r="D505" s="82"/>
      <c r="E505" s="82"/>
      <c r="F505" s="82"/>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6"/>
      <c r="B506" s="6"/>
      <c r="C506" s="6"/>
      <c r="D506" s="82"/>
      <c r="E506" s="82"/>
      <c r="F506" s="82"/>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6"/>
      <c r="B507" s="6"/>
      <c r="C507" s="6"/>
      <c r="D507" s="82"/>
      <c r="E507" s="82"/>
      <c r="F507" s="82"/>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6"/>
      <c r="B508" s="6"/>
      <c r="C508" s="6"/>
      <c r="D508" s="82"/>
      <c r="E508" s="82"/>
      <c r="F508" s="82"/>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6"/>
      <c r="B509" s="6"/>
      <c r="C509" s="6"/>
      <c r="D509" s="82"/>
      <c r="E509" s="82"/>
      <c r="F509" s="82"/>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6"/>
      <c r="B510" s="6"/>
      <c r="C510" s="6"/>
      <c r="D510" s="82"/>
      <c r="E510" s="82"/>
      <c r="F510" s="82"/>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6"/>
      <c r="B511" s="6"/>
      <c r="C511" s="6"/>
      <c r="D511" s="82"/>
      <c r="E511" s="82"/>
      <c r="F511" s="82"/>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6"/>
      <c r="B512" s="6"/>
      <c r="C512" s="6"/>
      <c r="D512" s="82"/>
      <c r="E512" s="82"/>
      <c r="F512" s="82"/>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6"/>
      <c r="B513" s="6"/>
      <c r="C513" s="6"/>
      <c r="D513" s="82"/>
      <c r="E513" s="82"/>
      <c r="F513" s="82"/>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6"/>
      <c r="B514" s="6"/>
      <c r="C514" s="6"/>
      <c r="D514" s="82"/>
      <c r="E514" s="82"/>
      <c r="F514" s="82"/>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6"/>
      <c r="B515" s="6"/>
      <c r="C515" s="6"/>
      <c r="D515" s="82"/>
      <c r="E515" s="82"/>
      <c r="F515" s="82"/>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6"/>
      <c r="B516" s="6"/>
      <c r="C516" s="6"/>
      <c r="D516" s="82"/>
      <c r="E516" s="82"/>
      <c r="F516" s="82"/>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6"/>
      <c r="B517" s="6"/>
      <c r="C517" s="6"/>
      <c r="D517" s="82"/>
      <c r="E517" s="82"/>
      <c r="F517" s="82"/>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6"/>
      <c r="B518" s="6"/>
      <c r="C518" s="6"/>
      <c r="D518" s="82"/>
      <c r="E518" s="82"/>
      <c r="F518" s="82"/>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6"/>
      <c r="B519" s="6"/>
      <c r="C519" s="6"/>
      <c r="D519" s="82"/>
      <c r="E519" s="82"/>
      <c r="F519" s="82"/>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6"/>
      <c r="B520" s="6"/>
      <c r="C520" s="6"/>
      <c r="D520" s="82"/>
      <c r="E520" s="82"/>
      <c r="F520" s="82"/>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6"/>
      <c r="B521" s="6"/>
      <c r="C521" s="6"/>
      <c r="D521" s="82"/>
      <c r="E521" s="82"/>
      <c r="F521" s="82"/>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6"/>
      <c r="B522" s="6"/>
      <c r="C522" s="6"/>
      <c r="D522" s="82"/>
      <c r="E522" s="82"/>
      <c r="F522" s="82"/>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6"/>
      <c r="B523" s="6"/>
      <c r="C523" s="6"/>
      <c r="D523" s="82"/>
      <c r="E523" s="82"/>
      <c r="F523" s="82"/>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6"/>
      <c r="B524" s="6"/>
      <c r="C524" s="6"/>
      <c r="D524" s="82"/>
      <c r="E524" s="82"/>
      <c r="F524" s="82"/>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6"/>
      <c r="B525" s="6"/>
      <c r="C525" s="6"/>
      <c r="D525" s="82"/>
      <c r="E525" s="82"/>
      <c r="F525" s="82"/>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6"/>
      <c r="B526" s="6"/>
      <c r="C526" s="6"/>
      <c r="D526" s="82"/>
      <c r="E526" s="82"/>
      <c r="F526" s="82"/>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6"/>
      <c r="B527" s="6"/>
      <c r="C527" s="6"/>
      <c r="D527" s="82"/>
      <c r="E527" s="82"/>
      <c r="F527" s="82"/>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6"/>
      <c r="B528" s="6"/>
      <c r="C528" s="6"/>
      <c r="D528" s="82"/>
      <c r="E528" s="82"/>
      <c r="F528" s="82"/>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6"/>
      <c r="B529" s="6"/>
      <c r="C529" s="6"/>
      <c r="D529" s="82"/>
      <c r="E529" s="82"/>
      <c r="F529" s="82"/>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6"/>
      <c r="B530" s="6"/>
      <c r="C530" s="6"/>
      <c r="D530" s="82"/>
      <c r="E530" s="82"/>
      <c r="F530" s="82"/>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6"/>
      <c r="B531" s="6"/>
      <c r="C531" s="6"/>
      <c r="D531" s="82"/>
      <c r="E531" s="82"/>
      <c r="F531" s="82"/>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6"/>
      <c r="B532" s="6"/>
      <c r="C532" s="6"/>
      <c r="D532" s="82"/>
      <c r="E532" s="82"/>
      <c r="F532" s="82"/>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6"/>
      <c r="B533" s="6"/>
      <c r="C533" s="6"/>
      <c r="D533" s="82"/>
      <c r="E533" s="82"/>
      <c r="F533" s="82"/>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6"/>
      <c r="B534" s="6"/>
      <c r="C534" s="6"/>
      <c r="D534" s="82"/>
      <c r="E534" s="82"/>
      <c r="F534" s="82"/>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6"/>
      <c r="B535" s="6"/>
      <c r="C535" s="6"/>
      <c r="D535" s="82"/>
      <c r="E535" s="82"/>
      <c r="F535" s="82"/>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6"/>
      <c r="B536" s="6"/>
      <c r="C536" s="6"/>
      <c r="D536" s="82"/>
      <c r="E536" s="82"/>
      <c r="F536" s="82"/>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6"/>
      <c r="B537" s="6"/>
      <c r="C537" s="6"/>
      <c r="D537" s="82"/>
      <c r="E537" s="82"/>
      <c r="F537" s="82"/>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6"/>
      <c r="B538" s="6"/>
      <c r="C538" s="6"/>
      <c r="D538" s="82"/>
      <c r="E538" s="82"/>
      <c r="F538" s="82"/>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6"/>
      <c r="B539" s="6"/>
      <c r="C539" s="6"/>
      <c r="D539" s="82"/>
      <c r="E539" s="82"/>
      <c r="F539" s="82"/>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6"/>
      <c r="B540" s="6"/>
      <c r="C540" s="6"/>
      <c r="D540" s="82"/>
      <c r="E540" s="82"/>
      <c r="F540" s="82"/>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6"/>
      <c r="B541" s="6"/>
      <c r="C541" s="6"/>
      <c r="D541" s="82"/>
      <c r="E541" s="82"/>
      <c r="F541" s="82"/>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6"/>
      <c r="B542" s="6"/>
      <c r="C542" s="6"/>
      <c r="D542" s="82"/>
      <c r="E542" s="82"/>
      <c r="F542" s="82"/>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6"/>
      <c r="B543" s="6"/>
      <c r="C543" s="6"/>
      <c r="D543" s="82"/>
      <c r="E543" s="82"/>
      <c r="F543" s="82"/>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6"/>
      <c r="B544" s="6"/>
      <c r="C544" s="6"/>
      <c r="D544" s="82"/>
      <c r="E544" s="82"/>
      <c r="F544" s="82"/>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6"/>
      <c r="B545" s="6"/>
      <c r="C545" s="6"/>
      <c r="D545" s="82"/>
      <c r="E545" s="82"/>
      <c r="F545" s="82"/>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6"/>
      <c r="B546" s="6"/>
      <c r="C546" s="6"/>
      <c r="D546" s="82"/>
      <c r="E546" s="82"/>
      <c r="F546" s="82"/>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6"/>
      <c r="B547" s="6"/>
      <c r="C547" s="6"/>
      <c r="D547" s="82"/>
      <c r="E547" s="82"/>
      <c r="F547" s="82"/>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6"/>
      <c r="B548" s="6"/>
      <c r="C548" s="6"/>
      <c r="D548" s="82"/>
      <c r="E548" s="82"/>
      <c r="F548" s="82"/>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6"/>
      <c r="B549" s="6"/>
      <c r="C549" s="6"/>
      <c r="D549" s="82"/>
      <c r="E549" s="82"/>
      <c r="F549" s="82"/>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6"/>
      <c r="B550" s="6"/>
      <c r="C550" s="6"/>
      <c r="D550" s="82"/>
      <c r="E550" s="82"/>
      <c r="F550" s="82"/>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6"/>
      <c r="B551" s="6"/>
      <c r="C551" s="6"/>
      <c r="D551" s="82"/>
      <c r="E551" s="82"/>
      <c r="F551" s="82"/>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6"/>
      <c r="B552" s="6"/>
      <c r="C552" s="6"/>
      <c r="D552" s="82"/>
      <c r="E552" s="82"/>
      <c r="F552" s="82"/>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6"/>
      <c r="B553" s="6"/>
      <c r="C553" s="6"/>
      <c r="D553" s="82"/>
      <c r="E553" s="82"/>
      <c r="F553" s="82"/>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6"/>
      <c r="B554" s="6"/>
      <c r="C554" s="6"/>
      <c r="D554" s="82"/>
      <c r="E554" s="82"/>
      <c r="F554" s="82"/>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6"/>
      <c r="B555" s="6"/>
      <c r="C555" s="6"/>
      <c r="D555" s="82"/>
      <c r="E555" s="82"/>
      <c r="F555" s="82"/>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6"/>
      <c r="B556" s="6"/>
      <c r="C556" s="6"/>
      <c r="D556" s="82"/>
      <c r="E556" s="82"/>
      <c r="F556" s="82"/>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6"/>
      <c r="B557" s="6"/>
      <c r="C557" s="6"/>
      <c r="D557" s="82"/>
      <c r="E557" s="82"/>
      <c r="F557" s="82"/>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6"/>
      <c r="B558" s="6"/>
      <c r="C558" s="6"/>
      <c r="D558" s="82"/>
      <c r="E558" s="82"/>
      <c r="F558" s="82"/>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6"/>
      <c r="B559" s="6"/>
      <c r="C559" s="6"/>
      <c r="D559" s="82"/>
      <c r="E559" s="82"/>
      <c r="F559" s="82"/>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6"/>
      <c r="B560" s="6"/>
      <c r="C560" s="6"/>
      <c r="D560" s="82"/>
      <c r="E560" s="82"/>
      <c r="F560" s="82"/>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6"/>
      <c r="B561" s="6"/>
      <c r="C561" s="6"/>
      <c r="D561" s="82"/>
      <c r="E561" s="82"/>
      <c r="F561" s="82"/>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6"/>
      <c r="B562" s="6"/>
      <c r="C562" s="6"/>
      <c r="D562" s="82"/>
      <c r="E562" s="82"/>
      <c r="F562" s="82"/>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6"/>
      <c r="B563" s="6"/>
      <c r="C563" s="6"/>
      <c r="D563" s="82"/>
      <c r="E563" s="82"/>
      <c r="F563" s="82"/>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6"/>
      <c r="B564" s="6"/>
      <c r="C564" s="6"/>
      <c r="D564" s="82"/>
      <c r="E564" s="82"/>
      <c r="F564" s="82"/>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6"/>
      <c r="B565" s="6"/>
      <c r="C565" s="6"/>
      <c r="D565" s="82"/>
      <c r="E565" s="82"/>
      <c r="F565" s="82"/>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6"/>
      <c r="B566" s="6"/>
      <c r="C566" s="6"/>
      <c r="D566" s="82"/>
      <c r="E566" s="82"/>
      <c r="F566" s="82"/>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6"/>
      <c r="B567" s="6"/>
      <c r="C567" s="6"/>
      <c r="D567" s="82"/>
      <c r="E567" s="82"/>
      <c r="F567" s="82"/>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6"/>
      <c r="B568" s="6"/>
      <c r="C568" s="6"/>
      <c r="D568" s="82"/>
      <c r="E568" s="82"/>
      <c r="F568" s="82"/>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6"/>
      <c r="B569" s="6"/>
      <c r="C569" s="6"/>
      <c r="D569" s="82"/>
      <c r="E569" s="82"/>
      <c r="F569" s="82"/>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6"/>
      <c r="B570" s="6"/>
      <c r="C570" s="6"/>
      <c r="D570" s="82"/>
      <c r="E570" s="82"/>
      <c r="F570" s="82"/>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6"/>
      <c r="B571" s="6"/>
      <c r="C571" s="6"/>
      <c r="D571" s="82"/>
      <c r="E571" s="82"/>
      <c r="F571" s="82"/>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6"/>
      <c r="B572" s="6"/>
      <c r="C572" s="6"/>
      <c r="D572" s="82"/>
      <c r="E572" s="82"/>
      <c r="F572" s="82"/>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6"/>
      <c r="B573" s="6"/>
      <c r="C573" s="6"/>
      <c r="D573" s="82"/>
      <c r="E573" s="82"/>
      <c r="F573" s="82"/>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6"/>
      <c r="B574" s="6"/>
      <c r="C574" s="6"/>
      <c r="D574" s="82"/>
      <c r="E574" s="82"/>
      <c r="F574" s="82"/>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6"/>
      <c r="B575" s="6"/>
      <c r="C575" s="6"/>
      <c r="D575" s="82"/>
      <c r="E575" s="82"/>
      <c r="F575" s="82"/>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6"/>
      <c r="B576" s="6"/>
      <c r="C576" s="6"/>
      <c r="D576" s="82"/>
      <c r="E576" s="82"/>
      <c r="F576" s="82"/>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6"/>
      <c r="B577" s="6"/>
      <c r="C577" s="6"/>
      <c r="D577" s="82"/>
      <c r="E577" s="82"/>
      <c r="F577" s="82"/>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6"/>
      <c r="B578" s="6"/>
      <c r="C578" s="6"/>
      <c r="D578" s="82"/>
      <c r="E578" s="82"/>
      <c r="F578" s="82"/>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6"/>
      <c r="B579" s="6"/>
      <c r="C579" s="6"/>
      <c r="D579" s="82"/>
      <c r="E579" s="82"/>
      <c r="F579" s="82"/>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6"/>
      <c r="B580" s="6"/>
      <c r="C580" s="6"/>
      <c r="D580" s="82"/>
      <c r="E580" s="82"/>
      <c r="F580" s="82"/>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6"/>
      <c r="B581" s="6"/>
      <c r="C581" s="6"/>
      <c r="D581" s="82"/>
      <c r="E581" s="82"/>
      <c r="F581" s="82"/>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6"/>
      <c r="B582" s="6"/>
      <c r="C582" s="6"/>
      <c r="D582" s="82"/>
      <c r="E582" s="82"/>
      <c r="F582" s="82"/>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6"/>
      <c r="B583" s="6"/>
      <c r="C583" s="6"/>
      <c r="D583" s="82"/>
      <c r="E583" s="82"/>
      <c r="F583" s="82"/>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6"/>
      <c r="B584" s="6"/>
      <c r="C584" s="6"/>
      <c r="D584" s="82"/>
      <c r="E584" s="82"/>
      <c r="F584" s="82"/>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6"/>
      <c r="B585" s="6"/>
      <c r="C585" s="6"/>
      <c r="D585" s="82"/>
      <c r="E585" s="82"/>
      <c r="F585" s="82"/>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6"/>
      <c r="B586" s="6"/>
      <c r="C586" s="6"/>
      <c r="D586" s="82"/>
      <c r="E586" s="82"/>
      <c r="F586" s="82"/>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6"/>
      <c r="B587" s="6"/>
      <c r="C587" s="6"/>
      <c r="D587" s="82"/>
      <c r="E587" s="82"/>
      <c r="F587" s="82"/>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6"/>
      <c r="B588" s="6"/>
      <c r="C588" s="6"/>
      <c r="D588" s="82"/>
      <c r="E588" s="82"/>
      <c r="F588" s="82"/>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6"/>
      <c r="B589" s="6"/>
      <c r="C589" s="6"/>
      <c r="D589" s="82"/>
      <c r="E589" s="82"/>
      <c r="F589" s="82"/>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6"/>
      <c r="B590" s="6"/>
      <c r="C590" s="6"/>
      <c r="D590" s="82"/>
      <c r="E590" s="82"/>
      <c r="F590" s="82"/>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6"/>
      <c r="B591" s="6"/>
      <c r="C591" s="6"/>
      <c r="D591" s="82"/>
      <c r="E591" s="82"/>
      <c r="F591" s="82"/>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6"/>
      <c r="B592" s="6"/>
      <c r="C592" s="6"/>
      <c r="D592" s="82"/>
      <c r="E592" s="82"/>
      <c r="F592" s="82"/>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6"/>
      <c r="B593" s="6"/>
      <c r="C593" s="6"/>
      <c r="D593" s="82"/>
      <c r="E593" s="82"/>
      <c r="F593" s="82"/>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6"/>
      <c r="B594" s="6"/>
      <c r="C594" s="6"/>
      <c r="D594" s="82"/>
      <c r="E594" s="82"/>
      <c r="F594" s="82"/>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6"/>
      <c r="B595" s="6"/>
      <c r="C595" s="6"/>
      <c r="D595" s="82"/>
      <c r="E595" s="82"/>
      <c r="F595" s="82"/>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6"/>
      <c r="B596" s="6"/>
      <c r="C596" s="6"/>
      <c r="D596" s="82"/>
      <c r="E596" s="82"/>
      <c r="F596" s="82"/>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6"/>
      <c r="B597" s="6"/>
      <c r="C597" s="6"/>
      <c r="D597" s="82"/>
      <c r="E597" s="82"/>
      <c r="F597" s="82"/>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6"/>
      <c r="B598" s="6"/>
      <c r="C598" s="6"/>
      <c r="D598" s="82"/>
      <c r="E598" s="82"/>
      <c r="F598" s="82"/>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6"/>
      <c r="B599" s="6"/>
      <c r="C599" s="6"/>
      <c r="D599" s="82"/>
      <c r="E599" s="82"/>
      <c r="F599" s="82"/>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6"/>
      <c r="B600" s="6"/>
      <c r="C600" s="6"/>
      <c r="D600" s="82"/>
      <c r="E600" s="82"/>
      <c r="F600" s="82"/>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6"/>
      <c r="B601" s="6"/>
      <c r="C601" s="6"/>
      <c r="D601" s="82"/>
      <c r="E601" s="82"/>
      <c r="F601" s="82"/>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6"/>
      <c r="B602" s="6"/>
      <c r="C602" s="6"/>
      <c r="D602" s="82"/>
      <c r="E602" s="82"/>
      <c r="F602" s="82"/>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6"/>
      <c r="B603" s="6"/>
      <c r="C603" s="6"/>
      <c r="D603" s="82"/>
      <c r="E603" s="82"/>
      <c r="F603" s="82"/>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6"/>
      <c r="B604" s="6"/>
      <c r="C604" s="6"/>
      <c r="D604" s="82"/>
      <c r="E604" s="82"/>
      <c r="F604" s="82"/>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6"/>
      <c r="B605" s="6"/>
      <c r="C605" s="6"/>
      <c r="D605" s="82"/>
      <c r="E605" s="82"/>
      <c r="F605" s="82"/>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6"/>
      <c r="B606" s="6"/>
      <c r="C606" s="6"/>
      <c r="D606" s="82"/>
      <c r="E606" s="82"/>
      <c r="F606" s="82"/>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6"/>
      <c r="B607" s="6"/>
      <c r="C607" s="6"/>
      <c r="D607" s="82"/>
      <c r="E607" s="82"/>
      <c r="F607" s="82"/>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6"/>
      <c r="B608" s="6"/>
      <c r="C608" s="6"/>
      <c r="D608" s="82"/>
      <c r="E608" s="82"/>
      <c r="F608" s="82"/>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6"/>
      <c r="B609" s="6"/>
      <c r="C609" s="6"/>
      <c r="D609" s="82"/>
      <c r="E609" s="82"/>
      <c r="F609" s="82"/>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6"/>
      <c r="B610" s="6"/>
      <c r="C610" s="6"/>
      <c r="D610" s="82"/>
      <c r="E610" s="82"/>
      <c r="F610" s="82"/>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6"/>
      <c r="B611" s="6"/>
      <c r="C611" s="6"/>
      <c r="D611" s="82"/>
      <c r="E611" s="82"/>
      <c r="F611" s="82"/>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6"/>
      <c r="B612" s="6"/>
      <c r="C612" s="6"/>
      <c r="D612" s="82"/>
      <c r="E612" s="82"/>
      <c r="F612" s="82"/>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6"/>
      <c r="B613" s="6"/>
      <c r="C613" s="6"/>
      <c r="D613" s="82"/>
      <c r="E613" s="82"/>
      <c r="F613" s="82"/>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6"/>
      <c r="B614" s="6"/>
      <c r="C614" s="6"/>
      <c r="D614" s="82"/>
      <c r="E614" s="82"/>
      <c r="F614" s="82"/>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6"/>
      <c r="B615" s="6"/>
      <c r="C615" s="6"/>
      <c r="D615" s="82"/>
      <c r="E615" s="82"/>
      <c r="F615" s="82"/>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6"/>
      <c r="B616" s="6"/>
      <c r="C616" s="6"/>
      <c r="D616" s="82"/>
      <c r="E616" s="82"/>
      <c r="F616" s="82"/>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6"/>
      <c r="B617" s="6"/>
      <c r="C617" s="6"/>
      <c r="D617" s="82"/>
      <c r="E617" s="82"/>
      <c r="F617" s="82"/>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6"/>
      <c r="B618" s="6"/>
      <c r="C618" s="6"/>
      <c r="D618" s="82"/>
      <c r="E618" s="82"/>
      <c r="F618" s="82"/>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6"/>
      <c r="B619" s="6"/>
      <c r="C619" s="6"/>
      <c r="D619" s="82"/>
      <c r="E619" s="82"/>
      <c r="F619" s="82"/>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6"/>
      <c r="B620" s="6"/>
      <c r="C620" s="6"/>
      <c r="D620" s="82"/>
      <c r="E620" s="82"/>
      <c r="F620" s="82"/>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6"/>
      <c r="B621" s="6"/>
      <c r="C621" s="6"/>
      <c r="D621" s="82"/>
      <c r="E621" s="82"/>
      <c r="F621" s="82"/>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6"/>
      <c r="B622" s="6"/>
      <c r="C622" s="6"/>
      <c r="D622" s="82"/>
      <c r="E622" s="82"/>
      <c r="F622" s="82"/>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6"/>
      <c r="B623" s="6"/>
      <c r="C623" s="6"/>
      <c r="D623" s="82"/>
      <c r="E623" s="82"/>
      <c r="F623" s="82"/>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6"/>
      <c r="B624" s="6"/>
      <c r="C624" s="6"/>
      <c r="D624" s="82"/>
      <c r="E624" s="82"/>
      <c r="F624" s="82"/>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6"/>
      <c r="B625" s="6"/>
      <c r="C625" s="6"/>
      <c r="D625" s="82"/>
      <c r="E625" s="82"/>
      <c r="F625" s="82"/>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6"/>
      <c r="B626" s="6"/>
      <c r="C626" s="6"/>
      <c r="D626" s="82"/>
      <c r="E626" s="82"/>
      <c r="F626" s="82"/>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6"/>
      <c r="B627" s="6"/>
      <c r="C627" s="6"/>
      <c r="D627" s="82"/>
      <c r="E627" s="82"/>
      <c r="F627" s="82"/>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6"/>
      <c r="B628" s="6"/>
      <c r="C628" s="6"/>
      <c r="D628" s="82"/>
      <c r="E628" s="82"/>
      <c r="F628" s="82"/>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6"/>
      <c r="B629" s="6"/>
      <c r="C629" s="6"/>
      <c r="D629" s="82"/>
      <c r="E629" s="82"/>
      <c r="F629" s="82"/>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6"/>
      <c r="B630" s="6"/>
      <c r="C630" s="6"/>
      <c r="D630" s="82"/>
      <c r="E630" s="82"/>
      <c r="F630" s="82"/>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6"/>
      <c r="B631" s="6"/>
      <c r="C631" s="6"/>
      <c r="D631" s="82"/>
      <c r="E631" s="82"/>
      <c r="F631" s="82"/>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6"/>
      <c r="B632" s="6"/>
      <c r="C632" s="6"/>
      <c r="D632" s="82"/>
      <c r="E632" s="82"/>
      <c r="F632" s="82"/>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6"/>
      <c r="B633" s="6"/>
      <c r="C633" s="6"/>
      <c r="D633" s="82"/>
      <c r="E633" s="82"/>
      <c r="F633" s="82"/>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6"/>
      <c r="B634" s="6"/>
      <c r="C634" s="6"/>
      <c r="D634" s="82"/>
      <c r="E634" s="82"/>
      <c r="F634" s="82"/>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6"/>
      <c r="B635" s="6"/>
      <c r="C635" s="6"/>
      <c r="D635" s="82"/>
      <c r="E635" s="82"/>
      <c r="F635" s="82"/>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6"/>
      <c r="B636" s="6"/>
      <c r="C636" s="6"/>
      <c r="D636" s="82"/>
      <c r="E636" s="82"/>
      <c r="F636" s="82"/>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6"/>
      <c r="B637" s="6"/>
      <c r="C637" s="6"/>
      <c r="D637" s="82"/>
      <c r="E637" s="82"/>
      <c r="F637" s="82"/>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6"/>
      <c r="B638" s="6"/>
      <c r="C638" s="6"/>
      <c r="D638" s="82"/>
      <c r="E638" s="82"/>
      <c r="F638" s="82"/>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6"/>
      <c r="B639" s="6"/>
      <c r="C639" s="6"/>
      <c r="D639" s="82"/>
      <c r="E639" s="82"/>
      <c r="F639" s="82"/>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6"/>
      <c r="B640" s="6"/>
      <c r="C640" s="6"/>
      <c r="D640" s="82"/>
      <c r="E640" s="82"/>
      <c r="F640" s="82"/>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6"/>
      <c r="B641" s="6"/>
      <c r="C641" s="6"/>
      <c r="D641" s="82"/>
      <c r="E641" s="82"/>
      <c r="F641" s="82"/>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6"/>
      <c r="B642" s="6"/>
      <c r="C642" s="6"/>
      <c r="D642" s="82"/>
      <c r="E642" s="82"/>
      <c r="F642" s="82"/>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6"/>
      <c r="B643" s="6"/>
      <c r="C643" s="6"/>
      <c r="D643" s="82"/>
      <c r="E643" s="82"/>
      <c r="F643" s="82"/>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6"/>
      <c r="B644" s="6"/>
      <c r="C644" s="6"/>
      <c r="D644" s="82"/>
      <c r="E644" s="82"/>
      <c r="F644" s="82"/>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6"/>
      <c r="B645" s="6"/>
      <c r="C645" s="6"/>
      <c r="D645" s="82"/>
      <c r="E645" s="82"/>
      <c r="F645" s="82"/>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6"/>
      <c r="B646" s="6"/>
      <c r="C646" s="6"/>
      <c r="D646" s="82"/>
      <c r="E646" s="82"/>
      <c r="F646" s="82"/>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6"/>
      <c r="B647" s="6"/>
      <c r="C647" s="6"/>
      <c r="D647" s="82"/>
      <c r="E647" s="82"/>
      <c r="F647" s="82"/>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6"/>
      <c r="B648" s="6"/>
      <c r="C648" s="6"/>
      <c r="D648" s="82"/>
      <c r="E648" s="82"/>
      <c r="F648" s="82"/>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6"/>
      <c r="B649" s="6"/>
      <c r="C649" s="6"/>
      <c r="D649" s="82"/>
      <c r="E649" s="82"/>
      <c r="F649" s="82"/>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6"/>
      <c r="B650" s="6"/>
      <c r="C650" s="6"/>
      <c r="D650" s="82"/>
      <c r="E650" s="82"/>
      <c r="F650" s="82"/>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6"/>
      <c r="B651" s="6"/>
      <c r="C651" s="6"/>
      <c r="D651" s="82"/>
      <c r="E651" s="82"/>
      <c r="F651" s="82"/>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6"/>
      <c r="B652" s="6"/>
      <c r="C652" s="6"/>
      <c r="D652" s="82"/>
      <c r="E652" s="82"/>
      <c r="F652" s="82"/>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6"/>
      <c r="B653" s="6"/>
      <c r="C653" s="6"/>
      <c r="D653" s="82"/>
      <c r="E653" s="82"/>
      <c r="F653" s="82"/>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6"/>
      <c r="B654" s="6"/>
      <c r="C654" s="6"/>
      <c r="D654" s="82"/>
      <c r="E654" s="82"/>
      <c r="F654" s="82"/>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6"/>
      <c r="B655" s="6"/>
      <c r="C655" s="6"/>
      <c r="D655" s="82"/>
      <c r="E655" s="82"/>
      <c r="F655" s="82"/>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6"/>
      <c r="B656" s="6"/>
      <c r="C656" s="6"/>
      <c r="D656" s="82"/>
      <c r="E656" s="82"/>
      <c r="F656" s="82"/>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6"/>
      <c r="B657" s="6"/>
      <c r="C657" s="6"/>
      <c r="D657" s="82"/>
      <c r="E657" s="82"/>
      <c r="F657" s="82"/>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6"/>
      <c r="B658" s="6"/>
      <c r="C658" s="6"/>
      <c r="D658" s="82"/>
      <c r="E658" s="82"/>
      <c r="F658" s="82"/>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6"/>
      <c r="B659" s="6"/>
      <c r="C659" s="6"/>
      <c r="D659" s="82"/>
      <c r="E659" s="82"/>
      <c r="F659" s="82"/>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6"/>
      <c r="B660" s="6"/>
      <c r="C660" s="6"/>
      <c r="D660" s="82"/>
      <c r="E660" s="82"/>
      <c r="F660" s="82"/>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6"/>
      <c r="B661" s="6"/>
      <c r="C661" s="6"/>
      <c r="D661" s="82"/>
      <c r="E661" s="82"/>
      <c r="F661" s="82"/>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6"/>
      <c r="B662" s="6"/>
      <c r="C662" s="6"/>
      <c r="D662" s="82"/>
      <c r="E662" s="82"/>
      <c r="F662" s="82"/>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6"/>
      <c r="B663" s="6"/>
      <c r="C663" s="6"/>
      <c r="D663" s="82"/>
      <c r="E663" s="82"/>
      <c r="F663" s="82"/>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6"/>
      <c r="B664" s="6"/>
      <c r="C664" s="6"/>
      <c r="D664" s="82"/>
      <c r="E664" s="82"/>
      <c r="F664" s="82"/>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6"/>
      <c r="B665" s="6"/>
      <c r="C665" s="6"/>
      <c r="D665" s="82"/>
      <c r="E665" s="82"/>
      <c r="F665" s="82"/>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6"/>
      <c r="B666" s="6"/>
      <c r="C666" s="6"/>
      <c r="D666" s="82"/>
      <c r="E666" s="82"/>
      <c r="F666" s="82"/>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6"/>
      <c r="B667" s="6"/>
      <c r="C667" s="6"/>
      <c r="D667" s="82"/>
      <c r="E667" s="82"/>
      <c r="F667" s="82"/>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6"/>
      <c r="B668" s="6"/>
      <c r="C668" s="6"/>
      <c r="D668" s="82"/>
      <c r="E668" s="82"/>
      <c r="F668" s="82"/>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6"/>
      <c r="B669" s="6"/>
      <c r="C669" s="6"/>
      <c r="D669" s="82"/>
      <c r="E669" s="82"/>
      <c r="F669" s="82"/>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6"/>
      <c r="B670" s="6"/>
      <c r="C670" s="6"/>
      <c r="D670" s="82"/>
      <c r="E670" s="82"/>
      <c r="F670" s="82"/>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6"/>
      <c r="B671" s="6"/>
      <c r="C671" s="6"/>
      <c r="D671" s="82"/>
      <c r="E671" s="82"/>
      <c r="F671" s="82"/>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6"/>
      <c r="B672" s="6"/>
      <c r="C672" s="6"/>
      <c r="D672" s="82"/>
      <c r="E672" s="82"/>
      <c r="F672" s="82"/>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6"/>
      <c r="B673" s="6"/>
      <c r="C673" s="6"/>
      <c r="D673" s="82"/>
      <c r="E673" s="82"/>
      <c r="F673" s="82"/>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6"/>
      <c r="B674" s="6"/>
      <c r="C674" s="6"/>
      <c r="D674" s="82"/>
      <c r="E674" s="82"/>
      <c r="F674" s="82"/>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6"/>
      <c r="B675" s="6"/>
      <c r="C675" s="6"/>
      <c r="D675" s="82"/>
      <c r="E675" s="82"/>
      <c r="F675" s="82"/>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6"/>
      <c r="B676" s="6"/>
      <c r="C676" s="6"/>
      <c r="D676" s="82"/>
      <c r="E676" s="82"/>
      <c r="F676" s="82"/>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6"/>
      <c r="B677" s="6"/>
      <c r="C677" s="6"/>
      <c r="D677" s="82"/>
      <c r="E677" s="82"/>
      <c r="F677" s="82"/>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6"/>
      <c r="B678" s="6"/>
      <c r="C678" s="6"/>
      <c r="D678" s="82"/>
      <c r="E678" s="82"/>
      <c r="F678" s="82"/>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6"/>
      <c r="B679" s="6"/>
      <c r="C679" s="6"/>
      <c r="D679" s="82"/>
      <c r="E679" s="82"/>
      <c r="F679" s="82"/>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6"/>
      <c r="B680" s="6"/>
      <c r="C680" s="6"/>
      <c r="D680" s="82"/>
      <c r="E680" s="82"/>
      <c r="F680" s="82"/>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6"/>
      <c r="B681" s="6"/>
      <c r="C681" s="6"/>
      <c r="D681" s="82"/>
      <c r="E681" s="82"/>
      <c r="F681" s="82"/>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6"/>
      <c r="B682" s="6"/>
      <c r="C682" s="6"/>
      <c r="D682" s="82"/>
      <c r="E682" s="82"/>
      <c r="F682" s="82"/>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6"/>
      <c r="B683" s="6"/>
      <c r="C683" s="6"/>
      <c r="D683" s="82"/>
      <c r="E683" s="82"/>
      <c r="F683" s="82"/>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6"/>
      <c r="B684" s="6"/>
      <c r="C684" s="6"/>
      <c r="D684" s="82"/>
      <c r="E684" s="82"/>
      <c r="F684" s="82"/>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6"/>
      <c r="B685" s="6"/>
      <c r="C685" s="6"/>
      <c r="D685" s="82"/>
      <c r="E685" s="82"/>
      <c r="F685" s="82"/>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6"/>
      <c r="B686" s="6"/>
      <c r="C686" s="6"/>
      <c r="D686" s="82"/>
      <c r="E686" s="82"/>
      <c r="F686" s="82"/>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6"/>
      <c r="B687" s="6"/>
      <c r="C687" s="6"/>
      <c r="D687" s="82"/>
      <c r="E687" s="82"/>
      <c r="F687" s="82"/>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6"/>
      <c r="B688" s="6"/>
      <c r="C688" s="6"/>
      <c r="D688" s="82"/>
      <c r="E688" s="82"/>
      <c r="F688" s="82"/>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6"/>
      <c r="B689" s="6"/>
      <c r="C689" s="6"/>
      <c r="D689" s="82"/>
      <c r="E689" s="82"/>
      <c r="F689" s="82"/>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6"/>
      <c r="B690" s="6"/>
      <c r="C690" s="6"/>
      <c r="D690" s="82"/>
      <c r="E690" s="82"/>
      <c r="F690" s="82"/>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6"/>
      <c r="B691" s="6"/>
      <c r="C691" s="6"/>
      <c r="D691" s="82"/>
      <c r="E691" s="82"/>
      <c r="F691" s="82"/>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6"/>
      <c r="B692" s="6"/>
      <c r="C692" s="6"/>
      <c r="D692" s="82"/>
      <c r="E692" s="82"/>
      <c r="F692" s="82"/>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6"/>
      <c r="B693" s="6"/>
      <c r="C693" s="6"/>
      <c r="D693" s="82"/>
      <c r="E693" s="82"/>
      <c r="F693" s="82"/>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6"/>
      <c r="B694" s="6"/>
      <c r="C694" s="6"/>
      <c r="D694" s="82"/>
      <c r="E694" s="82"/>
      <c r="F694" s="82"/>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6"/>
      <c r="B695" s="6"/>
      <c r="C695" s="6"/>
      <c r="D695" s="82"/>
      <c r="E695" s="82"/>
      <c r="F695" s="82"/>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6"/>
      <c r="B696" s="6"/>
      <c r="C696" s="6"/>
      <c r="D696" s="82"/>
      <c r="E696" s="82"/>
      <c r="F696" s="82"/>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6"/>
      <c r="B697" s="6"/>
      <c r="C697" s="6"/>
      <c r="D697" s="82"/>
      <c r="E697" s="82"/>
      <c r="F697" s="82"/>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6"/>
      <c r="B698" s="6"/>
      <c r="C698" s="6"/>
      <c r="D698" s="82"/>
      <c r="E698" s="82"/>
      <c r="F698" s="82"/>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6"/>
      <c r="B699" s="6"/>
      <c r="C699" s="6"/>
      <c r="D699" s="82"/>
      <c r="E699" s="82"/>
      <c r="F699" s="82"/>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6"/>
      <c r="B700" s="6"/>
      <c r="C700" s="6"/>
      <c r="D700" s="82"/>
      <c r="E700" s="82"/>
      <c r="F700" s="82"/>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6"/>
      <c r="B701" s="6"/>
      <c r="C701" s="6"/>
      <c r="D701" s="82"/>
      <c r="E701" s="82"/>
      <c r="F701" s="82"/>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6"/>
      <c r="B702" s="6"/>
      <c r="C702" s="6"/>
      <c r="D702" s="82"/>
      <c r="E702" s="82"/>
      <c r="F702" s="82"/>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6"/>
      <c r="B703" s="6"/>
      <c r="C703" s="6"/>
      <c r="D703" s="82"/>
      <c r="E703" s="82"/>
      <c r="F703" s="82"/>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6"/>
      <c r="B704" s="6"/>
      <c r="C704" s="6"/>
      <c r="D704" s="82"/>
      <c r="E704" s="82"/>
      <c r="F704" s="82"/>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6"/>
      <c r="B705" s="6"/>
      <c r="C705" s="6"/>
      <c r="D705" s="82"/>
      <c r="E705" s="82"/>
      <c r="F705" s="82"/>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6"/>
      <c r="B706" s="6"/>
      <c r="C706" s="6"/>
      <c r="D706" s="82"/>
      <c r="E706" s="82"/>
      <c r="F706" s="82"/>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6"/>
      <c r="B707" s="6"/>
      <c r="C707" s="6"/>
      <c r="D707" s="82"/>
      <c r="E707" s="82"/>
      <c r="F707" s="82"/>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6"/>
      <c r="B708" s="6"/>
      <c r="C708" s="6"/>
      <c r="D708" s="82"/>
      <c r="E708" s="82"/>
      <c r="F708" s="82"/>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6"/>
      <c r="B709" s="6"/>
      <c r="C709" s="6"/>
      <c r="D709" s="82"/>
      <c r="E709" s="82"/>
      <c r="F709" s="82"/>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6"/>
      <c r="B710" s="6"/>
      <c r="C710" s="6"/>
      <c r="D710" s="82"/>
      <c r="E710" s="82"/>
      <c r="F710" s="82"/>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6"/>
      <c r="B711" s="6"/>
      <c r="C711" s="6"/>
      <c r="D711" s="82"/>
      <c r="E711" s="82"/>
      <c r="F711" s="82"/>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6"/>
      <c r="B712" s="6"/>
      <c r="C712" s="6"/>
      <c r="D712" s="82"/>
      <c r="E712" s="82"/>
      <c r="F712" s="82"/>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6"/>
      <c r="B713" s="6"/>
      <c r="C713" s="6"/>
      <c r="D713" s="82"/>
      <c r="E713" s="82"/>
      <c r="F713" s="82"/>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6"/>
      <c r="B714" s="6"/>
      <c r="C714" s="6"/>
      <c r="D714" s="82"/>
      <c r="E714" s="82"/>
      <c r="F714" s="82"/>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6"/>
      <c r="B715" s="6"/>
      <c r="C715" s="6"/>
      <c r="D715" s="82"/>
      <c r="E715" s="82"/>
      <c r="F715" s="82"/>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6"/>
      <c r="B716" s="6"/>
      <c r="C716" s="6"/>
      <c r="D716" s="82"/>
      <c r="E716" s="82"/>
      <c r="F716" s="82"/>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6"/>
      <c r="B717" s="6"/>
      <c r="C717" s="6"/>
      <c r="D717" s="82"/>
      <c r="E717" s="82"/>
      <c r="F717" s="82"/>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6"/>
      <c r="B718" s="6"/>
      <c r="C718" s="6"/>
      <c r="D718" s="82"/>
      <c r="E718" s="82"/>
      <c r="F718" s="82"/>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6"/>
      <c r="B719" s="6"/>
      <c r="C719" s="6"/>
      <c r="D719" s="82"/>
      <c r="E719" s="82"/>
      <c r="F719" s="82"/>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6"/>
      <c r="B720" s="6"/>
      <c r="C720" s="6"/>
      <c r="D720" s="82"/>
      <c r="E720" s="82"/>
      <c r="F720" s="82"/>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6"/>
      <c r="B721" s="6"/>
      <c r="C721" s="6"/>
      <c r="D721" s="82"/>
      <c r="E721" s="82"/>
      <c r="F721" s="82"/>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6"/>
      <c r="B722" s="6"/>
      <c r="C722" s="6"/>
      <c r="D722" s="82"/>
      <c r="E722" s="82"/>
      <c r="F722" s="82"/>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6"/>
      <c r="B723" s="6"/>
      <c r="C723" s="6"/>
      <c r="D723" s="82"/>
      <c r="E723" s="82"/>
      <c r="F723" s="82"/>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6"/>
      <c r="B724" s="6"/>
      <c r="C724" s="6"/>
      <c r="D724" s="82"/>
      <c r="E724" s="82"/>
      <c r="F724" s="82"/>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6"/>
      <c r="B725" s="6"/>
      <c r="C725" s="6"/>
      <c r="D725" s="82"/>
      <c r="E725" s="82"/>
      <c r="F725" s="82"/>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6"/>
      <c r="B726" s="6"/>
      <c r="C726" s="6"/>
      <c r="D726" s="82"/>
      <c r="E726" s="82"/>
      <c r="F726" s="82"/>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6"/>
      <c r="B727" s="6"/>
      <c r="C727" s="6"/>
      <c r="D727" s="82"/>
      <c r="E727" s="82"/>
      <c r="F727" s="82"/>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6"/>
      <c r="B728" s="6"/>
      <c r="C728" s="6"/>
      <c r="D728" s="82"/>
      <c r="E728" s="82"/>
      <c r="F728" s="82"/>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6"/>
      <c r="B729" s="6"/>
      <c r="C729" s="6"/>
      <c r="D729" s="82"/>
      <c r="E729" s="82"/>
      <c r="F729" s="82"/>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6"/>
      <c r="B730" s="6"/>
      <c r="C730" s="6"/>
      <c r="D730" s="82"/>
      <c r="E730" s="82"/>
      <c r="F730" s="82"/>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6"/>
      <c r="B731" s="6"/>
      <c r="C731" s="6"/>
      <c r="D731" s="82"/>
      <c r="E731" s="82"/>
      <c r="F731" s="82"/>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6"/>
      <c r="B732" s="6"/>
      <c r="C732" s="6"/>
      <c r="D732" s="82"/>
      <c r="E732" s="82"/>
      <c r="F732" s="82"/>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6"/>
      <c r="B733" s="6"/>
      <c r="C733" s="6"/>
      <c r="D733" s="82"/>
      <c r="E733" s="82"/>
      <c r="F733" s="82"/>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6"/>
      <c r="B734" s="6"/>
      <c r="C734" s="6"/>
      <c r="D734" s="82"/>
      <c r="E734" s="82"/>
      <c r="F734" s="82"/>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6"/>
      <c r="B735" s="6"/>
      <c r="C735" s="6"/>
      <c r="D735" s="82"/>
      <c r="E735" s="82"/>
      <c r="F735" s="82"/>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6"/>
      <c r="B736" s="6"/>
      <c r="C736" s="6"/>
      <c r="D736" s="82"/>
      <c r="E736" s="82"/>
      <c r="F736" s="82"/>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6"/>
      <c r="B737" s="6"/>
      <c r="C737" s="6"/>
      <c r="D737" s="82"/>
      <c r="E737" s="82"/>
      <c r="F737" s="82"/>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6"/>
      <c r="B738" s="6"/>
      <c r="C738" s="6"/>
      <c r="D738" s="82"/>
      <c r="E738" s="82"/>
      <c r="F738" s="82"/>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6"/>
      <c r="B739" s="6"/>
      <c r="C739" s="6"/>
      <c r="D739" s="82"/>
      <c r="E739" s="82"/>
      <c r="F739" s="82"/>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6"/>
      <c r="B740" s="6"/>
      <c r="C740" s="6"/>
      <c r="D740" s="82"/>
      <c r="E740" s="82"/>
      <c r="F740" s="82"/>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6"/>
      <c r="B741" s="6"/>
      <c r="C741" s="6"/>
      <c r="D741" s="82"/>
      <c r="E741" s="82"/>
      <c r="F741" s="82"/>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6"/>
      <c r="B742" s="6"/>
      <c r="C742" s="6"/>
      <c r="D742" s="82"/>
      <c r="E742" s="82"/>
      <c r="F742" s="82"/>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6"/>
      <c r="B743" s="6"/>
      <c r="C743" s="6"/>
      <c r="D743" s="82"/>
      <c r="E743" s="82"/>
      <c r="F743" s="82"/>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6"/>
      <c r="B744" s="6"/>
      <c r="C744" s="6"/>
      <c r="D744" s="82"/>
      <c r="E744" s="82"/>
      <c r="F744" s="82"/>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6"/>
      <c r="B745" s="6"/>
      <c r="C745" s="6"/>
      <c r="D745" s="82"/>
      <c r="E745" s="82"/>
      <c r="F745" s="82"/>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6"/>
      <c r="B746" s="6"/>
      <c r="C746" s="6"/>
      <c r="D746" s="82"/>
      <c r="E746" s="82"/>
      <c r="F746" s="82"/>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6"/>
      <c r="B747" s="6"/>
      <c r="C747" s="6"/>
      <c r="D747" s="82"/>
      <c r="E747" s="82"/>
      <c r="F747" s="82"/>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6"/>
      <c r="B748" s="6"/>
      <c r="C748" s="6"/>
      <c r="D748" s="82"/>
      <c r="E748" s="82"/>
      <c r="F748" s="82"/>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6"/>
      <c r="B749" s="6"/>
      <c r="C749" s="6"/>
      <c r="D749" s="82"/>
      <c r="E749" s="82"/>
      <c r="F749" s="82"/>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6"/>
      <c r="B750" s="6"/>
      <c r="C750" s="6"/>
      <c r="D750" s="82"/>
      <c r="E750" s="82"/>
      <c r="F750" s="82"/>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6"/>
      <c r="B751" s="6"/>
      <c r="C751" s="6"/>
      <c r="D751" s="82"/>
      <c r="E751" s="82"/>
      <c r="F751" s="82"/>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6"/>
      <c r="B752" s="6"/>
      <c r="C752" s="6"/>
      <c r="D752" s="82"/>
      <c r="E752" s="82"/>
      <c r="F752" s="82"/>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6"/>
      <c r="B753" s="6"/>
      <c r="C753" s="6"/>
      <c r="D753" s="82"/>
      <c r="E753" s="82"/>
      <c r="F753" s="82"/>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6"/>
      <c r="B754" s="6"/>
      <c r="C754" s="6"/>
      <c r="D754" s="82"/>
      <c r="E754" s="82"/>
      <c r="F754" s="82"/>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6"/>
      <c r="B755" s="6"/>
      <c r="C755" s="6"/>
      <c r="D755" s="82"/>
      <c r="E755" s="82"/>
      <c r="F755" s="82"/>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6"/>
      <c r="B756" s="6"/>
      <c r="C756" s="6"/>
      <c r="D756" s="82"/>
      <c r="E756" s="82"/>
      <c r="F756" s="82"/>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6"/>
      <c r="B757" s="6"/>
      <c r="C757" s="6"/>
      <c r="D757" s="82"/>
      <c r="E757" s="82"/>
      <c r="F757" s="82"/>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6"/>
      <c r="B758" s="6"/>
      <c r="C758" s="6"/>
      <c r="D758" s="82"/>
      <c r="E758" s="82"/>
      <c r="F758" s="82"/>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6"/>
      <c r="B759" s="6"/>
      <c r="C759" s="6"/>
      <c r="D759" s="82"/>
      <c r="E759" s="82"/>
      <c r="F759" s="82"/>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6"/>
      <c r="B760" s="6"/>
      <c r="C760" s="6"/>
      <c r="D760" s="82"/>
      <c r="E760" s="82"/>
      <c r="F760" s="82"/>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6"/>
      <c r="B761" s="6"/>
      <c r="C761" s="6"/>
      <c r="D761" s="82"/>
      <c r="E761" s="82"/>
      <c r="F761" s="82"/>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6"/>
      <c r="B762" s="6"/>
      <c r="C762" s="6"/>
      <c r="D762" s="82"/>
      <c r="E762" s="82"/>
      <c r="F762" s="82"/>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6"/>
      <c r="B763" s="6"/>
      <c r="C763" s="6"/>
      <c r="D763" s="82"/>
      <c r="E763" s="82"/>
      <c r="F763" s="82"/>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6"/>
      <c r="B764" s="6"/>
      <c r="C764" s="6"/>
      <c r="D764" s="82"/>
      <c r="E764" s="82"/>
      <c r="F764" s="82"/>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6"/>
      <c r="B765" s="6"/>
      <c r="C765" s="6"/>
      <c r="D765" s="82"/>
      <c r="E765" s="82"/>
      <c r="F765" s="82"/>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6"/>
      <c r="B766" s="6"/>
      <c r="C766" s="6"/>
      <c r="D766" s="82"/>
      <c r="E766" s="82"/>
      <c r="F766" s="82"/>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6"/>
      <c r="B767" s="6"/>
      <c r="C767" s="6"/>
      <c r="D767" s="82"/>
      <c r="E767" s="82"/>
      <c r="F767" s="82"/>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6"/>
      <c r="B768" s="6"/>
      <c r="C768" s="6"/>
      <c r="D768" s="82"/>
      <c r="E768" s="82"/>
      <c r="F768" s="82"/>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6"/>
      <c r="B769" s="6"/>
      <c r="C769" s="6"/>
      <c r="D769" s="82"/>
      <c r="E769" s="82"/>
      <c r="F769" s="82"/>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6"/>
      <c r="B770" s="6"/>
      <c r="C770" s="6"/>
      <c r="D770" s="82"/>
      <c r="E770" s="82"/>
      <c r="F770" s="82"/>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6"/>
      <c r="B771" s="6"/>
      <c r="C771" s="6"/>
      <c r="D771" s="82"/>
      <c r="E771" s="82"/>
      <c r="F771" s="82"/>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6"/>
      <c r="B772" s="6"/>
      <c r="C772" s="6"/>
      <c r="D772" s="82"/>
      <c r="E772" s="82"/>
      <c r="F772" s="82"/>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6"/>
      <c r="B773" s="6"/>
      <c r="C773" s="6"/>
      <c r="D773" s="82"/>
      <c r="E773" s="82"/>
      <c r="F773" s="82"/>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6"/>
      <c r="B774" s="6"/>
      <c r="C774" s="6"/>
      <c r="D774" s="82"/>
      <c r="E774" s="82"/>
      <c r="F774" s="82"/>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6"/>
      <c r="B775" s="6"/>
      <c r="C775" s="6"/>
      <c r="D775" s="82"/>
      <c r="E775" s="82"/>
      <c r="F775" s="82"/>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6"/>
      <c r="B776" s="6"/>
      <c r="C776" s="6"/>
      <c r="D776" s="82"/>
      <c r="E776" s="82"/>
      <c r="F776" s="82"/>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6"/>
      <c r="B777" s="6"/>
      <c r="C777" s="6"/>
      <c r="D777" s="82"/>
      <c r="E777" s="82"/>
      <c r="F777" s="82"/>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6"/>
      <c r="B778" s="6"/>
      <c r="C778" s="6"/>
      <c r="D778" s="82"/>
      <c r="E778" s="82"/>
      <c r="F778" s="82"/>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6"/>
      <c r="B779" s="6"/>
      <c r="C779" s="6"/>
      <c r="D779" s="82"/>
      <c r="E779" s="82"/>
      <c r="F779" s="82"/>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6"/>
      <c r="B780" s="6"/>
      <c r="C780" s="6"/>
      <c r="D780" s="82"/>
      <c r="E780" s="82"/>
      <c r="F780" s="82"/>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6"/>
      <c r="B781" s="6"/>
      <c r="C781" s="6"/>
      <c r="D781" s="82"/>
      <c r="E781" s="82"/>
      <c r="F781" s="82"/>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6"/>
      <c r="B782" s="6"/>
      <c r="C782" s="6"/>
      <c r="D782" s="82"/>
      <c r="E782" s="82"/>
      <c r="F782" s="82"/>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6"/>
      <c r="B783" s="6"/>
      <c r="C783" s="6"/>
      <c r="D783" s="82"/>
      <c r="E783" s="82"/>
      <c r="F783" s="82"/>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6"/>
      <c r="B784" s="6"/>
      <c r="C784" s="6"/>
      <c r="D784" s="82"/>
      <c r="E784" s="82"/>
      <c r="F784" s="82"/>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6"/>
      <c r="B785" s="6"/>
      <c r="C785" s="6"/>
      <c r="D785" s="82"/>
      <c r="E785" s="82"/>
      <c r="F785" s="82"/>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6"/>
      <c r="B786" s="6"/>
      <c r="C786" s="6"/>
      <c r="D786" s="82"/>
      <c r="E786" s="82"/>
      <c r="F786" s="82"/>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6"/>
      <c r="B787" s="6"/>
      <c r="C787" s="6"/>
      <c r="D787" s="82"/>
      <c r="E787" s="82"/>
      <c r="F787" s="82"/>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6"/>
      <c r="B788" s="6"/>
      <c r="C788" s="6"/>
      <c r="D788" s="82"/>
      <c r="E788" s="82"/>
      <c r="F788" s="82"/>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6"/>
      <c r="B789" s="6"/>
      <c r="C789" s="6"/>
      <c r="D789" s="82"/>
      <c r="E789" s="82"/>
      <c r="F789" s="82"/>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6"/>
      <c r="B790" s="6"/>
      <c r="C790" s="6"/>
      <c r="D790" s="82"/>
      <c r="E790" s="82"/>
      <c r="F790" s="82"/>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6"/>
      <c r="B791" s="6"/>
      <c r="C791" s="6"/>
      <c r="D791" s="82"/>
      <c r="E791" s="82"/>
      <c r="F791" s="82"/>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6"/>
      <c r="B792" s="6"/>
      <c r="C792" s="6"/>
      <c r="D792" s="82"/>
      <c r="E792" s="82"/>
      <c r="F792" s="82"/>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6"/>
      <c r="B793" s="6"/>
      <c r="C793" s="6"/>
      <c r="D793" s="82"/>
      <c r="E793" s="82"/>
      <c r="F793" s="82"/>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6"/>
      <c r="B794" s="6"/>
      <c r="C794" s="6"/>
      <c r="D794" s="82"/>
      <c r="E794" s="82"/>
      <c r="F794" s="82"/>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6"/>
      <c r="B795" s="6"/>
      <c r="C795" s="6"/>
      <c r="D795" s="82"/>
      <c r="E795" s="82"/>
      <c r="F795" s="82"/>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6"/>
      <c r="B796" s="6"/>
      <c r="C796" s="6"/>
      <c r="D796" s="82"/>
      <c r="E796" s="82"/>
      <c r="F796" s="82"/>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6"/>
      <c r="B797" s="6"/>
      <c r="C797" s="6"/>
      <c r="D797" s="82"/>
      <c r="E797" s="82"/>
      <c r="F797" s="82"/>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6"/>
      <c r="B798" s="6"/>
      <c r="C798" s="6"/>
      <c r="D798" s="82"/>
      <c r="E798" s="82"/>
      <c r="F798" s="82"/>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6"/>
      <c r="B799" s="6"/>
      <c r="C799" s="6"/>
      <c r="D799" s="82"/>
      <c r="E799" s="82"/>
      <c r="F799" s="82"/>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6"/>
      <c r="B800" s="6"/>
      <c r="C800" s="6"/>
      <c r="D800" s="82"/>
      <c r="E800" s="82"/>
      <c r="F800" s="82"/>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6"/>
      <c r="B801" s="6"/>
      <c r="C801" s="6"/>
      <c r="D801" s="82"/>
      <c r="E801" s="82"/>
      <c r="F801" s="82"/>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6"/>
      <c r="B802" s="6"/>
      <c r="C802" s="6"/>
      <c r="D802" s="82"/>
      <c r="E802" s="82"/>
      <c r="F802" s="82"/>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6"/>
      <c r="B803" s="6"/>
      <c r="C803" s="6"/>
      <c r="D803" s="82"/>
      <c r="E803" s="82"/>
      <c r="F803" s="82"/>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6"/>
      <c r="B804" s="6"/>
      <c r="C804" s="6"/>
      <c r="D804" s="82"/>
      <c r="E804" s="82"/>
      <c r="F804" s="82"/>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6"/>
      <c r="B805" s="6"/>
      <c r="C805" s="6"/>
      <c r="D805" s="82"/>
      <c r="E805" s="82"/>
      <c r="F805" s="82"/>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6"/>
      <c r="B806" s="6"/>
      <c r="C806" s="6"/>
      <c r="D806" s="82"/>
      <c r="E806" s="82"/>
      <c r="F806" s="82"/>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6"/>
      <c r="B807" s="6"/>
      <c r="C807" s="6"/>
      <c r="D807" s="82"/>
      <c r="E807" s="82"/>
      <c r="F807" s="82"/>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6"/>
      <c r="B808" s="6"/>
      <c r="C808" s="6"/>
      <c r="D808" s="82"/>
      <c r="E808" s="82"/>
      <c r="F808" s="82"/>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6"/>
      <c r="B809" s="6"/>
      <c r="C809" s="6"/>
      <c r="D809" s="82"/>
      <c r="E809" s="82"/>
      <c r="F809" s="82"/>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6"/>
      <c r="B810" s="6"/>
      <c r="C810" s="6"/>
      <c r="D810" s="82"/>
      <c r="E810" s="82"/>
      <c r="F810" s="82"/>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6"/>
      <c r="B811" s="6"/>
      <c r="C811" s="6"/>
      <c r="D811" s="82"/>
      <c r="E811" s="82"/>
      <c r="F811" s="82"/>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6"/>
      <c r="B812" s="6"/>
      <c r="C812" s="6"/>
      <c r="D812" s="82"/>
      <c r="E812" s="82"/>
      <c r="F812" s="82"/>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6"/>
      <c r="B813" s="6"/>
      <c r="C813" s="6"/>
      <c r="D813" s="82"/>
      <c r="E813" s="82"/>
      <c r="F813" s="82"/>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6"/>
      <c r="B814" s="6"/>
      <c r="C814" s="6"/>
      <c r="D814" s="82"/>
      <c r="E814" s="82"/>
      <c r="F814" s="82"/>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6"/>
      <c r="B815" s="6"/>
      <c r="C815" s="6"/>
      <c r="D815" s="82"/>
      <c r="E815" s="82"/>
      <c r="F815" s="82"/>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6"/>
      <c r="B816" s="6"/>
      <c r="C816" s="6"/>
      <c r="D816" s="82"/>
      <c r="E816" s="82"/>
      <c r="F816" s="82"/>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6"/>
      <c r="B817" s="6"/>
      <c r="C817" s="6"/>
      <c r="D817" s="82"/>
      <c r="E817" s="82"/>
      <c r="F817" s="82"/>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6"/>
      <c r="B818" s="6"/>
      <c r="C818" s="6"/>
      <c r="D818" s="82"/>
      <c r="E818" s="82"/>
      <c r="F818" s="82"/>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6"/>
      <c r="B819" s="6"/>
      <c r="C819" s="6"/>
      <c r="D819" s="82"/>
      <c r="E819" s="82"/>
      <c r="F819" s="82"/>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6"/>
      <c r="B820" s="6"/>
      <c r="C820" s="6"/>
      <c r="D820" s="82"/>
      <c r="E820" s="82"/>
      <c r="F820" s="82"/>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6"/>
      <c r="B821" s="6"/>
      <c r="C821" s="6"/>
      <c r="D821" s="82"/>
      <c r="E821" s="82"/>
      <c r="F821" s="82"/>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6"/>
      <c r="B822" s="6"/>
      <c r="C822" s="6"/>
      <c r="D822" s="82"/>
      <c r="E822" s="82"/>
      <c r="F822" s="82"/>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6"/>
      <c r="B823" s="6"/>
      <c r="C823" s="6"/>
      <c r="D823" s="82"/>
      <c r="E823" s="82"/>
      <c r="F823" s="82"/>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6"/>
      <c r="B824" s="6"/>
      <c r="C824" s="6"/>
      <c r="D824" s="82"/>
      <c r="E824" s="82"/>
      <c r="F824" s="82"/>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6"/>
      <c r="B825" s="6"/>
      <c r="C825" s="6"/>
      <c r="D825" s="82"/>
      <c r="E825" s="82"/>
      <c r="F825" s="82"/>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6"/>
      <c r="B826" s="6"/>
      <c r="C826" s="6"/>
      <c r="D826" s="82"/>
      <c r="E826" s="82"/>
      <c r="F826" s="82"/>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6"/>
      <c r="B827" s="6"/>
      <c r="C827" s="6"/>
      <c r="D827" s="82"/>
      <c r="E827" s="82"/>
      <c r="F827" s="82"/>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6"/>
      <c r="B828" s="6"/>
      <c r="C828" s="6"/>
      <c r="D828" s="82"/>
      <c r="E828" s="82"/>
      <c r="F828" s="82"/>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6"/>
      <c r="B829" s="6"/>
      <c r="C829" s="6"/>
      <c r="D829" s="82"/>
      <c r="E829" s="82"/>
      <c r="F829" s="82"/>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6"/>
      <c r="B830" s="6"/>
      <c r="C830" s="6"/>
      <c r="D830" s="82"/>
      <c r="E830" s="82"/>
      <c r="F830" s="82"/>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6"/>
      <c r="B831" s="6"/>
      <c r="C831" s="6"/>
      <c r="D831" s="82"/>
      <c r="E831" s="82"/>
      <c r="F831" s="82"/>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6"/>
      <c r="B832" s="6"/>
      <c r="C832" s="6"/>
      <c r="D832" s="82"/>
      <c r="E832" s="82"/>
      <c r="F832" s="82"/>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6"/>
      <c r="B833" s="6"/>
      <c r="C833" s="6"/>
      <c r="D833" s="82"/>
      <c r="E833" s="82"/>
      <c r="F833" s="82"/>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6"/>
      <c r="B834" s="6"/>
      <c r="C834" s="6"/>
      <c r="D834" s="82"/>
      <c r="E834" s="82"/>
      <c r="F834" s="82"/>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6"/>
      <c r="B835" s="6"/>
      <c r="C835" s="6"/>
      <c r="D835" s="82"/>
      <c r="E835" s="82"/>
      <c r="F835" s="82"/>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6"/>
      <c r="B836" s="6"/>
      <c r="C836" s="6"/>
      <c r="D836" s="82"/>
      <c r="E836" s="82"/>
      <c r="F836" s="82"/>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6"/>
      <c r="B837" s="6"/>
      <c r="C837" s="6"/>
      <c r="D837" s="82"/>
      <c r="E837" s="82"/>
      <c r="F837" s="82"/>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6"/>
      <c r="B838" s="6"/>
      <c r="C838" s="6"/>
      <c r="D838" s="82"/>
      <c r="E838" s="82"/>
      <c r="F838" s="82"/>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6"/>
      <c r="B839" s="6"/>
      <c r="C839" s="6"/>
      <c r="D839" s="82"/>
      <c r="E839" s="82"/>
      <c r="F839" s="82"/>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6"/>
      <c r="B840" s="6"/>
      <c r="C840" s="6"/>
      <c r="D840" s="82"/>
      <c r="E840" s="82"/>
      <c r="F840" s="82"/>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6"/>
      <c r="B841" s="6"/>
      <c r="C841" s="6"/>
      <c r="D841" s="82"/>
      <c r="E841" s="82"/>
      <c r="F841" s="82"/>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6"/>
      <c r="B842" s="6"/>
      <c r="C842" s="6"/>
      <c r="D842" s="82"/>
      <c r="E842" s="82"/>
      <c r="F842" s="82"/>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6"/>
      <c r="B843" s="6"/>
      <c r="C843" s="6"/>
      <c r="D843" s="82"/>
      <c r="E843" s="82"/>
      <c r="F843" s="82"/>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6"/>
      <c r="B844" s="6"/>
      <c r="C844" s="6"/>
      <c r="D844" s="82"/>
      <c r="E844" s="82"/>
      <c r="F844" s="82"/>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6"/>
      <c r="B845" s="6"/>
      <c r="C845" s="6"/>
      <c r="D845" s="82"/>
      <c r="E845" s="82"/>
      <c r="F845" s="82"/>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6"/>
      <c r="B846" s="6"/>
      <c r="C846" s="6"/>
      <c r="D846" s="82"/>
      <c r="E846" s="82"/>
      <c r="F846" s="82"/>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6"/>
      <c r="B847" s="6"/>
      <c r="C847" s="6"/>
      <c r="D847" s="82"/>
      <c r="E847" s="82"/>
      <c r="F847" s="82"/>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6"/>
      <c r="B848" s="6"/>
      <c r="C848" s="6"/>
      <c r="D848" s="82"/>
      <c r="E848" s="82"/>
      <c r="F848" s="82"/>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6"/>
      <c r="B849" s="6"/>
      <c r="C849" s="6"/>
      <c r="D849" s="82"/>
      <c r="E849" s="82"/>
      <c r="F849" s="82"/>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6"/>
      <c r="B850" s="6"/>
      <c r="C850" s="6"/>
      <c r="D850" s="82"/>
      <c r="E850" s="82"/>
      <c r="F850" s="82"/>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6"/>
      <c r="B851" s="6"/>
      <c r="C851" s="6"/>
      <c r="D851" s="82"/>
      <c r="E851" s="82"/>
      <c r="F851" s="82"/>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6"/>
      <c r="B852" s="6"/>
      <c r="C852" s="6"/>
      <c r="D852" s="82"/>
      <c r="E852" s="82"/>
      <c r="F852" s="82"/>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6"/>
      <c r="B853" s="6"/>
      <c r="C853" s="6"/>
      <c r="D853" s="82"/>
      <c r="E853" s="82"/>
      <c r="F853" s="82"/>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6"/>
      <c r="B854" s="6"/>
      <c r="C854" s="6"/>
      <c r="D854" s="82"/>
      <c r="E854" s="82"/>
      <c r="F854" s="82"/>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6"/>
      <c r="B855" s="6"/>
      <c r="C855" s="6"/>
      <c r="D855" s="82"/>
      <c r="E855" s="82"/>
      <c r="F855" s="82"/>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6"/>
      <c r="B856" s="6"/>
      <c r="C856" s="6"/>
      <c r="D856" s="82"/>
      <c r="E856" s="82"/>
      <c r="F856" s="82"/>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6"/>
      <c r="B857" s="6"/>
      <c r="C857" s="6"/>
      <c r="D857" s="82"/>
      <c r="E857" s="82"/>
      <c r="F857" s="82"/>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6"/>
      <c r="B858" s="6"/>
      <c r="C858" s="6"/>
      <c r="D858" s="82"/>
      <c r="E858" s="82"/>
      <c r="F858" s="82"/>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6"/>
      <c r="B859" s="6"/>
      <c r="C859" s="6"/>
      <c r="D859" s="82"/>
      <c r="E859" s="82"/>
      <c r="F859" s="82"/>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6"/>
      <c r="B860" s="6"/>
      <c r="C860" s="6"/>
      <c r="D860" s="82"/>
      <c r="E860" s="82"/>
      <c r="F860" s="82"/>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6"/>
      <c r="B861" s="6"/>
      <c r="C861" s="6"/>
      <c r="D861" s="82"/>
      <c r="E861" s="82"/>
      <c r="F861" s="82"/>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6"/>
      <c r="B862" s="6"/>
      <c r="C862" s="6"/>
      <c r="D862" s="82"/>
      <c r="E862" s="82"/>
      <c r="F862" s="82"/>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6"/>
      <c r="B863" s="6"/>
      <c r="C863" s="6"/>
      <c r="D863" s="82"/>
      <c r="E863" s="82"/>
      <c r="F863" s="82"/>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6"/>
      <c r="B864" s="6"/>
      <c r="C864" s="6"/>
      <c r="D864" s="82"/>
      <c r="E864" s="82"/>
      <c r="F864" s="82"/>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6"/>
      <c r="B865" s="6"/>
      <c r="C865" s="6"/>
      <c r="D865" s="82"/>
      <c r="E865" s="82"/>
      <c r="F865" s="82"/>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6"/>
      <c r="B866" s="6"/>
      <c r="C866" s="6"/>
      <c r="D866" s="82"/>
      <c r="E866" s="82"/>
      <c r="F866" s="82"/>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6"/>
      <c r="B867" s="6"/>
      <c r="C867" s="6"/>
      <c r="D867" s="82"/>
      <c r="E867" s="82"/>
      <c r="F867" s="82"/>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6"/>
      <c r="B868" s="6"/>
      <c r="C868" s="6"/>
      <c r="D868" s="82"/>
      <c r="E868" s="82"/>
      <c r="F868" s="82"/>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6"/>
      <c r="B869" s="6"/>
      <c r="C869" s="6"/>
      <c r="D869" s="82"/>
      <c r="E869" s="82"/>
      <c r="F869" s="82"/>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6"/>
      <c r="B870" s="6"/>
      <c r="C870" s="6"/>
      <c r="D870" s="82"/>
      <c r="E870" s="82"/>
      <c r="F870" s="82"/>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6"/>
      <c r="B871" s="6"/>
      <c r="C871" s="6"/>
      <c r="D871" s="82"/>
      <c r="E871" s="82"/>
      <c r="F871" s="82"/>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6"/>
      <c r="B872" s="6"/>
      <c r="C872" s="6"/>
      <c r="D872" s="82"/>
      <c r="E872" s="82"/>
      <c r="F872" s="82"/>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6"/>
      <c r="B873" s="6"/>
      <c r="C873" s="6"/>
      <c r="D873" s="82"/>
      <c r="E873" s="82"/>
      <c r="F873" s="82"/>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6"/>
      <c r="B874" s="6"/>
      <c r="C874" s="6"/>
      <c r="D874" s="82"/>
      <c r="E874" s="82"/>
      <c r="F874" s="82"/>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6"/>
      <c r="B875" s="6"/>
      <c r="C875" s="6"/>
      <c r="D875" s="82"/>
      <c r="E875" s="82"/>
      <c r="F875" s="82"/>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6"/>
      <c r="B876" s="6"/>
      <c r="C876" s="6"/>
      <c r="D876" s="82"/>
      <c r="E876" s="82"/>
      <c r="F876" s="82"/>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6"/>
      <c r="B877" s="6"/>
      <c r="C877" s="6"/>
      <c r="D877" s="82"/>
      <c r="E877" s="82"/>
      <c r="F877" s="82"/>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6"/>
      <c r="B878" s="6"/>
      <c r="C878" s="6"/>
      <c r="D878" s="82"/>
      <c r="E878" s="82"/>
      <c r="F878" s="82"/>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6"/>
      <c r="B879" s="6"/>
      <c r="C879" s="6"/>
      <c r="D879" s="82"/>
      <c r="E879" s="82"/>
      <c r="F879" s="82"/>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6"/>
      <c r="B880" s="6"/>
      <c r="C880" s="6"/>
      <c r="D880" s="82"/>
      <c r="E880" s="82"/>
      <c r="F880" s="82"/>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6"/>
      <c r="B881" s="6"/>
      <c r="C881" s="6"/>
      <c r="D881" s="82"/>
      <c r="E881" s="82"/>
      <c r="F881" s="82"/>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6"/>
      <c r="B882" s="6"/>
      <c r="C882" s="6"/>
      <c r="D882" s="82"/>
      <c r="E882" s="82"/>
      <c r="F882" s="82"/>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6"/>
      <c r="B883" s="6"/>
      <c r="C883" s="6"/>
      <c r="D883" s="82"/>
      <c r="E883" s="82"/>
      <c r="F883" s="82"/>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6"/>
      <c r="B884" s="6"/>
      <c r="C884" s="6"/>
      <c r="D884" s="82"/>
      <c r="E884" s="82"/>
      <c r="F884" s="82"/>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6"/>
      <c r="B885" s="6"/>
      <c r="C885" s="6"/>
      <c r="D885" s="82"/>
      <c r="E885" s="82"/>
      <c r="F885" s="82"/>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6"/>
      <c r="B886" s="6"/>
      <c r="C886" s="6"/>
      <c r="D886" s="82"/>
      <c r="E886" s="82"/>
      <c r="F886" s="82"/>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6"/>
      <c r="B887" s="6"/>
      <c r="C887" s="6"/>
      <c r="D887" s="82"/>
      <c r="E887" s="82"/>
      <c r="F887" s="82"/>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6"/>
      <c r="B888" s="6"/>
      <c r="C888" s="6"/>
      <c r="D888" s="82"/>
      <c r="E888" s="82"/>
      <c r="F888" s="82"/>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6"/>
      <c r="B889" s="6"/>
      <c r="C889" s="6"/>
      <c r="D889" s="82"/>
      <c r="E889" s="82"/>
      <c r="F889" s="82"/>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6"/>
      <c r="B890" s="6"/>
      <c r="C890" s="6"/>
      <c r="D890" s="82"/>
      <c r="E890" s="82"/>
      <c r="F890" s="82"/>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6"/>
      <c r="B891" s="6"/>
      <c r="C891" s="6"/>
      <c r="D891" s="82"/>
      <c r="E891" s="82"/>
      <c r="F891" s="82"/>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6"/>
      <c r="B892" s="6"/>
      <c r="C892" s="6"/>
      <c r="D892" s="82"/>
      <c r="E892" s="82"/>
      <c r="F892" s="82"/>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6"/>
      <c r="B893" s="6"/>
      <c r="C893" s="6"/>
      <c r="D893" s="82"/>
      <c r="E893" s="82"/>
      <c r="F893" s="82"/>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6"/>
      <c r="B894" s="6"/>
      <c r="C894" s="6"/>
      <c r="D894" s="82"/>
      <c r="E894" s="82"/>
      <c r="F894" s="82"/>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6"/>
      <c r="B895" s="6"/>
      <c r="C895" s="6"/>
      <c r="D895" s="82"/>
      <c r="E895" s="82"/>
      <c r="F895" s="82"/>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6"/>
      <c r="B896" s="6"/>
      <c r="C896" s="6"/>
      <c r="D896" s="82"/>
      <c r="E896" s="82"/>
      <c r="F896" s="82"/>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6"/>
      <c r="B897" s="6"/>
      <c r="C897" s="6"/>
      <c r="D897" s="82"/>
      <c r="E897" s="82"/>
      <c r="F897" s="82"/>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6"/>
      <c r="B898" s="6"/>
      <c r="C898" s="6"/>
      <c r="D898" s="82"/>
      <c r="E898" s="82"/>
      <c r="F898" s="82"/>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6"/>
      <c r="B899" s="6"/>
      <c r="C899" s="6"/>
      <c r="D899" s="82"/>
      <c r="E899" s="82"/>
      <c r="F899" s="82"/>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6"/>
      <c r="B900" s="6"/>
      <c r="C900" s="6"/>
      <c r="D900" s="82"/>
      <c r="E900" s="82"/>
      <c r="F900" s="82"/>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6"/>
      <c r="B901" s="6"/>
      <c r="C901" s="6"/>
      <c r="D901" s="82"/>
      <c r="E901" s="82"/>
      <c r="F901" s="82"/>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6"/>
      <c r="B902" s="6"/>
      <c r="C902" s="6"/>
      <c r="D902" s="82"/>
      <c r="E902" s="82"/>
      <c r="F902" s="82"/>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6"/>
      <c r="B903" s="6"/>
      <c r="C903" s="6"/>
      <c r="D903" s="82"/>
      <c r="E903" s="82"/>
      <c r="F903" s="82"/>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6"/>
      <c r="B904" s="6"/>
      <c r="C904" s="6"/>
      <c r="D904" s="82"/>
      <c r="E904" s="82"/>
      <c r="F904" s="82"/>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6"/>
      <c r="B905" s="6"/>
      <c r="C905" s="6"/>
      <c r="D905" s="82"/>
      <c r="E905" s="82"/>
      <c r="F905" s="82"/>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6"/>
      <c r="B906" s="6"/>
      <c r="C906" s="6"/>
      <c r="D906" s="82"/>
      <c r="E906" s="82"/>
      <c r="F906" s="82"/>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6"/>
      <c r="B907" s="6"/>
      <c r="C907" s="6"/>
      <c r="D907" s="82"/>
      <c r="E907" s="82"/>
      <c r="F907" s="82"/>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6"/>
      <c r="B908" s="6"/>
      <c r="C908" s="6"/>
      <c r="D908" s="82"/>
      <c r="E908" s="82"/>
      <c r="F908" s="82"/>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6"/>
      <c r="B909" s="6"/>
      <c r="C909" s="6"/>
      <c r="D909" s="82"/>
      <c r="E909" s="82"/>
      <c r="F909" s="82"/>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6"/>
      <c r="B910" s="6"/>
      <c r="C910" s="6"/>
      <c r="D910" s="82"/>
      <c r="E910" s="82"/>
      <c r="F910" s="82"/>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6"/>
      <c r="B911" s="6"/>
      <c r="C911" s="6"/>
      <c r="D911" s="82"/>
      <c r="E911" s="82"/>
      <c r="F911" s="82"/>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6"/>
      <c r="B912" s="6"/>
      <c r="C912" s="6"/>
      <c r="D912" s="82"/>
      <c r="E912" s="82"/>
      <c r="F912" s="82"/>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6"/>
      <c r="B913" s="6"/>
      <c r="C913" s="6"/>
      <c r="D913" s="82"/>
      <c r="E913" s="82"/>
      <c r="F913" s="82"/>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6"/>
      <c r="B914" s="6"/>
      <c r="C914" s="6"/>
      <c r="D914" s="82"/>
      <c r="E914" s="82"/>
      <c r="F914" s="82"/>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6"/>
      <c r="B915" s="6"/>
      <c r="C915" s="6"/>
      <c r="D915" s="82"/>
      <c r="E915" s="82"/>
      <c r="F915" s="82"/>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6"/>
      <c r="B916" s="6"/>
      <c r="C916" s="6"/>
      <c r="D916" s="82"/>
      <c r="E916" s="82"/>
      <c r="F916" s="82"/>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6"/>
      <c r="B917" s="6"/>
      <c r="C917" s="6"/>
      <c r="D917" s="82"/>
      <c r="E917" s="82"/>
      <c r="F917" s="82"/>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6"/>
      <c r="B918" s="6"/>
      <c r="C918" s="6"/>
      <c r="D918" s="82"/>
      <c r="E918" s="82"/>
      <c r="F918" s="82"/>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6"/>
      <c r="B919" s="6"/>
      <c r="C919" s="6"/>
      <c r="D919" s="82"/>
      <c r="E919" s="82"/>
      <c r="F919" s="82"/>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6"/>
      <c r="B920" s="6"/>
      <c r="C920" s="6"/>
      <c r="D920" s="82"/>
      <c r="E920" s="82"/>
      <c r="F920" s="82"/>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6"/>
      <c r="B921" s="6"/>
      <c r="C921" s="6"/>
      <c r="D921" s="82"/>
      <c r="E921" s="82"/>
      <c r="F921" s="82"/>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6"/>
      <c r="B922" s="6"/>
      <c r="C922" s="6"/>
      <c r="D922" s="82"/>
      <c r="E922" s="82"/>
      <c r="F922" s="82"/>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6"/>
      <c r="B923" s="6"/>
      <c r="C923" s="6"/>
      <c r="D923" s="82"/>
      <c r="E923" s="82"/>
      <c r="F923" s="82"/>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6"/>
      <c r="B924" s="6"/>
      <c r="C924" s="6"/>
      <c r="D924" s="82"/>
      <c r="E924" s="82"/>
      <c r="F924" s="82"/>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6"/>
      <c r="B925" s="6"/>
      <c r="C925" s="6"/>
      <c r="D925" s="82"/>
      <c r="E925" s="82"/>
      <c r="F925" s="82"/>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6"/>
      <c r="B926" s="6"/>
      <c r="C926" s="6"/>
      <c r="D926" s="82"/>
      <c r="E926" s="82"/>
      <c r="F926" s="82"/>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6"/>
      <c r="B927" s="6"/>
      <c r="C927" s="6"/>
      <c r="D927" s="82"/>
      <c r="E927" s="82"/>
      <c r="F927" s="82"/>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6"/>
      <c r="B928" s="6"/>
      <c r="C928" s="6"/>
      <c r="D928" s="82"/>
      <c r="E928" s="82"/>
      <c r="F928" s="82"/>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6"/>
      <c r="B929" s="6"/>
      <c r="C929" s="6"/>
      <c r="D929" s="82"/>
      <c r="E929" s="82"/>
      <c r="F929" s="82"/>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6"/>
      <c r="B930" s="6"/>
      <c r="C930" s="6"/>
      <c r="D930" s="82"/>
      <c r="E930" s="82"/>
      <c r="F930" s="82"/>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6"/>
      <c r="B931" s="6"/>
      <c r="C931" s="6"/>
      <c r="D931" s="82"/>
      <c r="E931" s="82"/>
      <c r="F931" s="82"/>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6"/>
      <c r="B932" s="6"/>
      <c r="C932" s="6"/>
      <c r="D932" s="82"/>
      <c r="E932" s="82"/>
      <c r="F932" s="82"/>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6"/>
      <c r="B933" s="6"/>
      <c r="C933" s="6"/>
      <c r="D933" s="82"/>
      <c r="E933" s="82"/>
      <c r="F933" s="82"/>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6"/>
      <c r="B934" s="6"/>
      <c r="C934" s="6"/>
      <c r="D934" s="82"/>
      <c r="E934" s="82"/>
      <c r="F934" s="82"/>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6"/>
      <c r="B935" s="6"/>
      <c r="C935" s="6"/>
      <c r="D935" s="82"/>
      <c r="E935" s="82"/>
      <c r="F935" s="82"/>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6"/>
      <c r="B936" s="6"/>
      <c r="C936" s="6"/>
      <c r="D936" s="82"/>
      <c r="E936" s="82"/>
      <c r="F936" s="82"/>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6"/>
      <c r="B937" s="6"/>
      <c r="C937" s="6"/>
      <c r="D937" s="82"/>
      <c r="E937" s="82"/>
      <c r="F937" s="82"/>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6"/>
      <c r="B938" s="6"/>
      <c r="C938" s="6"/>
      <c r="D938" s="82"/>
      <c r="E938" s="82"/>
      <c r="F938" s="82"/>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6"/>
      <c r="B939" s="6"/>
      <c r="C939" s="6"/>
      <c r="D939" s="82"/>
      <c r="E939" s="82"/>
      <c r="F939" s="82"/>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6"/>
      <c r="B940" s="6"/>
      <c r="C940" s="6"/>
      <c r="D940" s="82"/>
      <c r="E940" s="82"/>
      <c r="F940" s="82"/>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6"/>
      <c r="B941" s="6"/>
      <c r="C941" s="6"/>
      <c r="D941" s="82"/>
      <c r="E941" s="82"/>
      <c r="F941" s="82"/>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6"/>
      <c r="B942" s="6"/>
      <c r="C942" s="6"/>
      <c r="D942" s="82"/>
      <c r="E942" s="82"/>
      <c r="F942" s="82"/>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6"/>
      <c r="B943" s="6"/>
      <c r="C943" s="6"/>
      <c r="D943" s="82"/>
      <c r="E943" s="82"/>
      <c r="F943" s="82"/>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6"/>
      <c r="B944" s="6"/>
      <c r="C944" s="6"/>
      <c r="D944" s="82"/>
      <c r="E944" s="82"/>
      <c r="F944" s="82"/>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6"/>
      <c r="B945" s="6"/>
      <c r="C945" s="6"/>
      <c r="D945" s="82"/>
      <c r="E945" s="82"/>
      <c r="F945" s="82"/>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6"/>
      <c r="B946" s="6"/>
      <c r="C946" s="6"/>
      <c r="D946" s="82"/>
      <c r="E946" s="82"/>
      <c r="F946" s="82"/>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6"/>
      <c r="B947" s="6"/>
      <c r="C947" s="6"/>
      <c r="D947" s="82"/>
      <c r="E947" s="82"/>
      <c r="F947" s="82"/>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6"/>
      <c r="B948" s="6"/>
      <c r="C948" s="6"/>
      <c r="D948" s="82"/>
      <c r="E948" s="82"/>
      <c r="F948" s="82"/>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6"/>
      <c r="B949" s="6"/>
      <c r="C949" s="6"/>
      <c r="D949" s="82"/>
      <c r="E949" s="82"/>
      <c r="F949" s="82"/>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6"/>
      <c r="B950" s="6"/>
      <c r="C950" s="6"/>
      <c r="D950" s="82"/>
      <c r="E950" s="82"/>
      <c r="F950" s="82"/>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6"/>
      <c r="B951" s="6"/>
      <c r="C951" s="6"/>
      <c r="D951" s="82"/>
      <c r="E951" s="82"/>
      <c r="F951" s="82"/>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6"/>
      <c r="B952" s="6"/>
      <c r="C952" s="6"/>
      <c r="D952" s="82"/>
      <c r="E952" s="82"/>
      <c r="F952" s="82"/>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6"/>
      <c r="B953" s="6"/>
      <c r="C953" s="6"/>
      <c r="D953" s="82"/>
      <c r="E953" s="82"/>
      <c r="F953" s="82"/>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6"/>
      <c r="B954" s="6"/>
      <c r="C954" s="6"/>
      <c r="D954" s="82"/>
      <c r="E954" s="82"/>
      <c r="F954" s="82"/>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6"/>
      <c r="B955" s="6"/>
      <c r="C955" s="6"/>
      <c r="D955" s="82"/>
      <c r="E955" s="82"/>
      <c r="F955" s="82"/>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6"/>
      <c r="B956" s="6"/>
      <c r="C956" s="6"/>
      <c r="D956" s="82"/>
      <c r="E956" s="82"/>
      <c r="F956" s="82"/>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6"/>
      <c r="B957" s="6"/>
      <c r="C957" s="6"/>
      <c r="D957" s="82"/>
      <c r="E957" s="82"/>
      <c r="F957" s="82"/>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6"/>
      <c r="B958" s="6"/>
      <c r="C958" s="6"/>
      <c r="D958" s="82"/>
      <c r="E958" s="82"/>
      <c r="F958" s="82"/>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6"/>
      <c r="B959" s="6"/>
      <c r="C959" s="6"/>
      <c r="D959" s="82"/>
      <c r="E959" s="82"/>
      <c r="F959" s="82"/>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6"/>
      <c r="B960" s="6"/>
      <c r="C960" s="6"/>
      <c r="D960" s="82"/>
      <c r="E960" s="82"/>
      <c r="F960" s="82"/>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6"/>
      <c r="B961" s="6"/>
      <c r="C961" s="6"/>
      <c r="D961" s="82"/>
      <c r="E961" s="82"/>
      <c r="F961" s="82"/>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6"/>
      <c r="B962" s="6"/>
      <c r="C962" s="6"/>
      <c r="D962" s="82"/>
      <c r="E962" s="82"/>
      <c r="F962" s="82"/>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6"/>
      <c r="B963" s="6"/>
      <c r="C963" s="6"/>
      <c r="D963" s="82"/>
      <c r="E963" s="82"/>
      <c r="F963" s="82"/>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6"/>
      <c r="B964" s="6"/>
      <c r="C964" s="6"/>
      <c r="D964" s="82"/>
      <c r="E964" s="82"/>
      <c r="F964" s="82"/>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6"/>
      <c r="B965" s="6"/>
      <c r="C965" s="6"/>
      <c r="D965" s="82"/>
      <c r="E965" s="82"/>
      <c r="F965" s="82"/>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6"/>
      <c r="B966" s="6"/>
      <c r="C966" s="6"/>
      <c r="D966" s="82"/>
      <c r="E966" s="82"/>
      <c r="F966" s="82"/>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6"/>
      <c r="B967" s="6"/>
      <c r="C967" s="6"/>
      <c r="D967" s="82"/>
      <c r="E967" s="82"/>
      <c r="F967" s="82"/>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6"/>
      <c r="B968" s="6"/>
      <c r="C968" s="6"/>
      <c r="D968" s="82"/>
      <c r="E968" s="82"/>
      <c r="F968" s="82"/>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6"/>
      <c r="B969" s="6"/>
      <c r="C969" s="6"/>
      <c r="D969" s="82"/>
      <c r="E969" s="82"/>
      <c r="F969" s="82"/>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6"/>
      <c r="B970" s="6"/>
      <c r="C970" s="6"/>
      <c r="D970" s="82"/>
      <c r="E970" s="82"/>
      <c r="F970" s="82"/>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6"/>
      <c r="B971" s="6"/>
      <c r="C971" s="6"/>
      <c r="D971" s="82"/>
      <c r="E971" s="82"/>
      <c r="F971" s="82"/>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6"/>
      <c r="B972" s="6"/>
      <c r="C972" s="6"/>
      <c r="D972" s="82"/>
      <c r="E972" s="82"/>
      <c r="F972" s="82"/>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6"/>
      <c r="B973" s="6"/>
      <c r="C973" s="6"/>
      <c r="D973" s="82"/>
      <c r="E973" s="82"/>
      <c r="F973" s="82"/>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6"/>
      <c r="B974" s="6"/>
      <c r="C974" s="6"/>
      <c r="D974" s="82"/>
      <c r="E974" s="82"/>
      <c r="F974" s="82"/>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6"/>
      <c r="B975" s="6"/>
      <c r="C975" s="6"/>
      <c r="D975" s="82"/>
      <c r="E975" s="82"/>
      <c r="F975" s="82"/>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6"/>
      <c r="B976" s="6"/>
      <c r="C976" s="6"/>
      <c r="D976" s="82"/>
      <c r="E976" s="82"/>
      <c r="F976" s="82"/>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6"/>
      <c r="B977" s="6"/>
      <c r="C977" s="6"/>
      <c r="D977" s="82"/>
      <c r="E977" s="82"/>
      <c r="F977" s="82"/>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6"/>
      <c r="B978" s="6"/>
      <c r="C978" s="6"/>
      <c r="D978" s="82"/>
      <c r="E978" s="82"/>
      <c r="F978" s="82"/>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6"/>
      <c r="B979" s="6"/>
      <c r="C979" s="6"/>
      <c r="D979" s="82"/>
      <c r="E979" s="82"/>
      <c r="F979" s="82"/>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6"/>
      <c r="B980" s="6"/>
      <c r="C980" s="6"/>
      <c r="D980" s="82"/>
      <c r="E980" s="82"/>
      <c r="F980" s="82"/>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6"/>
      <c r="B981" s="6"/>
      <c r="C981" s="6"/>
      <c r="D981" s="82"/>
      <c r="E981" s="82"/>
      <c r="F981" s="82"/>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6"/>
      <c r="B982" s="6"/>
      <c r="C982" s="6"/>
      <c r="D982" s="82"/>
      <c r="E982" s="82"/>
      <c r="F982" s="82"/>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6"/>
      <c r="B983" s="6"/>
      <c r="C983" s="6"/>
      <c r="D983" s="82"/>
      <c r="E983" s="82"/>
      <c r="F983" s="82"/>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6"/>
      <c r="B984" s="6"/>
      <c r="C984" s="6"/>
      <c r="D984" s="82"/>
      <c r="E984" s="82"/>
      <c r="F984" s="82"/>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6"/>
      <c r="B985" s="6"/>
      <c r="C985" s="6"/>
      <c r="D985" s="82"/>
      <c r="E985" s="82"/>
      <c r="F985" s="82"/>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6"/>
      <c r="B986" s="6"/>
      <c r="C986" s="6"/>
      <c r="D986" s="82"/>
      <c r="E986" s="82"/>
      <c r="F986" s="82"/>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6"/>
      <c r="B987" s="6"/>
      <c r="C987" s="6"/>
      <c r="D987" s="82"/>
      <c r="E987" s="82"/>
      <c r="F987" s="82"/>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6"/>
      <c r="B988" s="6"/>
      <c r="C988" s="6"/>
      <c r="D988" s="82"/>
      <c r="E988" s="82"/>
      <c r="F988" s="82"/>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6"/>
      <c r="B989" s="6"/>
      <c r="C989" s="6"/>
      <c r="D989" s="82"/>
      <c r="E989" s="82"/>
      <c r="F989" s="82"/>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6"/>
      <c r="B990" s="6"/>
      <c r="C990" s="6"/>
      <c r="D990" s="82"/>
      <c r="E990" s="82"/>
      <c r="F990" s="82"/>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6"/>
      <c r="B991" s="6"/>
      <c r="C991" s="6"/>
      <c r="D991" s="82"/>
      <c r="E991" s="82"/>
      <c r="F991" s="82"/>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6"/>
      <c r="B992" s="6"/>
      <c r="C992" s="6"/>
      <c r="D992" s="82"/>
      <c r="E992" s="82"/>
      <c r="F992" s="82"/>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6"/>
      <c r="B993" s="6"/>
      <c r="C993" s="6"/>
      <c r="D993" s="82"/>
      <c r="E993" s="82"/>
      <c r="F993" s="82"/>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6"/>
      <c r="B994" s="6"/>
      <c r="C994" s="6"/>
      <c r="D994" s="82"/>
      <c r="E994" s="82"/>
      <c r="F994" s="82"/>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6"/>
      <c r="B995" s="6"/>
      <c r="C995" s="6"/>
      <c r="D995" s="82"/>
      <c r="E995" s="82"/>
      <c r="F995" s="82"/>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6"/>
      <c r="B996" s="6"/>
      <c r="C996" s="6"/>
      <c r="D996" s="82"/>
      <c r="E996" s="82"/>
      <c r="F996" s="82"/>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6"/>
      <c r="B997" s="6"/>
      <c r="C997" s="6"/>
      <c r="D997" s="82"/>
      <c r="E997" s="82"/>
      <c r="F997" s="82"/>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6"/>
      <c r="B998" s="6"/>
      <c r="C998" s="6"/>
      <c r="D998" s="82"/>
      <c r="E998" s="82"/>
      <c r="F998" s="82"/>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6"/>
      <c r="B999" s="6"/>
      <c r="C999" s="6"/>
      <c r="D999" s="82"/>
      <c r="E999" s="82"/>
      <c r="F999" s="82"/>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6"/>
      <c r="B1000" s="6"/>
      <c r="C1000" s="6"/>
      <c r="D1000" s="82"/>
      <c r="E1000" s="82"/>
      <c r="F1000" s="82"/>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B2:G2"/>
    <mergeCell ref="B9:G9"/>
    <mergeCell ref="B12:G12"/>
  </mergeCells>
  <printOptions horizontalCentered="1"/>
  <pageMargins left="0.51181102362204722" right="0.51181102362204722" top="0.55118110236220474" bottom="0.55118110236220474" header="0" footer="0"/>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A8D08D"/>
    <pageSetUpPr fitToPage="1"/>
  </sheetPr>
  <dimension ref="A1:Z999"/>
  <sheetViews>
    <sheetView showGridLines="0" zoomScale="80" zoomScaleNormal="80" workbookViewId="0">
      <selection activeCell="K10" sqref="K10"/>
    </sheetView>
  </sheetViews>
  <sheetFormatPr baseColWidth="10" defaultColWidth="14.44140625" defaultRowHeight="15" customHeight="1" x14ac:dyDescent="0.3"/>
  <cols>
    <col min="1" max="1" width="33" customWidth="1"/>
    <col min="2" max="2" width="59.44140625" customWidth="1"/>
    <col min="3" max="3" width="13.88671875" customWidth="1"/>
    <col min="4" max="4" width="17.88671875" customWidth="1"/>
    <col min="5" max="5" width="16" customWidth="1"/>
    <col min="6" max="6" width="12.6640625" customWidth="1"/>
    <col min="7" max="7" width="19.88671875" customWidth="1"/>
    <col min="8" max="8" width="13.6640625" customWidth="1"/>
    <col min="9" max="9" width="18.109375" customWidth="1"/>
    <col min="10" max="10" width="16.5546875" customWidth="1"/>
    <col min="11" max="11" width="26.5546875" bestFit="1" customWidth="1"/>
    <col min="12" max="12" width="37.109375" customWidth="1"/>
    <col min="13" max="13" width="14.5546875" customWidth="1"/>
    <col min="14" max="26" width="10.6640625" customWidth="1"/>
  </cols>
  <sheetData>
    <row r="1" spans="1:26" ht="6" customHeight="1" x14ac:dyDescent="0.3">
      <c r="A1" s="148"/>
      <c r="B1" s="6"/>
      <c r="C1" s="6"/>
      <c r="D1" s="82"/>
      <c r="E1" s="6"/>
      <c r="F1" s="6"/>
      <c r="G1" s="6"/>
      <c r="H1" s="82"/>
      <c r="I1" s="6"/>
      <c r="J1" s="6"/>
      <c r="K1" s="1"/>
      <c r="L1" s="1"/>
      <c r="M1" s="1"/>
      <c r="N1" s="1"/>
      <c r="O1" s="1"/>
      <c r="P1" s="1"/>
      <c r="Q1" s="1"/>
      <c r="R1" s="1"/>
      <c r="S1" s="1"/>
      <c r="T1" s="1"/>
      <c r="U1" s="1"/>
      <c r="V1" s="1"/>
      <c r="W1" s="1"/>
      <c r="X1" s="1"/>
      <c r="Y1" s="1"/>
      <c r="Z1" s="1"/>
    </row>
    <row r="2" spans="1:26" ht="31.5" customHeight="1" x14ac:dyDescent="0.3">
      <c r="A2" s="475" t="s">
        <v>267</v>
      </c>
      <c r="B2" s="420"/>
      <c r="C2" s="420"/>
      <c r="D2" s="420"/>
      <c r="E2" s="420"/>
      <c r="F2" s="420"/>
      <c r="G2" s="434"/>
      <c r="H2" s="420"/>
      <c r="I2" s="420"/>
      <c r="J2" s="6"/>
      <c r="K2" s="1"/>
      <c r="L2" s="1"/>
      <c r="M2" s="1"/>
      <c r="N2" s="1"/>
      <c r="O2" s="1"/>
      <c r="P2" s="1"/>
      <c r="Q2" s="1"/>
      <c r="R2" s="1"/>
      <c r="S2" s="1"/>
      <c r="T2" s="1"/>
      <c r="U2" s="1"/>
      <c r="V2" s="1"/>
      <c r="W2" s="1"/>
      <c r="X2" s="1"/>
      <c r="Y2" s="1"/>
      <c r="Z2" s="1"/>
    </row>
    <row r="3" spans="1:26" ht="31.5" customHeight="1" x14ac:dyDescent="0.3">
      <c r="A3" s="475">
        <f>+PPTO!A2</f>
        <v>0</v>
      </c>
      <c r="B3" s="420"/>
      <c r="C3" s="420"/>
      <c r="D3" s="420"/>
      <c r="E3" s="420"/>
      <c r="F3" s="420"/>
      <c r="G3" s="420"/>
      <c r="H3" s="420"/>
      <c r="I3" s="420"/>
      <c r="J3" s="6"/>
      <c r="K3" s="1"/>
      <c r="L3" s="1"/>
      <c r="M3" s="1"/>
      <c r="N3" s="1"/>
      <c r="O3" s="1"/>
      <c r="P3" s="1"/>
      <c r="Q3" s="1"/>
      <c r="R3" s="1"/>
      <c r="S3" s="1"/>
      <c r="T3" s="1"/>
      <c r="U3" s="1"/>
      <c r="V3" s="1"/>
      <c r="W3" s="1"/>
      <c r="X3" s="1"/>
      <c r="Y3" s="1"/>
      <c r="Z3" s="1"/>
    </row>
    <row r="4" spans="1:26" ht="31.5" customHeight="1" x14ac:dyDescent="0.3">
      <c r="A4" s="475" t="s">
        <v>391</v>
      </c>
      <c r="B4" s="420"/>
      <c r="C4" s="420"/>
      <c r="D4" s="420"/>
      <c r="E4" s="420"/>
      <c r="F4" s="420"/>
      <c r="G4" s="420"/>
      <c r="H4" s="420"/>
      <c r="I4" s="420"/>
      <c r="J4" s="6"/>
      <c r="K4" s="1"/>
      <c r="L4" s="1"/>
      <c r="M4" s="1"/>
      <c r="N4" s="1"/>
      <c r="O4" s="1"/>
      <c r="P4" s="1"/>
      <c r="Q4" s="1"/>
      <c r="R4" s="1"/>
      <c r="S4" s="1"/>
      <c r="T4" s="1"/>
      <c r="U4" s="1"/>
      <c r="V4" s="1"/>
      <c r="W4" s="1"/>
      <c r="X4" s="1"/>
      <c r="Y4" s="1"/>
      <c r="Z4" s="1"/>
    </row>
    <row r="5" spans="1:26" ht="14.4" x14ac:dyDescent="0.3">
      <c r="A5" s="148"/>
      <c r="B5" s="6"/>
      <c r="C5" s="6"/>
      <c r="D5" s="82"/>
      <c r="E5" s="6"/>
      <c r="F5" s="6"/>
      <c r="G5" s="6"/>
      <c r="H5" s="82"/>
      <c r="I5" s="6"/>
      <c r="J5" s="6"/>
      <c r="K5" s="1"/>
      <c r="L5" s="1"/>
      <c r="M5" s="1"/>
      <c r="N5" s="1"/>
      <c r="O5" s="1"/>
      <c r="P5" s="1"/>
      <c r="Q5" s="1"/>
      <c r="R5" s="1"/>
      <c r="S5" s="1"/>
      <c r="T5" s="1"/>
      <c r="U5" s="1"/>
      <c r="V5" s="1"/>
      <c r="W5" s="1"/>
      <c r="X5" s="1"/>
      <c r="Y5" s="1"/>
      <c r="Z5" s="1"/>
    </row>
    <row r="6" spans="1:26" ht="48" customHeight="1" x14ac:dyDescent="0.3">
      <c r="A6" s="476" t="s">
        <v>392</v>
      </c>
      <c r="B6" s="372"/>
      <c r="C6" s="372"/>
      <c r="D6" s="372"/>
      <c r="E6" s="372"/>
      <c r="F6" s="372"/>
      <c r="G6" s="372"/>
      <c r="H6" s="372"/>
      <c r="I6" s="373"/>
      <c r="J6" s="6"/>
      <c r="K6" s="1"/>
      <c r="L6" s="1"/>
      <c r="M6" s="1"/>
      <c r="N6" s="1"/>
      <c r="O6" s="1"/>
      <c r="P6" s="1"/>
      <c r="Q6" s="1"/>
      <c r="R6" s="1"/>
      <c r="S6" s="1"/>
      <c r="T6" s="1"/>
      <c r="U6" s="1"/>
      <c r="V6" s="1"/>
      <c r="W6" s="1"/>
      <c r="X6" s="1"/>
      <c r="Y6" s="1"/>
      <c r="Z6" s="1"/>
    </row>
    <row r="7" spans="1:26" ht="14.4" x14ac:dyDescent="0.3">
      <c r="A7" s="140" t="s">
        <v>393</v>
      </c>
      <c r="B7" s="140" t="s">
        <v>394</v>
      </c>
      <c r="C7" s="140" t="s">
        <v>395</v>
      </c>
      <c r="D7" s="149" t="s">
        <v>396</v>
      </c>
      <c r="E7" s="140" t="s">
        <v>397</v>
      </c>
      <c r="F7" s="140" t="s">
        <v>278</v>
      </c>
      <c r="G7" s="140" t="s">
        <v>398</v>
      </c>
      <c r="H7" s="149" t="s">
        <v>399</v>
      </c>
      <c r="I7" s="74"/>
      <c r="J7" s="6"/>
      <c r="K7" s="1"/>
      <c r="L7" s="1"/>
      <c r="M7" s="1"/>
      <c r="N7" s="1"/>
      <c r="O7" s="1"/>
      <c r="P7" s="1"/>
      <c r="Q7" s="1"/>
      <c r="R7" s="1"/>
      <c r="S7" s="1"/>
      <c r="T7" s="1"/>
      <c r="U7" s="1"/>
      <c r="V7" s="1"/>
      <c r="W7" s="1"/>
      <c r="X7" s="1"/>
      <c r="Y7" s="1"/>
      <c r="Z7" s="1"/>
    </row>
    <row r="8" spans="1:26" ht="28.8" x14ac:dyDescent="0.3">
      <c r="A8" s="140" t="s">
        <v>352</v>
      </c>
      <c r="B8" s="140" t="s">
        <v>353</v>
      </c>
      <c r="C8" s="140" t="s">
        <v>46</v>
      </c>
      <c r="D8" s="149" t="s">
        <v>400</v>
      </c>
      <c r="E8" s="140" t="s">
        <v>401</v>
      </c>
      <c r="F8" s="140" t="s">
        <v>402</v>
      </c>
      <c r="G8" s="140" t="s">
        <v>403</v>
      </c>
      <c r="H8" s="149" t="s">
        <v>404</v>
      </c>
      <c r="I8" s="140" t="s">
        <v>405</v>
      </c>
      <c r="J8" s="6"/>
      <c r="K8" s="1"/>
      <c r="L8" s="1"/>
      <c r="M8" s="1"/>
      <c r="N8" s="1"/>
      <c r="O8" s="1"/>
      <c r="P8" s="1"/>
      <c r="Q8" s="1"/>
      <c r="R8" s="1"/>
      <c r="S8" s="1"/>
      <c r="T8" s="1"/>
      <c r="U8" s="1"/>
      <c r="V8" s="1"/>
      <c r="W8" s="1"/>
      <c r="X8" s="1"/>
      <c r="Y8" s="1"/>
      <c r="Z8" s="1"/>
    </row>
    <row r="9" spans="1:26" ht="132" customHeight="1" x14ac:dyDescent="0.3">
      <c r="A9" s="140" t="str">
        <f>+'CÁLCULO ADMINISTRACIÓN '!C11</f>
        <v>Director de obra</v>
      </c>
      <c r="B9" s="150" t="str">
        <f>+'CÁLCULO ADMINISTRACIÓN '!D11</f>
        <v>Título de ingeniero Civil o Arquitecto. Experiencia general de de SEIS (06) años contados a partir de la expedición de la tarjeta profesional, y Experiencia especifica certificada de DOS (02) años como residente de obra de construcción, de los cuales deberá demostrar un (1) proyecto en ampliación y/o adecuación.</v>
      </c>
      <c r="C9" s="140">
        <f>+'CÁLCULO ADMINISTRACIÓN '!E11</f>
        <v>1</v>
      </c>
      <c r="D9" s="206">
        <f>+'CÁLCULO ADMINISTRACIÓN '!I11</f>
        <v>5180712</v>
      </c>
      <c r="E9" s="203">
        <f>+'CÁLCULO ADMINISTRACIÓN '!G11</f>
        <v>0.5</v>
      </c>
      <c r="F9" s="203">
        <f>+'CÁLCULO ADMINISTRACIÓN '!J11</f>
        <v>1.623</v>
      </c>
      <c r="G9" s="295">
        <f>ROUND((+C9*D9*E9*F9),2)</f>
        <v>4204147.79</v>
      </c>
      <c r="H9" s="203">
        <f>+'CÁLCULO ADMINISTRACIÓN '!H11</f>
        <v>3</v>
      </c>
      <c r="I9" s="204">
        <f>+ROUND(G9*H9,0)</f>
        <v>12612443</v>
      </c>
      <c r="J9" s="151" t="s">
        <v>406</v>
      </c>
      <c r="K9" s="201"/>
      <c r="L9" s="202"/>
      <c r="M9" s="1"/>
      <c r="N9" s="1"/>
      <c r="O9" s="1"/>
      <c r="P9" s="1"/>
      <c r="Q9" s="1"/>
      <c r="R9" s="1"/>
      <c r="S9" s="1"/>
      <c r="T9" s="1"/>
      <c r="U9" s="1"/>
      <c r="V9" s="1"/>
      <c r="W9" s="1"/>
      <c r="X9" s="1"/>
      <c r="Y9" s="1"/>
      <c r="Z9" s="1"/>
    </row>
    <row r="10" spans="1:26" ht="111.75" customHeight="1" x14ac:dyDescent="0.3">
      <c r="A10" s="140" t="e">
        <f>+'CÁLCULO ADMINISTRACIÓN '!#REF!</f>
        <v>#REF!</v>
      </c>
      <c r="B10" s="150" t="e">
        <f>+'CÁLCULO ADMINISTRACIÓN '!#REF!</f>
        <v>#REF!</v>
      </c>
      <c r="C10" s="140" t="e">
        <f>+'CÁLCULO ADMINISTRACIÓN '!#REF!</f>
        <v>#REF!</v>
      </c>
      <c r="D10" s="206" t="e">
        <f>+'CÁLCULO ADMINISTRACIÓN '!#REF!</f>
        <v>#REF!</v>
      </c>
      <c r="E10" s="203" t="e">
        <f>+'CÁLCULO ADMINISTRACIÓN '!#REF!</f>
        <v>#REF!</v>
      </c>
      <c r="F10" s="203" t="e">
        <f>+'CÁLCULO ADMINISTRACIÓN '!#REF!</f>
        <v>#REF!</v>
      </c>
      <c r="G10" s="295" t="e">
        <f>ROUND((+C10*D10*E10*F10),2)</f>
        <v>#REF!</v>
      </c>
      <c r="H10" s="203" t="e">
        <f>+'CÁLCULO ADMINISTRACIÓN '!#REF!</f>
        <v>#REF!</v>
      </c>
      <c r="I10" s="204" t="e">
        <f t="shared" ref="I10:I17" si="0">+ROUND(G10*H10,0)</f>
        <v>#REF!</v>
      </c>
      <c r="J10" s="151" t="s">
        <v>407</v>
      </c>
      <c r="K10" s="1"/>
      <c r="L10" s="1"/>
      <c r="M10" s="1"/>
      <c r="N10" s="1"/>
      <c r="O10" s="1"/>
      <c r="P10" s="1"/>
      <c r="Q10" s="1"/>
      <c r="R10" s="1"/>
      <c r="S10" s="1"/>
      <c r="T10" s="1"/>
      <c r="U10" s="1"/>
      <c r="V10" s="1"/>
      <c r="W10" s="1"/>
      <c r="X10" s="1"/>
      <c r="Y10" s="1"/>
      <c r="Z10" s="1"/>
    </row>
    <row r="11" spans="1:26" ht="111.75" customHeight="1" x14ac:dyDescent="0.3">
      <c r="A11" s="140" t="str">
        <f>+'CÁLCULO ADMINISTRACIÓN '!C12</f>
        <v>Tecnologo Eléctrico</v>
      </c>
      <c r="B11" s="150" t="str">
        <f>+'CÁLCULO ADMINISTRACIÓN '!D12</f>
        <v>Tecnologo eléctrico o electricista. Experiencia general de de TRES (03) años contados a partir de la expedición de la tarjeta profesional, y Experiencia especifica certificada de DOS (02) años como Tecnologo electrico o ingeniero electricista en contratos de Obra de Construcción y en sistemas fotovoltaicos</v>
      </c>
      <c r="C11" s="140">
        <f>+'CÁLCULO ADMINISTRACIÓN '!E12</f>
        <v>1</v>
      </c>
      <c r="D11" s="206">
        <f>+'CÁLCULO ADMINISTRACIÓN '!I12</f>
        <v>1776946</v>
      </c>
      <c r="E11" s="203">
        <f>+'CÁLCULO ADMINISTRACIÓN '!G12</f>
        <v>0.5</v>
      </c>
      <c r="F11" s="203">
        <f>+'CÁLCULO ADMINISTRACIÓN '!J12</f>
        <v>1.623</v>
      </c>
      <c r="G11" s="295">
        <f t="shared" ref="G11:G13" si="1">ROUND((+C11*D11*E11*F11),2)</f>
        <v>1441991.6799999999</v>
      </c>
      <c r="H11" s="203">
        <f>+'CÁLCULO ADMINISTRACIÓN '!H12</f>
        <v>2</v>
      </c>
      <c r="I11" s="204">
        <f>+ROUND(G11*H11,0)</f>
        <v>2883983</v>
      </c>
      <c r="J11" s="151" t="s">
        <v>408</v>
      </c>
      <c r="K11" s="1"/>
      <c r="L11" s="1"/>
      <c r="M11" s="1"/>
      <c r="N11" s="1"/>
      <c r="O11" s="1"/>
      <c r="P11" s="1"/>
      <c r="Q11" s="1"/>
      <c r="R11" s="1"/>
      <c r="S11" s="1"/>
      <c r="T11" s="1"/>
      <c r="U11" s="1"/>
      <c r="V11" s="1"/>
      <c r="W11" s="1"/>
      <c r="X11" s="1"/>
      <c r="Y11" s="1"/>
      <c r="Z11" s="1"/>
    </row>
    <row r="12" spans="1:26" ht="111.75" customHeight="1" x14ac:dyDescent="0.3">
      <c r="A12" s="140" t="str">
        <f>+'CÁLCULO ADMINISTRACIÓN '!C13</f>
        <v>Profesional hidrosanitario</v>
      </c>
      <c r="B12" s="150" t="str">
        <f>+'CÁLCULO ADMINISTRACIÓN '!D13</f>
        <v>Título de ingeniero Civil y/o sanitario o afines. Experiencia general de TRES (03) años contados a partir de la expedición de la tarjeta profesional, y Experiencia especifica certificada de DOS (02) años en obras hidráulicas e hidrosanitarias en contratos de Construcción.</v>
      </c>
      <c r="C12" s="140">
        <f>+'CÁLCULO ADMINISTRACIÓN '!E13</f>
        <v>1</v>
      </c>
      <c r="D12" s="206">
        <f>+'CÁLCULO ADMINISTRACIÓN '!I13</f>
        <v>2915615</v>
      </c>
      <c r="E12" s="203">
        <f>+'CÁLCULO ADMINISTRACIÓN '!G13</f>
        <v>0.2</v>
      </c>
      <c r="F12" s="203">
        <f>+'CÁLCULO ADMINISTRACIÓN '!J13</f>
        <v>1.623</v>
      </c>
      <c r="G12" s="295">
        <f t="shared" si="1"/>
        <v>946408.63</v>
      </c>
      <c r="H12" s="203">
        <f>+'CÁLCULO ADMINISTRACIÓN '!H13</f>
        <v>2</v>
      </c>
      <c r="I12" s="204">
        <f t="shared" si="0"/>
        <v>1892817</v>
      </c>
      <c r="J12" s="151" t="s">
        <v>408</v>
      </c>
      <c r="K12" s="1"/>
      <c r="L12" s="1"/>
      <c r="M12" s="1"/>
      <c r="N12" s="1"/>
      <c r="O12" s="1"/>
      <c r="P12" s="1"/>
      <c r="Q12" s="1"/>
      <c r="R12" s="1"/>
      <c r="S12" s="1"/>
      <c r="T12" s="1"/>
      <c r="U12" s="1"/>
      <c r="V12" s="1"/>
      <c r="W12" s="1"/>
      <c r="X12" s="1"/>
      <c r="Y12" s="1"/>
      <c r="Z12" s="1"/>
    </row>
    <row r="13" spans="1:26" ht="150.75" customHeight="1" x14ac:dyDescent="0.3">
      <c r="A13" s="140" t="str">
        <f>+'CÁLCULO ADMINISTRACIÓN '!C14</f>
        <v>Ingeniero SISOMA</v>
      </c>
      <c r="B13" s="150" t="str">
        <f>+'CÁLCULO ADMINISTRACIÓN '!D14</f>
        <v>INGENIERO PROFESIONAL SISOMA.
Ingeniero ambiental con posgrado en SST (Seguridad y Salud en el trabajo), o afines, con licencia vigente. Experiencia general de CUATRO (04) años contados a partir de la expedición de la tarjeta profesional, y Experiencia especifica certificada de TRES (03) años como residente SISOMA (Seguridad Industrial, Seguridad Ocupacional y Medio Ambiente).</v>
      </c>
      <c r="C13" s="140">
        <f>+'CÁLCULO ADMINISTRACIÓN '!E14</f>
        <v>1</v>
      </c>
      <c r="D13" s="206">
        <f>+'CÁLCULO ADMINISTRACIÓN '!I14</f>
        <v>3163858</v>
      </c>
      <c r="E13" s="203">
        <f>+'CÁLCULO ADMINISTRACIÓN '!G14</f>
        <v>0.5</v>
      </c>
      <c r="F13" s="203">
        <f>+'CÁLCULO ADMINISTRACIÓN '!J14</f>
        <v>1.623</v>
      </c>
      <c r="G13" s="78">
        <f t="shared" si="1"/>
        <v>2567470.77</v>
      </c>
      <c r="H13" s="203">
        <f>+'CÁLCULO ADMINISTRACIÓN '!H14</f>
        <v>3</v>
      </c>
      <c r="I13" s="204">
        <f t="shared" si="0"/>
        <v>7702412</v>
      </c>
      <c r="J13" s="151" t="s">
        <v>408</v>
      </c>
      <c r="K13" s="1"/>
      <c r="L13" s="152"/>
      <c r="M13" s="1"/>
      <c r="N13" s="1"/>
      <c r="O13" s="1"/>
      <c r="P13" s="1"/>
      <c r="Q13" s="1"/>
      <c r="R13" s="1"/>
      <c r="S13" s="1"/>
      <c r="T13" s="1"/>
      <c r="U13" s="1"/>
      <c r="V13" s="1"/>
      <c r="W13" s="1"/>
      <c r="X13" s="1"/>
      <c r="Y13" s="1"/>
      <c r="Z13" s="1"/>
    </row>
    <row r="14" spans="1:26" ht="111.75" hidden="1" customHeight="1" x14ac:dyDescent="0.3">
      <c r="A14" s="140" t="e">
        <f>+'CÁLCULO ADMINISTRACIÓN '!#REF!</f>
        <v>#REF!</v>
      </c>
      <c r="B14" s="150" t="e">
        <f>+'CÁLCULO ADMINISTRACIÓN '!#REF!</f>
        <v>#REF!</v>
      </c>
      <c r="C14" s="140" t="e">
        <f>+'CÁLCULO ADMINISTRACIÓN '!#REF!</f>
        <v>#REF!</v>
      </c>
      <c r="D14" s="203" t="e">
        <f>+'CÁLCULO ADMINISTRACIÓN '!#REF!</f>
        <v>#REF!</v>
      </c>
      <c r="E14" s="203" t="e">
        <f>+'CÁLCULO ADMINISTRACIÓN '!#REF!</f>
        <v>#REF!</v>
      </c>
      <c r="F14" s="203" t="e">
        <f>+'CÁLCULO ADMINISTRACIÓN '!#REF!</f>
        <v>#REF!</v>
      </c>
      <c r="G14" s="78" t="e">
        <f t="shared" ref="G14:G17" si="2">(+C14*D14*E14*F14)</f>
        <v>#REF!</v>
      </c>
      <c r="H14" s="203" t="e">
        <f>+'CÁLCULO ADMINISTRACIÓN '!#REF!</f>
        <v>#REF!</v>
      </c>
      <c r="I14" s="204" t="e">
        <f t="shared" si="0"/>
        <v>#REF!</v>
      </c>
      <c r="J14" s="151" t="s">
        <v>409</v>
      </c>
      <c r="K14" s="1"/>
      <c r="L14" s="1"/>
      <c r="M14" s="1"/>
      <c r="N14" s="1"/>
      <c r="O14" s="1"/>
      <c r="P14" s="1"/>
      <c r="Q14" s="1"/>
      <c r="R14" s="1"/>
      <c r="S14" s="1"/>
      <c r="T14" s="1"/>
      <c r="U14" s="1"/>
      <c r="V14" s="1"/>
      <c r="W14" s="1"/>
      <c r="X14" s="1"/>
      <c r="Y14" s="1"/>
      <c r="Z14" s="1"/>
    </row>
    <row r="15" spans="1:26" ht="111.75" hidden="1" customHeight="1" x14ac:dyDescent="0.3">
      <c r="A15" s="140" t="e">
        <f>+'CÁLCULO ADMINISTRACIÓN '!#REF!</f>
        <v>#REF!</v>
      </c>
      <c r="B15" s="150" t="e">
        <f>+'CÁLCULO ADMINISTRACIÓN '!#REF!</f>
        <v>#REF!</v>
      </c>
      <c r="C15" s="140" t="e">
        <f>+'CÁLCULO ADMINISTRACIÓN '!#REF!</f>
        <v>#REF!</v>
      </c>
      <c r="D15" s="203" t="e">
        <f>+'CÁLCULO ADMINISTRACIÓN '!#REF!</f>
        <v>#REF!</v>
      </c>
      <c r="E15" s="203" t="e">
        <f>+'CÁLCULO ADMINISTRACIÓN '!#REF!</f>
        <v>#REF!</v>
      </c>
      <c r="F15" s="203" t="e">
        <f>+'CÁLCULO ADMINISTRACIÓN '!#REF!</f>
        <v>#REF!</v>
      </c>
      <c r="G15" s="78" t="e">
        <f t="shared" si="2"/>
        <v>#REF!</v>
      </c>
      <c r="H15" s="203" t="e">
        <f>+'CÁLCULO ADMINISTRACIÓN '!#REF!</f>
        <v>#REF!</v>
      </c>
      <c r="I15" s="204" t="e">
        <f t="shared" si="0"/>
        <v>#REF!</v>
      </c>
      <c r="J15" s="151">
        <v>44292</v>
      </c>
      <c r="K15" s="1"/>
      <c r="L15" s="1"/>
      <c r="M15" s="1"/>
      <c r="N15" s="1"/>
      <c r="O15" s="1"/>
      <c r="P15" s="1"/>
      <c r="Q15" s="1"/>
      <c r="R15" s="1"/>
      <c r="S15" s="1"/>
      <c r="T15" s="1"/>
      <c r="U15" s="1"/>
      <c r="V15" s="1"/>
      <c r="W15" s="1"/>
      <c r="X15" s="1"/>
      <c r="Y15" s="1"/>
      <c r="Z15" s="1"/>
    </row>
    <row r="16" spans="1:26" ht="111.75" hidden="1" customHeight="1" x14ac:dyDescent="0.3">
      <c r="A16" s="140" t="e">
        <f>+'CÁLCULO ADMINISTRACIÓN '!#REF!</f>
        <v>#REF!</v>
      </c>
      <c r="B16" s="150" t="e">
        <f>+'CÁLCULO ADMINISTRACIÓN '!#REF!</f>
        <v>#REF!</v>
      </c>
      <c r="C16" s="140" t="e">
        <f>+'CÁLCULO ADMINISTRACIÓN '!#REF!</f>
        <v>#REF!</v>
      </c>
      <c r="D16" s="203" t="e">
        <f>+'CÁLCULO ADMINISTRACIÓN '!#REF!</f>
        <v>#REF!</v>
      </c>
      <c r="E16" s="203" t="e">
        <f>+'CÁLCULO ADMINISTRACIÓN '!#REF!</f>
        <v>#REF!</v>
      </c>
      <c r="F16" s="203" t="e">
        <f>+'CÁLCULO ADMINISTRACIÓN '!#REF!</f>
        <v>#REF!</v>
      </c>
      <c r="G16" s="78" t="e">
        <f t="shared" si="2"/>
        <v>#REF!</v>
      </c>
      <c r="H16" s="203" t="e">
        <f>+'CÁLCULO ADMINISTRACIÓN '!#REF!</f>
        <v>#REF!</v>
      </c>
      <c r="I16" s="204" t="e">
        <f t="shared" si="0"/>
        <v>#REF!</v>
      </c>
      <c r="J16" s="151">
        <v>44292</v>
      </c>
      <c r="K16" s="1"/>
      <c r="L16" s="1"/>
      <c r="M16" s="1"/>
      <c r="N16" s="1"/>
      <c r="O16" s="1"/>
      <c r="P16" s="1"/>
      <c r="Q16" s="1"/>
      <c r="R16" s="1"/>
      <c r="S16" s="1"/>
      <c r="T16" s="1"/>
      <c r="U16" s="1"/>
      <c r="V16" s="1"/>
      <c r="W16" s="1"/>
      <c r="X16" s="1"/>
      <c r="Y16" s="1"/>
      <c r="Z16" s="1"/>
    </row>
    <row r="17" spans="1:26" ht="111.75" hidden="1" customHeight="1" x14ac:dyDescent="0.3">
      <c r="A17" s="140" t="e">
        <f>+'CÁLCULO ADMINISTRACIÓN '!#REF!</f>
        <v>#REF!</v>
      </c>
      <c r="B17" s="150" t="e">
        <f>+'CÁLCULO ADMINISTRACIÓN '!#REF!</f>
        <v>#REF!</v>
      </c>
      <c r="C17" s="140" t="e">
        <f>+'CÁLCULO ADMINISTRACIÓN '!#REF!</f>
        <v>#REF!</v>
      </c>
      <c r="D17" s="203" t="e">
        <f>+'CÁLCULO ADMINISTRACIÓN '!#REF!</f>
        <v>#REF!</v>
      </c>
      <c r="E17" s="203" t="e">
        <f>+'CÁLCULO ADMINISTRACIÓN '!#REF!</f>
        <v>#REF!</v>
      </c>
      <c r="F17" s="203" t="e">
        <f>+'CÁLCULO ADMINISTRACIÓN '!#REF!</f>
        <v>#REF!</v>
      </c>
      <c r="G17" s="78" t="e">
        <f t="shared" si="2"/>
        <v>#REF!</v>
      </c>
      <c r="H17" s="203" t="e">
        <f>+'CÁLCULO ADMINISTRACIÓN '!#REF!</f>
        <v>#REF!</v>
      </c>
      <c r="I17" s="204" t="e">
        <f t="shared" si="0"/>
        <v>#REF!</v>
      </c>
      <c r="J17" s="151">
        <v>44292</v>
      </c>
      <c r="K17" s="1"/>
      <c r="L17" s="1"/>
      <c r="M17" s="1"/>
      <c r="N17" s="1"/>
      <c r="O17" s="1"/>
      <c r="P17" s="1"/>
      <c r="Q17" s="1"/>
      <c r="R17" s="1"/>
      <c r="S17" s="1"/>
      <c r="T17" s="1"/>
      <c r="U17" s="1"/>
      <c r="V17" s="1"/>
      <c r="W17" s="1"/>
      <c r="X17" s="1"/>
      <c r="Y17" s="1"/>
      <c r="Z17" s="1"/>
    </row>
    <row r="18" spans="1:26" ht="25.5" customHeight="1" x14ac:dyDescent="0.3">
      <c r="A18" s="474" t="s">
        <v>410</v>
      </c>
      <c r="B18" s="372"/>
      <c r="C18" s="372"/>
      <c r="D18" s="372"/>
      <c r="E18" s="372"/>
      <c r="F18" s="372"/>
      <c r="G18" s="372"/>
      <c r="H18" s="373"/>
      <c r="I18" s="153" t="e">
        <f>SUM(I9:I17)</f>
        <v>#REF!</v>
      </c>
      <c r="J18" s="6"/>
      <c r="K18" s="1"/>
      <c r="L18" s="1"/>
      <c r="M18" s="1"/>
      <c r="N18" s="1"/>
      <c r="O18" s="1"/>
      <c r="P18" s="1"/>
      <c r="Q18" s="1"/>
      <c r="R18" s="1"/>
      <c r="S18" s="1"/>
      <c r="T18" s="1"/>
      <c r="U18" s="1"/>
      <c r="V18" s="1"/>
      <c r="W18" s="1"/>
      <c r="X18" s="1"/>
      <c r="Y18" s="1"/>
      <c r="Z18" s="1"/>
    </row>
    <row r="19" spans="1:26" ht="14.4" x14ac:dyDescent="0.3">
      <c r="A19" s="148"/>
      <c r="B19" s="6"/>
      <c r="C19" s="6"/>
      <c r="D19" s="82"/>
      <c r="E19" s="6"/>
      <c r="F19" s="6"/>
      <c r="G19" s="6"/>
      <c r="H19" s="82"/>
      <c r="I19" s="6"/>
      <c r="J19" s="6"/>
      <c r="K19" s="1"/>
      <c r="L19" s="1"/>
      <c r="M19" s="1"/>
      <c r="N19" s="1"/>
      <c r="O19" s="1"/>
      <c r="P19" s="1"/>
      <c r="Q19" s="1"/>
      <c r="R19" s="1"/>
      <c r="S19" s="1"/>
      <c r="T19" s="1"/>
      <c r="U19" s="1"/>
      <c r="V19" s="1"/>
      <c r="W19" s="1"/>
      <c r="X19" s="1"/>
      <c r="Y19" s="1"/>
      <c r="Z19" s="1"/>
    </row>
    <row r="20" spans="1:26" ht="15.75" customHeight="1" x14ac:dyDescent="0.3">
      <c r="A20" s="148"/>
      <c r="B20" s="6"/>
      <c r="C20" s="6"/>
      <c r="D20" s="82"/>
      <c r="E20" s="6"/>
      <c r="F20" s="6"/>
      <c r="G20" s="6"/>
      <c r="H20" s="82"/>
      <c r="I20" s="6"/>
      <c r="J20" s="6"/>
      <c r="K20" s="1"/>
      <c r="L20" s="1"/>
      <c r="M20" s="1"/>
      <c r="N20" s="1"/>
      <c r="O20" s="1"/>
      <c r="P20" s="1"/>
      <c r="Q20" s="1"/>
      <c r="R20" s="1"/>
      <c r="S20" s="1"/>
      <c r="T20" s="1"/>
      <c r="U20" s="1"/>
      <c r="V20" s="1"/>
      <c r="W20" s="1"/>
      <c r="X20" s="1"/>
      <c r="Y20" s="1"/>
      <c r="Z20" s="1"/>
    </row>
    <row r="21" spans="1:26" ht="15.75" customHeight="1" x14ac:dyDescent="0.3">
      <c r="A21" s="148"/>
      <c r="B21" s="6"/>
      <c r="C21" s="6"/>
      <c r="D21" s="82"/>
      <c r="E21" s="6"/>
      <c r="F21" s="6"/>
      <c r="G21" s="6"/>
      <c r="H21" s="82"/>
      <c r="I21" s="6"/>
      <c r="J21" s="6"/>
      <c r="K21" s="1"/>
      <c r="L21" s="1"/>
      <c r="M21" s="1"/>
      <c r="N21" s="1"/>
      <c r="O21" s="1"/>
      <c r="P21" s="1"/>
      <c r="Q21" s="1"/>
      <c r="R21" s="1"/>
      <c r="S21" s="1"/>
      <c r="T21" s="1"/>
      <c r="U21" s="1"/>
      <c r="V21" s="1"/>
      <c r="W21" s="1"/>
      <c r="X21" s="1"/>
      <c r="Y21" s="1"/>
      <c r="Z21" s="1"/>
    </row>
    <row r="22" spans="1:26" ht="15.75" customHeight="1" x14ac:dyDescent="0.3">
      <c r="A22" s="148"/>
      <c r="B22" s="6"/>
      <c r="C22" s="6"/>
      <c r="D22" s="82"/>
      <c r="E22" s="6"/>
      <c r="F22" s="6"/>
      <c r="G22" s="6"/>
      <c r="H22" s="82"/>
      <c r="I22" s="6"/>
      <c r="J22" s="6"/>
      <c r="K22" s="1"/>
      <c r="L22" s="1"/>
      <c r="M22" s="1"/>
      <c r="N22" s="1"/>
      <c r="O22" s="1"/>
      <c r="P22" s="1"/>
      <c r="Q22" s="1"/>
      <c r="R22" s="1"/>
      <c r="S22" s="1"/>
      <c r="T22" s="1"/>
      <c r="U22" s="1"/>
      <c r="V22" s="1"/>
      <c r="W22" s="1"/>
      <c r="X22" s="1"/>
      <c r="Y22" s="1"/>
      <c r="Z22" s="1"/>
    </row>
    <row r="23" spans="1:26" ht="15.75" customHeight="1" x14ac:dyDescent="0.3">
      <c r="A23" s="148"/>
      <c r="B23" s="6"/>
      <c r="C23" s="6"/>
      <c r="D23" s="82"/>
      <c r="E23" s="6"/>
      <c r="F23" s="6"/>
      <c r="G23" s="6"/>
      <c r="H23" s="82"/>
      <c r="I23" s="6"/>
      <c r="J23" s="6"/>
      <c r="K23" s="1"/>
      <c r="L23" s="1"/>
      <c r="M23" s="1"/>
      <c r="N23" s="1"/>
      <c r="O23" s="1"/>
      <c r="P23" s="1"/>
      <c r="Q23" s="1"/>
      <c r="R23" s="1"/>
      <c r="S23" s="1"/>
      <c r="T23" s="1"/>
      <c r="U23" s="1"/>
      <c r="V23" s="1"/>
      <c r="W23" s="1"/>
      <c r="X23" s="1"/>
      <c r="Y23" s="1"/>
      <c r="Z23" s="1"/>
    </row>
    <row r="24" spans="1:26" ht="15.75" customHeight="1" x14ac:dyDescent="0.3">
      <c r="A24" s="148"/>
      <c r="B24" s="6"/>
      <c r="C24" s="6"/>
      <c r="D24" s="82"/>
      <c r="E24" s="6"/>
      <c r="F24" s="6"/>
      <c r="G24" s="6"/>
      <c r="H24" s="82"/>
      <c r="I24" s="200" t="e">
        <f>SUM(I10)</f>
        <v>#REF!</v>
      </c>
      <c r="J24" s="6"/>
      <c r="K24" s="1"/>
      <c r="L24" s="1"/>
      <c r="M24" s="1"/>
      <c r="N24" s="1"/>
      <c r="O24" s="1"/>
      <c r="P24" s="1"/>
      <c r="Q24" s="1"/>
      <c r="R24" s="1"/>
      <c r="S24" s="1"/>
      <c r="T24" s="1"/>
      <c r="U24" s="1"/>
      <c r="V24" s="1"/>
      <c r="W24" s="1"/>
      <c r="X24" s="1"/>
      <c r="Y24" s="1"/>
      <c r="Z24" s="1"/>
    </row>
    <row r="25" spans="1:26" ht="15.75" customHeight="1" x14ac:dyDescent="0.3">
      <c r="A25" s="148"/>
      <c r="B25" s="6"/>
      <c r="C25" s="6"/>
      <c r="D25" s="82"/>
      <c r="E25" s="6"/>
      <c r="F25" s="6"/>
      <c r="G25" s="6"/>
      <c r="H25" s="82"/>
      <c r="I25" s="205">
        <f>+I9</f>
        <v>12612443</v>
      </c>
      <c r="J25" s="6"/>
      <c r="K25" s="1"/>
      <c r="L25" s="1"/>
      <c r="M25" s="1"/>
      <c r="N25" s="1"/>
      <c r="O25" s="1"/>
      <c r="P25" s="1"/>
      <c r="Q25" s="1"/>
      <c r="R25" s="1"/>
      <c r="S25" s="1"/>
      <c r="T25" s="1"/>
      <c r="U25" s="1"/>
      <c r="V25" s="1"/>
      <c r="W25" s="1"/>
      <c r="X25" s="1"/>
      <c r="Y25" s="1"/>
      <c r="Z25" s="1"/>
    </row>
    <row r="26" spans="1:26" ht="15.75" customHeight="1" x14ac:dyDescent="0.3">
      <c r="A26" s="148"/>
      <c r="B26" s="6"/>
      <c r="C26" s="6"/>
      <c r="D26" s="82"/>
      <c r="E26" s="6"/>
      <c r="F26" s="6"/>
      <c r="G26" s="6"/>
      <c r="H26" s="82"/>
      <c r="I26" s="6"/>
      <c r="J26" s="6"/>
      <c r="K26" s="1"/>
      <c r="L26" s="1"/>
      <c r="M26" s="1"/>
      <c r="N26" s="1"/>
      <c r="O26" s="1"/>
      <c r="P26" s="1"/>
      <c r="Q26" s="1"/>
      <c r="R26" s="1"/>
      <c r="S26" s="1"/>
      <c r="T26" s="1"/>
      <c r="U26" s="1"/>
      <c r="V26" s="1"/>
      <c r="W26" s="1"/>
      <c r="X26" s="1"/>
      <c r="Y26" s="1"/>
      <c r="Z26" s="1"/>
    </row>
    <row r="27" spans="1:26" ht="15.75" customHeight="1" x14ac:dyDescent="0.3">
      <c r="A27" s="148"/>
      <c r="B27" s="6"/>
      <c r="C27" s="6"/>
      <c r="D27" s="82"/>
      <c r="E27" s="6"/>
      <c r="F27" s="6"/>
      <c r="G27" s="6"/>
      <c r="H27" s="82"/>
      <c r="I27" s="6"/>
      <c r="J27" s="6"/>
      <c r="K27" s="1"/>
      <c r="L27" s="1"/>
      <c r="M27" s="1"/>
      <c r="N27" s="1"/>
      <c r="O27" s="1"/>
      <c r="P27" s="1"/>
      <c r="Q27" s="1"/>
      <c r="R27" s="1"/>
      <c r="S27" s="1"/>
      <c r="T27" s="1"/>
      <c r="U27" s="1"/>
      <c r="V27" s="1"/>
      <c r="W27" s="1"/>
      <c r="X27" s="1"/>
      <c r="Y27" s="1"/>
      <c r="Z27" s="1"/>
    </row>
    <row r="28" spans="1:26" ht="15.75" customHeight="1" x14ac:dyDescent="0.3">
      <c r="A28" s="148"/>
      <c r="B28" s="6"/>
      <c r="C28" s="6"/>
      <c r="D28" s="82"/>
      <c r="E28" s="6"/>
      <c r="F28" s="6"/>
      <c r="G28" s="6"/>
      <c r="H28" s="82"/>
      <c r="I28" s="6"/>
      <c r="J28" s="6"/>
      <c r="K28" s="1"/>
      <c r="L28" s="1"/>
      <c r="M28" s="1"/>
      <c r="N28" s="1"/>
      <c r="O28" s="1"/>
      <c r="P28" s="1"/>
      <c r="Q28" s="1"/>
      <c r="R28" s="1"/>
      <c r="S28" s="1"/>
      <c r="T28" s="1"/>
      <c r="U28" s="1"/>
      <c r="V28" s="1"/>
      <c r="W28" s="1"/>
      <c r="X28" s="1"/>
      <c r="Y28" s="1"/>
      <c r="Z28" s="1"/>
    </row>
    <row r="29" spans="1:26" ht="15.75" customHeight="1" x14ac:dyDescent="0.3">
      <c r="A29" s="148"/>
      <c r="B29" s="6"/>
      <c r="C29" s="6"/>
      <c r="D29" s="82"/>
      <c r="E29" s="6"/>
      <c r="F29" s="6"/>
      <c r="G29" s="6"/>
      <c r="H29" s="82"/>
      <c r="I29" s="6"/>
      <c r="J29" s="6"/>
      <c r="K29" s="1"/>
      <c r="L29" s="1"/>
      <c r="M29" s="1"/>
      <c r="N29" s="1"/>
      <c r="O29" s="1"/>
      <c r="P29" s="1"/>
      <c r="Q29" s="1"/>
      <c r="R29" s="1"/>
      <c r="S29" s="1"/>
      <c r="T29" s="1"/>
      <c r="U29" s="1"/>
      <c r="V29" s="1"/>
      <c r="W29" s="1"/>
      <c r="X29" s="1"/>
      <c r="Y29" s="1"/>
      <c r="Z29" s="1"/>
    </row>
    <row r="30" spans="1:26" ht="15.75" customHeight="1" x14ac:dyDescent="0.3">
      <c r="A30" s="148"/>
      <c r="B30" s="6"/>
      <c r="C30" s="6"/>
      <c r="D30" s="82"/>
      <c r="E30" s="6"/>
      <c r="F30" s="6"/>
      <c r="G30" s="6"/>
      <c r="H30" s="82"/>
      <c r="I30" s="6"/>
      <c r="J30" s="6"/>
      <c r="K30" s="1"/>
      <c r="L30" s="1"/>
      <c r="M30" s="1"/>
      <c r="N30" s="1"/>
      <c r="O30" s="1"/>
      <c r="P30" s="1"/>
      <c r="Q30" s="1"/>
      <c r="R30" s="1"/>
      <c r="S30" s="1"/>
      <c r="T30" s="1"/>
      <c r="U30" s="1"/>
      <c r="V30" s="1"/>
      <c r="W30" s="1"/>
      <c r="X30" s="1"/>
      <c r="Y30" s="1"/>
      <c r="Z30" s="1"/>
    </row>
    <row r="31" spans="1:26" ht="15.75" customHeight="1" x14ac:dyDescent="0.3">
      <c r="A31" s="148"/>
      <c r="B31" s="82"/>
      <c r="C31" s="6"/>
      <c r="D31" s="82"/>
      <c r="E31" s="6"/>
      <c r="F31" s="6"/>
      <c r="G31" s="6"/>
      <c r="H31" s="82"/>
      <c r="I31" s="6"/>
      <c r="J31" s="6"/>
      <c r="K31" s="1"/>
      <c r="L31" s="1"/>
      <c r="M31" s="1"/>
      <c r="N31" s="6"/>
      <c r="O31" s="6"/>
      <c r="P31" s="6"/>
      <c r="Q31" s="6"/>
      <c r="R31" s="6"/>
      <c r="S31" s="6"/>
      <c r="T31" s="6"/>
      <c r="U31" s="6"/>
      <c r="V31" s="6"/>
      <c r="W31" s="6"/>
      <c r="X31" s="6"/>
      <c r="Y31" s="6"/>
      <c r="Z31" s="6"/>
    </row>
    <row r="32" spans="1:26" ht="15.75" customHeight="1" x14ac:dyDescent="0.3">
      <c r="A32" s="148"/>
      <c r="B32" s="6"/>
      <c r="C32" s="6"/>
      <c r="D32" s="82"/>
      <c r="E32" s="6"/>
      <c r="F32" s="6"/>
      <c r="G32" s="6"/>
      <c r="H32" s="82"/>
      <c r="I32" s="6"/>
      <c r="J32" s="6"/>
      <c r="K32" s="1"/>
      <c r="L32" s="1"/>
      <c r="M32" s="1"/>
      <c r="N32" s="1"/>
      <c r="O32" s="1"/>
      <c r="P32" s="1"/>
      <c r="Q32" s="1"/>
      <c r="R32" s="1"/>
      <c r="S32" s="1"/>
      <c r="T32" s="1"/>
      <c r="U32" s="1"/>
      <c r="V32" s="1"/>
      <c r="W32" s="1"/>
      <c r="X32" s="1"/>
      <c r="Y32" s="1"/>
      <c r="Z32" s="1"/>
    </row>
    <row r="33" spans="1:26" ht="15.75" customHeight="1" x14ac:dyDescent="0.3">
      <c r="A33" s="148"/>
      <c r="B33" s="82"/>
      <c r="C33" s="6"/>
      <c r="D33" s="82"/>
      <c r="E33" s="6"/>
      <c r="F33" s="6"/>
      <c r="G33" s="6"/>
      <c r="H33" s="82"/>
      <c r="I33" s="6"/>
      <c r="J33" s="6"/>
      <c r="K33" s="1"/>
      <c r="L33" s="1"/>
      <c r="M33" s="1"/>
      <c r="N33" s="6"/>
      <c r="O33" s="6"/>
      <c r="P33" s="6"/>
      <c r="Q33" s="6"/>
      <c r="R33" s="6"/>
      <c r="S33" s="6"/>
      <c r="T33" s="6"/>
      <c r="U33" s="6"/>
      <c r="V33" s="6"/>
      <c r="W33" s="6"/>
      <c r="X33" s="6"/>
      <c r="Y33" s="6"/>
      <c r="Z33" s="6"/>
    </row>
    <row r="34" spans="1:26" ht="15.75" customHeight="1" x14ac:dyDescent="0.3">
      <c r="A34" s="148"/>
      <c r="B34" s="82"/>
      <c r="C34" s="6"/>
      <c r="D34" s="82"/>
      <c r="E34" s="6"/>
      <c r="F34" s="6"/>
      <c r="G34" s="6"/>
      <c r="H34" s="82"/>
      <c r="I34" s="6"/>
      <c r="J34" s="6"/>
      <c r="K34" s="1"/>
      <c r="L34" s="1"/>
      <c r="M34" s="1"/>
      <c r="N34" s="6"/>
      <c r="O34" s="6"/>
      <c r="P34" s="6"/>
      <c r="Q34" s="6"/>
      <c r="R34" s="6"/>
      <c r="S34" s="6"/>
      <c r="T34" s="6"/>
      <c r="U34" s="6"/>
      <c r="V34" s="6"/>
      <c r="W34" s="6"/>
      <c r="X34" s="6"/>
      <c r="Y34" s="6"/>
      <c r="Z34" s="6"/>
    </row>
    <row r="35" spans="1:26" ht="15.75" customHeight="1" x14ac:dyDescent="0.3">
      <c r="A35" s="148"/>
      <c r="B35" s="82"/>
      <c r="C35" s="6"/>
      <c r="D35" s="82"/>
      <c r="E35" s="6"/>
      <c r="F35" s="6"/>
      <c r="G35" s="6"/>
      <c r="H35" s="82"/>
      <c r="I35" s="6"/>
      <c r="J35" s="6"/>
      <c r="K35" s="1"/>
      <c r="L35" s="1"/>
      <c r="M35" s="1"/>
      <c r="N35" s="6"/>
      <c r="O35" s="6"/>
      <c r="P35" s="6"/>
      <c r="Q35" s="6"/>
      <c r="R35" s="6"/>
      <c r="S35" s="6"/>
      <c r="T35" s="6"/>
      <c r="U35" s="6"/>
      <c r="V35" s="6"/>
      <c r="W35" s="6"/>
      <c r="X35" s="6"/>
      <c r="Y35" s="6"/>
      <c r="Z35" s="6"/>
    </row>
    <row r="36" spans="1:26" ht="15.75" customHeight="1" x14ac:dyDescent="0.3">
      <c r="A36" s="148"/>
      <c r="B36" s="82"/>
      <c r="C36" s="6"/>
      <c r="D36" s="82"/>
      <c r="E36" s="6"/>
      <c r="F36" s="6"/>
      <c r="G36" s="6"/>
      <c r="H36" s="82"/>
      <c r="I36" s="6"/>
      <c r="J36" s="6"/>
      <c r="K36" s="1"/>
      <c r="L36" s="1"/>
      <c r="M36" s="1"/>
      <c r="N36" s="6"/>
      <c r="O36" s="6"/>
      <c r="P36" s="6"/>
      <c r="Q36" s="6"/>
      <c r="R36" s="6"/>
      <c r="S36" s="6"/>
      <c r="T36" s="6"/>
      <c r="U36" s="6"/>
      <c r="V36" s="6"/>
      <c r="W36" s="6"/>
      <c r="X36" s="6"/>
      <c r="Y36" s="6"/>
      <c r="Z36" s="6"/>
    </row>
    <row r="37" spans="1:26" ht="15.75" customHeight="1" x14ac:dyDescent="0.3">
      <c r="A37" s="148"/>
      <c r="B37" s="6"/>
      <c r="C37" s="6"/>
      <c r="D37" s="82"/>
      <c r="E37" s="6"/>
      <c r="F37" s="6"/>
      <c r="G37" s="6"/>
      <c r="H37" s="82"/>
      <c r="I37" s="6"/>
      <c r="J37" s="6"/>
      <c r="K37" s="1"/>
      <c r="L37" s="1"/>
      <c r="M37" s="1"/>
      <c r="N37" s="1"/>
      <c r="O37" s="1"/>
      <c r="P37" s="1"/>
      <c r="Q37" s="1"/>
      <c r="R37" s="1"/>
      <c r="S37" s="1"/>
      <c r="T37" s="1"/>
      <c r="U37" s="1"/>
      <c r="V37" s="1"/>
      <c r="W37" s="1"/>
      <c r="X37" s="1"/>
      <c r="Y37" s="1"/>
      <c r="Z37" s="1"/>
    </row>
    <row r="38" spans="1:26" ht="15.75" customHeight="1" x14ac:dyDescent="0.3">
      <c r="A38" s="148"/>
      <c r="B38" s="6"/>
      <c r="C38" s="6"/>
      <c r="D38" s="82"/>
      <c r="E38" s="6"/>
      <c r="F38" s="6"/>
      <c r="G38" s="6"/>
      <c r="H38" s="82"/>
      <c r="I38" s="6"/>
      <c r="J38" s="6"/>
      <c r="K38" s="1"/>
      <c r="L38" s="1"/>
      <c r="M38" s="1"/>
      <c r="N38" s="1"/>
      <c r="O38" s="1"/>
      <c r="P38" s="1"/>
      <c r="Q38" s="1"/>
      <c r="R38" s="1"/>
      <c r="S38" s="1"/>
      <c r="T38" s="1"/>
      <c r="U38" s="1"/>
      <c r="V38" s="1"/>
      <c r="W38" s="1"/>
      <c r="X38" s="1"/>
      <c r="Y38" s="1"/>
      <c r="Z38" s="1"/>
    </row>
    <row r="39" spans="1:26" ht="15.75" customHeight="1" x14ac:dyDescent="0.3">
      <c r="A39" s="148"/>
      <c r="B39" s="6"/>
      <c r="C39" s="6"/>
      <c r="D39" s="82"/>
      <c r="E39" s="6"/>
      <c r="F39" s="6"/>
      <c r="G39" s="6"/>
      <c r="H39" s="82"/>
      <c r="I39" s="6"/>
      <c r="J39" s="6"/>
      <c r="K39" s="1"/>
      <c r="L39" s="1"/>
      <c r="M39" s="1"/>
      <c r="N39" s="1"/>
      <c r="O39" s="1"/>
      <c r="P39" s="1"/>
      <c r="Q39" s="1"/>
      <c r="R39" s="1"/>
      <c r="S39" s="1"/>
      <c r="T39" s="1"/>
      <c r="U39" s="1"/>
      <c r="V39" s="1"/>
      <c r="W39" s="1"/>
      <c r="X39" s="1"/>
      <c r="Y39" s="1"/>
      <c r="Z39" s="1"/>
    </row>
    <row r="40" spans="1:26" ht="15.75" customHeight="1" x14ac:dyDescent="0.3">
      <c r="A40" s="148"/>
      <c r="B40" s="6"/>
      <c r="C40" s="6"/>
      <c r="D40" s="82"/>
      <c r="E40" s="6"/>
      <c r="F40" s="6"/>
      <c r="G40" s="6"/>
      <c r="H40" s="82"/>
      <c r="I40" s="6"/>
      <c r="J40" s="6"/>
      <c r="K40" s="1"/>
      <c r="L40" s="1"/>
      <c r="M40" s="1"/>
      <c r="N40" s="1"/>
      <c r="O40" s="1"/>
      <c r="P40" s="1"/>
      <c r="Q40" s="1"/>
      <c r="R40" s="1"/>
      <c r="S40" s="1"/>
      <c r="T40" s="1"/>
      <c r="U40" s="1"/>
      <c r="V40" s="1"/>
      <c r="W40" s="1"/>
      <c r="X40" s="1"/>
      <c r="Y40" s="1"/>
      <c r="Z40" s="1"/>
    </row>
    <row r="41" spans="1:26" ht="15.75" customHeight="1" x14ac:dyDescent="0.3">
      <c r="A41" s="148"/>
      <c r="B41" s="6"/>
      <c r="C41" s="6"/>
      <c r="D41" s="82"/>
      <c r="E41" s="6"/>
      <c r="F41" s="6"/>
      <c r="G41" s="6"/>
      <c r="H41" s="82"/>
      <c r="I41" s="6"/>
      <c r="J41" s="6"/>
      <c r="K41" s="1"/>
      <c r="L41" s="1"/>
      <c r="M41" s="1"/>
      <c r="N41" s="1"/>
      <c r="O41" s="1"/>
      <c r="P41" s="1"/>
      <c r="Q41" s="1"/>
      <c r="R41" s="1"/>
      <c r="S41" s="1"/>
      <c r="T41" s="1"/>
      <c r="U41" s="1"/>
      <c r="V41" s="1"/>
      <c r="W41" s="1"/>
      <c r="X41" s="1"/>
      <c r="Y41" s="1"/>
      <c r="Z41" s="1"/>
    </row>
    <row r="42" spans="1:26" ht="15.75" customHeight="1" x14ac:dyDescent="0.3">
      <c r="A42" s="148"/>
      <c r="B42" s="6"/>
      <c r="C42" s="6"/>
      <c r="D42" s="82"/>
      <c r="E42" s="6"/>
      <c r="F42" s="6"/>
      <c r="G42" s="6"/>
      <c r="H42" s="82"/>
      <c r="I42" s="6"/>
      <c r="J42" s="6"/>
      <c r="K42" s="1"/>
      <c r="L42" s="1"/>
      <c r="M42" s="1"/>
      <c r="N42" s="1"/>
      <c r="O42" s="1"/>
      <c r="P42" s="1"/>
      <c r="Q42" s="1"/>
      <c r="R42" s="1"/>
      <c r="S42" s="1"/>
      <c r="T42" s="1"/>
      <c r="U42" s="1"/>
      <c r="V42" s="1"/>
      <c r="W42" s="1"/>
      <c r="X42" s="1"/>
      <c r="Y42" s="1"/>
      <c r="Z42" s="1"/>
    </row>
    <row r="43" spans="1:26" ht="15.75" customHeight="1" x14ac:dyDescent="0.3">
      <c r="A43" s="148"/>
      <c r="B43" s="6"/>
      <c r="C43" s="6"/>
      <c r="D43" s="82"/>
      <c r="E43" s="6"/>
      <c r="F43" s="6"/>
      <c r="G43" s="6"/>
      <c r="H43" s="82"/>
      <c r="I43" s="6"/>
      <c r="J43" s="6"/>
      <c r="K43" s="1"/>
      <c r="L43" s="1"/>
      <c r="M43" s="1"/>
      <c r="N43" s="1"/>
      <c r="O43" s="1"/>
      <c r="P43" s="1"/>
      <c r="Q43" s="1"/>
      <c r="R43" s="1"/>
      <c r="S43" s="1"/>
      <c r="T43" s="1"/>
      <c r="U43" s="1"/>
      <c r="V43" s="1"/>
      <c r="W43" s="1"/>
      <c r="X43" s="1"/>
      <c r="Y43" s="1"/>
      <c r="Z43" s="1"/>
    </row>
    <row r="44" spans="1:26" ht="15.75" customHeight="1" x14ac:dyDescent="0.3">
      <c r="A44" s="148"/>
      <c r="B44" s="6"/>
      <c r="C44" s="6"/>
      <c r="D44" s="82"/>
      <c r="E44" s="6"/>
      <c r="F44" s="6"/>
      <c r="G44" s="6"/>
      <c r="H44" s="82"/>
      <c r="I44" s="6"/>
      <c r="J44" s="6"/>
      <c r="K44" s="1"/>
      <c r="L44" s="1"/>
      <c r="M44" s="1"/>
      <c r="N44" s="1"/>
      <c r="O44" s="1"/>
      <c r="P44" s="1"/>
      <c r="Q44" s="1"/>
      <c r="R44" s="1"/>
      <c r="S44" s="1"/>
      <c r="T44" s="1"/>
      <c r="U44" s="1"/>
      <c r="V44" s="1"/>
      <c r="W44" s="1"/>
      <c r="X44" s="1"/>
      <c r="Y44" s="1"/>
      <c r="Z44" s="1"/>
    </row>
    <row r="45" spans="1:26" ht="15.75" customHeight="1" x14ac:dyDescent="0.3">
      <c r="A45" s="148"/>
      <c r="B45" s="6"/>
      <c r="C45" s="6"/>
      <c r="D45" s="82"/>
      <c r="E45" s="6"/>
      <c r="F45" s="6"/>
      <c r="G45" s="6"/>
      <c r="H45" s="82"/>
      <c r="I45" s="6"/>
      <c r="J45" s="6"/>
      <c r="K45" s="1"/>
      <c r="L45" s="1"/>
      <c r="M45" s="1"/>
      <c r="N45" s="1"/>
      <c r="O45" s="1"/>
      <c r="P45" s="1"/>
      <c r="Q45" s="1"/>
      <c r="R45" s="1"/>
      <c r="S45" s="1"/>
      <c r="T45" s="1"/>
      <c r="U45" s="1"/>
      <c r="V45" s="1"/>
      <c r="W45" s="1"/>
      <c r="X45" s="1"/>
      <c r="Y45" s="1"/>
      <c r="Z45" s="1"/>
    </row>
    <row r="46" spans="1:26" ht="15.75" customHeight="1" x14ac:dyDescent="0.3">
      <c r="A46" s="148"/>
      <c r="B46" s="6"/>
      <c r="C46" s="6"/>
      <c r="D46" s="82"/>
      <c r="E46" s="6"/>
      <c r="F46" s="6"/>
      <c r="G46" s="6"/>
      <c r="H46" s="82"/>
      <c r="I46" s="6"/>
      <c r="J46" s="6"/>
      <c r="K46" s="1"/>
      <c r="L46" s="1"/>
      <c r="M46" s="1"/>
      <c r="N46" s="1"/>
      <c r="O46" s="1"/>
      <c r="P46" s="1"/>
      <c r="Q46" s="1"/>
      <c r="R46" s="1"/>
      <c r="S46" s="1"/>
      <c r="T46" s="1"/>
      <c r="U46" s="1"/>
      <c r="V46" s="1"/>
      <c r="W46" s="1"/>
      <c r="X46" s="1"/>
      <c r="Y46" s="1"/>
      <c r="Z46" s="1"/>
    </row>
    <row r="47" spans="1:26" ht="15.75" customHeight="1" x14ac:dyDescent="0.3">
      <c r="A47" s="148"/>
      <c r="B47" s="6"/>
      <c r="C47" s="6"/>
      <c r="D47" s="82"/>
      <c r="E47" s="6"/>
      <c r="F47" s="6"/>
      <c r="G47" s="6"/>
      <c r="H47" s="82"/>
      <c r="I47" s="6"/>
      <c r="J47" s="6"/>
      <c r="K47" s="1"/>
      <c r="L47" s="1"/>
      <c r="M47" s="1"/>
      <c r="N47" s="1"/>
      <c r="O47" s="1"/>
      <c r="P47" s="1"/>
      <c r="Q47" s="1"/>
      <c r="R47" s="1"/>
      <c r="S47" s="1"/>
      <c r="T47" s="1"/>
      <c r="U47" s="1"/>
      <c r="V47" s="1"/>
      <c r="W47" s="1"/>
      <c r="X47" s="1"/>
      <c r="Y47" s="1"/>
      <c r="Z47" s="1"/>
    </row>
    <row r="48" spans="1:26" ht="15.75" customHeight="1" x14ac:dyDescent="0.3">
      <c r="A48" s="148"/>
      <c r="B48" s="6"/>
      <c r="C48" s="6"/>
      <c r="D48" s="82"/>
      <c r="E48" s="6"/>
      <c r="F48" s="6"/>
      <c r="G48" s="6"/>
      <c r="H48" s="82"/>
      <c r="I48" s="6"/>
      <c r="J48" s="6"/>
      <c r="K48" s="1"/>
      <c r="L48" s="1"/>
      <c r="M48" s="1"/>
      <c r="N48" s="1"/>
      <c r="O48" s="1"/>
      <c r="P48" s="1"/>
      <c r="Q48" s="1"/>
      <c r="R48" s="1"/>
      <c r="S48" s="1"/>
      <c r="T48" s="1"/>
      <c r="U48" s="1"/>
      <c r="V48" s="1"/>
      <c r="W48" s="1"/>
      <c r="X48" s="1"/>
      <c r="Y48" s="1"/>
      <c r="Z48" s="1"/>
    </row>
    <row r="49" spans="1:26" ht="15.75" customHeight="1" x14ac:dyDescent="0.3">
      <c r="A49" s="148"/>
      <c r="B49" s="6"/>
      <c r="C49" s="6"/>
      <c r="D49" s="82"/>
      <c r="E49" s="6"/>
      <c r="F49" s="6"/>
      <c r="G49" s="6"/>
      <c r="H49" s="82"/>
      <c r="I49" s="6"/>
      <c r="J49" s="6"/>
      <c r="K49" s="1"/>
      <c r="L49" s="1"/>
      <c r="M49" s="1"/>
      <c r="N49" s="1"/>
      <c r="O49" s="1"/>
      <c r="P49" s="1"/>
      <c r="Q49" s="1"/>
      <c r="R49" s="1"/>
      <c r="S49" s="1"/>
      <c r="T49" s="1"/>
      <c r="U49" s="1"/>
      <c r="V49" s="1"/>
      <c r="W49" s="1"/>
      <c r="X49" s="1"/>
      <c r="Y49" s="1"/>
      <c r="Z49" s="1"/>
    </row>
    <row r="50" spans="1:26" ht="15.75" customHeight="1" x14ac:dyDescent="0.3">
      <c r="A50" s="148"/>
      <c r="B50" s="6"/>
      <c r="C50" s="6"/>
      <c r="D50" s="82"/>
      <c r="E50" s="6"/>
      <c r="F50" s="6"/>
      <c r="G50" s="6"/>
      <c r="H50" s="82"/>
      <c r="I50" s="6"/>
      <c r="J50" s="6"/>
      <c r="K50" s="1"/>
      <c r="L50" s="1"/>
      <c r="M50" s="1"/>
      <c r="N50" s="1"/>
      <c r="O50" s="1"/>
      <c r="P50" s="1"/>
      <c r="Q50" s="1"/>
      <c r="R50" s="1"/>
      <c r="S50" s="1"/>
      <c r="T50" s="1"/>
      <c r="U50" s="1"/>
      <c r="V50" s="1"/>
      <c r="W50" s="1"/>
      <c r="X50" s="1"/>
      <c r="Y50" s="1"/>
      <c r="Z50" s="1"/>
    </row>
    <row r="51" spans="1:26" ht="15.75" customHeight="1" x14ac:dyDescent="0.3">
      <c r="A51" s="148"/>
      <c r="B51" s="6"/>
      <c r="C51" s="6"/>
      <c r="D51" s="82"/>
      <c r="E51" s="6"/>
      <c r="F51" s="6"/>
      <c r="G51" s="6"/>
      <c r="H51" s="82"/>
      <c r="I51" s="6"/>
      <c r="J51" s="6"/>
      <c r="K51" s="1"/>
      <c r="L51" s="1"/>
      <c r="M51" s="1"/>
      <c r="N51" s="1"/>
      <c r="O51" s="1"/>
      <c r="P51" s="1"/>
      <c r="Q51" s="1"/>
      <c r="R51" s="1"/>
      <c r="S51" s="1"/>
      <c r="T51" s="1"/>
      <c r="U51" s="1"/>
      <c r="V51" s="1"/>
      <c r="W51" s="1"/>
      <c r="X51" s="1"/>
      <c r="Y51" s="1"/>
      <c r="Z51" s="1"/>
    </row>
    <row r="52" spans="1:26" ht="15.75" customHeight="1" x14ac:dyDescent="0.3">
      <c r="A52" s="148"/>
      <c r="B52" s="6"/>
      <c r="C52" s="6"/>
      <c r="D52" s="82"/>
      <c r="E52" s="6"/>
      <c r="F52" s="6"/>
      <c r="G52" s="6"/>
      <c r="H52" s="82"/>
      <c r="I52" s="6"/>
      <c r="J52" s="6"/>
      <c r="K52" s="1"/>
      <c r="L52" s="1"/>
      <c r="M52" s="1"/>
      <c r="N52" s="1"/>
      <c r="O52" s="1"/>
      <c r="P52" s="1"/>
      <c r="Q52" s="1"/>
      <c r="R52" s="1"/>
      <c r="S52" s="1"/>
      <c r="T52" s="1"/>
      <c r="U52" s="1"/>
      <c r="V52" s="1"/>
      <c r="W52" s="1"/>
      <c r="X52" s="1"/>
      <c r="Y52" s="1"/>
      <c r="Z52" s="1"/>
    </row>
    <row r="53" spans="1:26" ht="15.75" customHeight="1" x14ac:dyDescent="0.3">
      <c r="A53" s="148"/>
      <c r="B53" s="6"/>
      <c r="C53" s="6"/>
      <c r="D53" s="82"/>
      <c r="E53" s="6"/>
      <c r="F53" s="6"/>
      <c r="G53" s="6"/>
      <c r="H53" s="82"/>
      <c r="I53" s="6"/>
      <c r="J53" s="6"/>
      <c r="K53" s="1"/>
      <c r="L53" s="1"/>
      <c r="M53" s="1"/>
      <c r="N53" s="1"/>
      <c r="O53" s="1"/>
      <c r="P53" s="1"/>
      <c r="Q53" s="1"/>
      <c r="R53" s="1"/>
      <c r="S53" s="1"/>
      <c r="T53" s="1"/>
      <c r="U53" s="1"/>
      <c r="V53" s="1"/>
      <c r="W53" s="1"/>
      <c r="X53" s="1"/>
      <c r="Y53" s="1"/>
      <c r="Z53" s="1"/>
    </row>
    <row r="54" spans="1:26" ht="15.75" customHeight="1" x14ac:dyDescent="0.3">
      <c r="A54" s="148"/>
      <c r="B54" s="6"/>
      <c r="C54" s="6"/>
      <c r="D54" s="82"/>
      <c r="E54" s="6"/>
      <c r="F54" s="6"/>
      <c r="G54" s="6"/>
      <c r="H54" s="82"/>
      <c r="I54" s="6"/>
      <c r="J54" s="6"/>
      <c r="K54" s="1"/>
      <c r="L54" s="1"/>
      <c r="M54" s="1"/>
      <c r="N54" s="1"/>
      <c r="O54" s="1"/>
      <c r="P54" s="1"/>
      <c r="Q54" s="1"/>
      <c r="R54" s="1"/>
      <c r="S54" s="1"/>
      <c r="T54" s="1"/>
      <c r="U54" s="1"/>
      <c r="V54" s="1"/>
      <c r="W54" s="1"/>
      <c r="X54" s="1"/>
      <c r="Y54" s="1"/>
      <c r="Z54" s="1"/>
    </row>
    <row r="55" spans="1:26" ht="15.75" customHeight="1" x14ac:dyDescent="0.3">
      <c r="A55" s="148"/>
      <c r="B55" s="6"/>
      <c r="C55" s="6"/>
      <c r="D55" s="82"/>
      <c r="E55" s="6"/>
      <c r="F55" s="6"/>
      <c r="G55" s="6"/>
      <c r="H55" s="82"/>
      <c r="I55" s="6"/>
      <c r="J55" s="6"/>
      <c r="K55" s="1"/>
      <c r="L55" s="1"/>
      <c r="M55" s="1"/>
      <c r="N55" s="1"/>
      <c r="O55" s="1"/>
      <c r="P55" s="1"/>
      <c r="Q55" s="1"/>
      <c r="R55" s="1"/>
      <c r="S55" s="1"/>
      <c r="T55" s="1"/>
      <c r="U55" s="1"/>
      <c r="V55" s="1"/>
      <c r="W55" s="1"/>
      <c r="X55" s="1"/>
      <c r="Y55" s="1"/>
      <c r="Z55" s="1"/>
    </row>
    <row r="56" spans="1:26" ht="15.75" customHeight="1" x14ac:dyDescent="0.3">
      <c r="A56" s="148"/>
      <c r="B56" s="6"/>
      <c r="C56" s="6"/>
      <c r="D56" s="82"/>
      <c r="E56" s="6"/>
      <c r="F56" s="6"/>
      <c r="G56" s="6"/>
      <c r="H56" s="82"/>
      <c r="I56" s="6"/>
      <c r="J56" s="6"/>
      <c r="K56" s="1"/>
      <c r="L56" s="1"/>
      <c r="M56" s="1"/>
      <c r="N56" s="1"/>
      <c r="O56" s="1"/>
      <c r="P56" s="1"/>
      <c r="Q56" s="1"/>
      <c r="R56" s="1"/>
      <c r="S56" s="1"/>
      <c r="T56" s="1"/>
      <c r="U56" s="1"/>
      <c r="V56" s="1"/>
      <c r="W56" s="1"/>
      <c r="X56" s="1"/>
      <c r="Y56" s="1"/>
      <c r="Z56" s="1"/>
    </row>
    <row r="57" spans="1:26" ht="15.75" customHeight="1" x14ac:dyDescent="0.3">
      <c r="A57" s="148"/>
      <c r="B57" s="6"/>
      <c r="C57" s="6"/>
      <c r="D57" s="82"/>
      <c r="E57" s="6"/>
      <c r="F57" s="6"/>
      <c r="G57" s="6"/>
      <c r="H57" s="82"/>
      <c r="I57" s="6"/>
      <c r="J57" s="6"/>
      <c r="K57" s="1"/>
      <c r="L57" s="1"/>
      <c r="M57" s="1"/>
      <c r="N57" s="1"/>
      <c r="O57" s="1"/>
      <c r="P57" s="1"/>
      <c r="Q57" s="1"/>
      <c r="R57" s="1"/>
      <c r="S57" s="1"/>
      <c r="T57" s="1"/>
      <c r="U57" s="1"/>
      <c r="V57" s="1"/>
      <c r="W57" s="1"/>
      <c r="X57" s="1"/>
      <c r="Y57" s="1"/>
      <c r="Z57" s="1"/>
    </row>
    <row r="58" spans="1:26" ht="15.75" customHeight="1" x14ac:dyDescent="0.3">
      <c r="A58" s="148"/>
      <c r="B58" s="6"/>
      <c r="C58" s="6"/>
      <c r="D58" s="82"/>
      <c r="E58" s="6"/>
      <c r="F58" s="6"/>
      <c r="G58" s="6"/>
      <c r="H58" s="82"/>
      <c r="I58" s="6"/>
      <c r="J58" s="6"/>
      <c r="K58" s="1"/>
      <c r="L58" s="1"/>
      <c r="M58" s="1"/>
      <c r="N58" s="1"/>
      <c r="O58" s="1"/>
      <c r="P58" s="1"/>
      <c r="Q58" s="1"/>
      <c r="R58" s="1"/>
      <c r="S58" s="1"/>
      <c r="T58" s="1"/>
      <c r="U58" s="1"/>
      <c r="V58" s="1"/>
      <c r="W58" s="1"/>
      <c r="X58" s="1"/>
      <c r="Y58" s="1"/>
      <c r="Z58" s="1"/>
    </row>
    <row r="59" spans="1:26" ht="15.75" customHeight="1" x14ac:dyDescent="0.3">
      <c r="A59" s="148"/>
      <c r="B59" s="6"/>
      <c r="C59" s="6"/>
      <c r="D59" s="82"/>
      <c r="E59" s="6"/>
      <c r="F59" s="6"/>
      <c r="G59" s="6"/>
      <c r="H59" s="82"/>
      <c r="I59" s="6"/>
      <c r="J59" s="6"/>
      <c r="K59" s="1"/>
      <c r="L59" s="1"/>
      <c r="M59" s="1"/>
      <c r="N59" s="1"/>
      <c r="O59" s="1"/>
      <c r="P59" s="1"/>
      <c r="Q59" s="1"/>
      <c r="R59" s="1"/>
      <c r="S59" s="1"/>
      <c r="T59" s="1"/>
      <c r="U59" s="1"/>
      <c r="V59" s="1"/>
      <c r="W59" s="1"/>
      <c r="X59" s="1"/>
      <c r="Y59" s="1"/>
      <c r="Z59" s="1"/>
    </row>
    <row r="60" spans="1:26" ht="15.75" customHeight="1" x14ac:dyDescent="0.3">
      <c r="A60" s="148"/>
      <c r="B60" s="6"/>
      <c r="C60" s="6"/>
      <c r="D60" s="82"/>
      <c r="E60" s="6"/>
      <c r="F60" s="6"/>
      <c r="G60" s="6"/>
      <c r="H60" s="82"/>
      <c r="I60" s="6"/>
      <c r="J60" s="6"/>
      <c r="K60" s="1"/>
      <c r="L60" s="1"/>
      <c r="M60" s="1"/>
      <c r="N60" s="1"/>
      <c r="O60" s="1"/>
      <c r="P60" s="1"/>
      <c r="Q60" s="1"/>
      <c r="R60" s="1"/>
      <c r="S60" s="1"/>
      <c r="T60" s="1"/>
      <c r="U60" s="1"/>
      <c r="V60" s="1"/>
      <c r="W60" s="1"/>
      <c r="X60" s="1"/>
      <c r="Y60" s="1"/>
      <c r="Z60" s="1"/>
    </row>
    <row r="61" spans="1:26" ht="15.75" customHeight="1" x14ac:dyDescent="0.3">
      <c r="A61" s="148"/>
      <c r="B61" s="6"/>
      <c r="C61" s="6"/>
      <c r="D61" s="82"/>
      <c r="E61" s="6"/>
      <c r="F61" s="6"/>
      <c r="G61" s="6"/>
      <c r="H61" s="82"/>
      <c r="I61" s="6"/>
      <c r="J61" s="6"/>
      <c r="K61" s="1"/>
      <c r="L61" s="1"/>
      <c r="M61" s="1"/>
      <c r="N61" s="1"/>
      <c r="O61" s="1"/>
      <c r="P61" s="1"/>
      <c r="Q61" s="1"/>
      <c r="R61" s="1"/>
      <c r="S61" s="1"/>
      <c r="T61" s="1"/>
      <c r="U61" s="1"/>
      <c r="V61" s="1"/>
      <c r="W61" s="1"/>
      <c r="X61" s="1"/>
      <c r="Y61" s="1"/>
      <c r="Z61" s="1"/>
    </row>
    <row r="62" spans="1:26" ht="15.75" customHeight="1" x14ac:dyDescent="0.3">
      <c r="A62" s="148"/>
      <c r="B62" s="6"/>
      <c r="C62" s="6"/>
      <c r="D62" s="82"/>
      <c r="E62" s="6"/>
      <c r="F62" s="6"/>
      <c r="G62" s="6"/>
      <c r="H62" s="82"/>
      <c r="I62" s="6"/>
      <c r="J62" s="6"/>
      <c r="K62" s="1"/>
      <c r="L62" s="1"/>
      <c r="M62" s="1"/>
      <c r="N62" s="1"/>
      <c r="O62" s="1"/>
      <c r="P62" s="1"/>
      <c r="Q62" s="1"/>
      <c r="R62" s="1"/>
      <c r="S62" s="1"/>
      <c r="T62" s="1"/>
      <c r="U62" s="1"/>
      <c r="V62" s="1"/>
      <c r="W62" s="1"/>
      <c r="X62" s="1"/>
      <c r="Y62" s="1"/>
      <c r="Z62" s="1"/>
    </row>
    <row r="63" spans="1:26" ht="15.75" customHeight="1" x14ac:dyDescent="0.3">
      <c r="A63" s="148"/>
      <c r="B63" s="6"/>
      <c r="C63" s="6"/>
      <c r="D63" s="82"/>
      <c r="E63" s="6"/>
      <c r="F63" s="6"/>
      <c r="G63" s="6"/>
      <c r="H63" s="82"/>
      <c r="I63" s="6"/>
      <c r="J63" s="6"/>
      <c r="K63" s="1"/>
      <c r="L63" s="1"/>
      <c r="M63" s="1"/>
      <c r="N63" s="1"/>
      <c r="O63" s="1"/>
      <c r="P63" s="1"/>
      <c r="Q63" s="1"/>
      <c r="R63" s="1"/>
      <c r="S63" s="1"/>
      <c r="T63" s="1"/>
      <c r="U63" s="1"/>
      <c r="V63" s="1"/>
      <c r="W63" s="1"/>
      <c r="X63" s="1"/>
      <c r="Y63" s="1"/>
      <c r="Z63" s="1"/>
    </row>
    <row r="64" spans="1:26" ht="15.75" customHeight="1" x14ac:dyDescent="0.3">
      <c r="A64" s="148"/>
      <c r="B64" s="6"/>
      <c r="C64" s="6"/>
      <c r="D64" s="82"/>
      <c r="E64" s="6"/>
      <c r="F64" s="6"/>
      <c r="G64" s="6"/>
      <c r="H64" s="82"/>
      <c r="I64" s="6"/>
      <c r="J64" s="6"/>
      <c r="K64" s="1"/>
      <c r="L64" s="1"/>
      <c r="M64" s="1"/>
      <c r="N64" s="1"/>
      <c r="O64" s="1"/>
      <c r="P64" s="1"/>
      <c r="Q64" s="1"/>
      <c r="R64" s="1"/>
      <c r="S64" s="1"/>
      <c r="T64" s="1"/>
      <c r="U64" s="1"/>
      <c r="V64" s="1"/>
      <c r="W64" s="1"/>
      <c r="X64" s="1"/>
      <c r="Y64" s="1"/>
      <c r="Z64" s="1"/>
    </row>
    <row r="65" spans="1:26" ht="15.75" customHeight="1" x14ac:dyDescent="0.3">
      <c r="A65" s="148"/>
      <c r="B65" s="6"/>
      <c r="C65" s="6"/>
      <c r="D65" s="82"/>
      <c r="E65" s="6"/>
      <c r="F65" s="6"/>
      <c r="G65" s="6"/>
      <c r="H65" s="82"/>
      <c r="I65" s="6"/>
      <c r="J65" s="6"/>
      <c r="K65" s="1"/>
      <c r="L65" s="1"/>
      <c r="M65" s="1"/>
      <c r="N65" s="1"/>
      <c r="O65" s="1"/>
      <c r="P65" s="1"/>
      <c r="Q65" s="1"/>
      <c r="R65" s="1"/>
      <c r="S65" s="1"/>
      <c r="T65" s="1"/>
      <c r="U65" s="1"/>
      <c r="V65" s="1"/>
      <c r="W65" s="1"/>
      <c r="X65" s="1"/>
      <c r="Y65" s="1"/>
      <c r="Z65" s="1"/>
    </row>
    <row r="66" spans="1:26" ht="15.75" customHeight="1" x14ac:dyDescent="0.3">
      <c r="A66" s="148"/>
      <c r="B66" s="6"/>
      <c r="C66" s="6"/>
      <c r="D66" s="82"/>
      <c r="E66" s="6"/>
      <c r="F66" s="6"/>
      <c r="G66" s="6"/>
      <c r="H66" s="82"/>
      <c r="I66" s="6"/>
      <c r="J66" s="6"/>
      <c r="K66" s="1"/>
      <c r="L66" s="1"/>
      <c r="M66" s="1"/>
      <c r="N66" s="1"/>
      <c r="O66" s="1"/>
      <c r="P66" s="1"/>
      <c r="Q66" s="1"/>
      <c r="R66" s="1"/>
      <c r="S66" s="1"/>
      <c r="T66" s="1"/>
      <c r="U66" s="1"/>
      <c r="V66" s="1"/>
      <c r="W66" s="1"/>
      <c r="X66" s="1"/>
      <c r="Y66" s="1"/>
      <c r="Z66" s="1"/>
    </row>
    <row r="67" spans="1:26" ht="15.75" customHeight="1" x14ac:dyDescent="0.3">
      <c r="A67" s="148"/>
      <c r="B67" s="6"/>
      <c r="C67" s="6"/>
      <c r="D67" s="82"/>
      <c r="E67" s="6"/>
      <c r="F67" s="6"/>
      <c r="G67" s="6"/>
      <c r="H67" s="82"/>
      <c r="I67" s="6"/>
      <c r="J67" s="6"/>
      <c r="K67" s="1"/>
      <c r="L67" s="1"/>
      <c r="M67" s="1"/>
      <c r="N67" s="1"/>
      <c r="O67" s="1"/>
      <c r="P67" s="1"/>
      <c r="Q67" s="1"/>
      <c r="R67" s="1"/>
      <c r="S67" s="1"/>
      <c r="T67" s="1"/>
      <c r="U67" s="1"/>
      <c r="V67" s="1"/>
      <c r="W67" s="1"/>
      <c r="X67" s="1"/>
      <c r="Y67" s="1"/>
      <c r="Z67" s="1"/>
    </row>
    <row r="68" spans="1:26" ht="15.75" customHeight="1" x14ac:dyDescent="0.3">
      <c r="A68" s="148"/>
      <c r="B68" s="6"/>
      <c r="C68" s="6"/>
      <c r="D68" s="82"/>
      <c r="E68" s="6"/>
      <c r="F68" s="6"/>
      <c r="G68" s="6"/>
      <c r="H68" s="82"/>
      <c r="I68" s="6"/>
      <c r="J68" s="6"/>
      <c r="K68" s="1"/>
      <c r="L68" s="1"/>
      <c r="M68" s="1"/>
      <c r="N68" s="1"/>
      <c r="O68" s="1"/>
      <c r="P68" s="1"/>
      <c r="Q68" s="1"/>
      <c r="R68" s="1"/>
      <c r="S68" s="1"/>
      <c r="T68" s="1"/>
      <c r="U68" s="1"/>
      <c r="V68" s="1"/>
      <c r="W68" s="1"/>
      <c r="X68" s="1"/>
      <c r="Y68" s="1"/>
      <c r="Z68" s="1"/>
    </row>
    <row r="69" spans="1:26" ht="15.75" customHeight="1" x14ac:dyDescent="0.3">
      <c r="A69" s="148"/>
      <c r="B69" s="6"/>
      <c r="C69" s="6"/>
      <c r="D69" s="82"/>
      <c r="E69" s="6"/>
      <c r="F69" s="6"/>
      <c r="G69" s="6"/>
      <c r="H69" s="82"/>
      <c r="I69" s="6"/>
      <c r="J69" s="6"/>
      <c r="K69" s="1"/>
      <c r="L69" s="1"/>
      <c r="M69" s="1"/>
      <c r="N69" s="1"/>
      <c r="O69" s="1"/>
      <c r="P69" s="1"/>
      <c r="Q69" s="1"/>
      <c r="R69" s="1"/>
      <c r="S69" s="1"/>
      <c r="T69" s="1"/>
      <c r="U69" s="1"/>
      <c r="V69" s="1"/>
      <c r="W69" s="1"/>
      <c r="X69" s="1"/>
      <c r="Y69" s="1"/>
      <c r="Z69" s="1"/>
    </row>
    <row r="70" spans="1:26" ht="15.75" customHeight="1" x14ac:dyDescent="0.3">
      <c r="A70" s="148"/>
      <c r="B70" s="6"/>
      <c r="C70" s="6"/>
      <c r="D70" s="82"/>
      <c r="E70" s="6"/>
      <c r="F70" s="6"/>
      <c r="G70" s="6"/>
      <c r="H70" s="82"/>
      <c r="I70" s="6"/>
      <c r="J70" s="6"/>
      <c r="K70" s="1"/>
      <c r="L70" s="1"/>
      <c r="M70" s="1"/>
      <c r="N70" s="1"/>
      <c r="O70" s="1"/>
      <c r="P70" s="1"/>
      <c r="Q70" s="1"/>
      <c r="R70" s="1"/>
      <c r="S70" s="1"/>
      <c r="T70" s="1"/>
      <c r="U70" s="1"/>
      <c r="V70" s="1"/>
      <c r="W70" s="1"/>
      <c r="X70" s="1"/>
      <c r="Y70" s="1"/>
      <c r="Z70" s="1"/>
    </row>
    <row r="71" spans="1:26" ht="15.75" customHeight="1" x14ac:dyDescent="0.3">
      <c r="A71" s="148"/>
      <c r="B71" s="6"/>
      <c r="C71" s="6"/>
      <c r="D71" s="82"/>
      <c r="E71" s="6"/>
      <c r="F71" s="6"/>
      <c r="G71" s="6"/>
      <c r="H71" s="82"/>
      <c r="I71" s="6"/>
      <c r="J71" s="6"/>
      <c r="K71" s="1"/>
      <c r="L71" s="1"/>
      <c r="M71" s="1"/>
      <c r="N71" s="1"/>
      <c r="O71" s="1"/>
      <c r="P71" s="1"/>
      <c r="Q71" s="1"/>
      <c r="R71" s="1"/>
      <c r="S71" s="1"/>
      <c r="T71" s="1"/>
      <c r="U71" s="1"/>
      <c r="V71" s="1"/>
      <c r="W71" s="1"/>
      <c r="X71" s="1"/>
      <c r="Y71" s="1"/>
      <c r="Z71" s="1"/>
    </row>
    <row r="72" spans="1:26" ht="15.75" customHeight="1" x14ac:dyDescent="0.3">
      <c r="A72" s="148"/>
      <c r="B72" s="6"/>
      <c r="C72" s="6"/>
      <c r="D72" s="82"/>
      <c r="E72" s="6"/>
      <c r="F72" s="6"/>
      <c r="G72" s="6"/>
      <c r="H72" s="82"/>
      <c r="I72" s="6"/>
      <c r="J72" s="6"/>
      <c r="K72" s="1"/>
      <c r="L72" s="1"/>
      <c r="M72" s="1"/>
      <c r="N72" s="1"/>
      <c r="O72" s="1"/>
      <c r="P72" s="1"/>
      <c r="Q72" s="1"/>
      <c r="R72" s="1"/>
      <c r="S72" s="1"/>
      <c r="T72" s="1"/>
      <c r="U72" s="1"/>
      <c r="V72" s="1"/>
      <c r="W72" s="1"/>
      <c r="X72" s="1"/>
      <c r="Y72" s="1"/>
      <c r="Z72" s="1"/>
    </row>
    <row r="73" spans="1:26" ht="15.75" customHeight="1" x14ac:dyDescent="0.3">
      <c r="A73" s="148"/>
      <c r="B73" s="6"/>
      <c r="C73" s="6"/>
      <c r="D73" s="82"/>
      <c r="E73" s="6"/>
      <c r="F73" s="6"/>
      <c r="G73" s="6"/>
      <c r="H73" s="82"/>
      <c r="I73" s="6"/>
      <c r="J73" s="6"/>
      <c r="K73" s="1"/>
      <c r="L73" s="1"/>
      <c r="M73" s="1"/>
      <c r="N73" s="1"/>
      <c r="O73" s="1"/>
      <c r="P73" s="1"/>
      <c r="Q73" s="1"/>
      <c r="R73" s="1"/>
      <c r="S73" s="1"/>
      <c r="T73" s="1"/>
      <c r="U73" s="1"/>
      <c r="V73" s="1"/>
      <c r="W73" s="1"/>
      <c r="X73" s="1"/>
      <c r="Y73" s="1"/>
      <c r="Z73" s="1"/>
    </row>
    <row r="74" spans="1:26" ht="15.75" customHeight="1" x14ac:dyDescent="0.3">
      <c r="A74" s="148"/>
      <c r="B74" s="6"/>
      <c r="C74" s="6"/>
      <c r="D74" s="82"/>
      <c r="E74" s="6"/>
      <c r="F74" s="6"/>
      <c r="G74" s="6"/>
      <c r="H74" s="82"/>
      <c r="I74" s="6"/>
      <c r="J74" s="6"/>
      <c r="K74" s="1"/>
      <c r="L74" s="1"/>
      <c r="M74" s="1"/>
      <c r="N74" s="1"/>
      <c r="O74" s="1"/>
      <c r="P74" s="1"/>
      <c r="Q74" s="1"/>
      <c r="R74" s="1"/>
      <c r="S74" s="1"/>
      <c r="T74" s="1"/>
      <c r="U74" s="1"/>
      <c r="V74" s="1"/>
      <c r="W74" s="1"/>
      <c r="X74" s="1"/>
      <c r="Y74" s="1"/>
      <c r="Z74" s="1"/>
    </row>
    <row r="75" spans="1:26" ht="15.75" customHeight="1" x14ac:dyDescent="0.3">
      <c r="A75" s="148"/>
      <c r="B75" s="6"/>
      <c r="C75" s="6"/>
      <c r="D75" s="82"/>
      <c r="E75" s="6"/>
      <c r="F75" s="6"/>
      <c r="G75" s="6"/>
      <c r="H75" s="82"/>
      <c r="I75" s="6"/>
      <c r="J75" s="6"/>
      <c r="K75" s="1"/>
      <c r="L75" s="1"/>
      <c r="M75" s="1"/>
      <c r="N75" s="1"/>
      <c r="O75" s="1"/>
      <c r="P75" s="1"/>
      <c r="Q75" s="1"/>
      <c r="R75" s="1"/>
      <c r="S75" s="1"/>
      <c r="T75" s="1"/>
      <c r="U75" s="1"/>
      <c r="V75" s="1"/>
      <c r="W75" s="1"/>
      <c r="X75" s="1"/>
      <c r="Y75" s="1"/>
      <c r="Z75" s="1"/>
    </row>
    <row r="76" spans="1:26" ht="15.75" customHeight="1" x14ac:dyDescent="0.3">
      <c r="A76" s="148"/>
      <c r="B76" s="6"/>
      <c r="C76" s="6"/>
      <c r="D76" s="82"/>
      <c r="E76" s="6"/>
      <c r="F76" s="6"/>
      <c r="G76" s="6"/>
      <c r="H76" s="82"/>
      <c r="I76" s="6"/>
      <c r="J76" s="6"/>
      <c r="K76" s="1"/>
      <c r="L76" s="1"/>
      <c r="M76" s="1"/>
      <c r="N76" s="1"/>
      <c r="O76" s="1"/>
      <c r="P76" s="1"/>
      <c r="Q76" s="1"/>
      <c r="R76" s="1"/>
      <c r="S76" s="1"/>
      <c r="T76" s="1"/>
      <c r="U76" s="1"/>
      <c r="V76" s="1"/>
      <c r="W76" s="1"/>
      <c r="X76" s="1"/>
      <c r="Y76" s="1"/>
      <c r="Z76" s="1"/>
    </row>
    <row r="77" spans="1:26" ht="15.75" customHeight="1" x14ac:dyDescent="0.3">
      <c r="A77" s="148"/>
      <c r="B77" s="6"/>
      <c r="C77" s="6"/>
      <c r="D77" s="82"/>
      <c r="E77" s="6"/>
      <c r="F77" s="6"/>
      <c r="G77" s="6"/>
      <c r="H77" s="82"/>
      <c r="I77" s="6"/>
      <c r="J77" s="6"/>
      <c r="K77" s="1"/>
      <c r="L77" s="1"/>
      <c r="M77" s="1"/>
      <c r="N77" s="1"/>
      <c r="O77" s="1"/>
      <c r="P77" s="1"/>
      <c r="Q77" s="1"/>
      <c r="R77" s="1"/>
      <c r="S77" s="1"/>
      <c r="T77" s="1"/>
      <c r="U77" s="1"/>
      <c r="V77" s="1"/>
      <c r="W77" s="1"/>
      <c r="X77" s="1"/>
      <c r="Y77" s="1"/>
      <c r="Z77" s="1"/>
    </row>
    <row r="78" spans="1:26" ht="15.75" customHeight="1" x14ac:dyDescent="0.3">
      <c r="A78" s="148"/>
      <c r="B78" s="6"/>
      <c r="C78" s="6"/>
      <c r="D78" s="82"/>
      <c r="E78" s="6"/>
      <c r="F78" s="6"/>
      <c r="G78" s="6"/>
      <c r="H78" s="82"/>
      <c r="I78" s="6"/>
      <c r="J78" s="6"/>
      <c r="K78" s="1"/>
      <c r="L78" s="1"/>
      <c r="M78" s="1"/>
      <c r="N78" s="1"/>
      <c r="O78" s="1"/>
      <c r="P78" s="1"/>
      <c r="Q78" s="1"/>
      <c r="R78" s="1"/>
      <c r="S78" s="1"/>
      <c r="T78" s="1"/>
      <c r="U78" s="1"/>
      <c r="V78" s="1"/>
      <c r="W78" s="1"/>
      <c r="X78" s="1"/>
      <c r="Y78" s="1"/>
      <c r="Z78" s="1"/>
    </row>
    <row r="79" spans="1:26" ht="15.75" customHeight="1" x14ac:dyDescent="0.3">
      <c r="A79" s="148"/>
      <c r="B79" s="6"/>
      <c r="C79" s="6"/>
      <c r="D79" s="82"/>
      <c r="E79" s="6"/>
      <c r="F79" s="6"/>
      <c r="G79" s="6"/>
      <c r="H79" s="82"/>
      <c r="I79" s="6"/>
      <c r="J79" s="6"/>
      <c r="K79" s="1"/>
      <c r="L79" s="1"/>
      <c r="M79" s="1"/>
      <c r="N79" s="1"/>
      <c r="O79" s="1"/>
      <c r="P79" s="1"/>
      <c r="Q79" s="1"/>
      <c r="R79" s="1"/>
      <c r="S79" s="1"/>
      <c r="T79" s="1"/>
      <c r="U79" s="1"/>
      <c r="V79" s="1"/>
      <c r="W79" s="1"/>
      <c r="X79" s="1"/>
      <c r="Y79" s="1"/>
      <c r="Z79" s="1"/>
    </row>
    <row r="80" spans="1:26" ht="15.75" customHeight="1" x14ac:dyDescent="0.3">
      <c r="A80" s="148"/>
      <c r="B80" s="6"/>
      <c r="C80" s="6"/>
      <c r="D80" s="82"/>
      <c r="E80" s="6"/>
      <c r="F80" s="6"/>
      <c r="G80" s="6"/>
      <c r="H80" s="82"/>
      <c r="I80" s="6"/>
      <c r="J80" s="6"/>
      <c r="K80" s="1"/>
      <c r="L80" s="1"/>
      <c r="M80" s="1"/>
      <c r="N80" s="1"/>
      <c r="O80" s="1"/>
      <c r="P80" s="1"/>
      <c r="Q80" s="1"/>
      <c r="R80" s="1"/>
      <c r="S80" s="1"/>
      <c r="T80" s="1"/>
      <c r="U80" s="1"/>
      <c r="V80" s="1"/>
      <c r="W80" s="1"/>
      <c r="X80" s="1"/>
      <c r="Y80" s="1"/>
      <c r="Z80" s="1"/>
    </row>
    <row r="81" spans="1:26" ht="15.75" customHeight="1" x14ac:dyDescent="0.3">
      <c r="A81" s="148"/>
      <c r="B81" s="6"/>
      <c r="C81" s="6"/>
      <c r="D81" s="82"/>
      <c r="E81" s="6"/>
      <c r="F81" s="6"/>
      <c r="G81" s="6"/>
      <c r="H81" s="82"/>
      <c r="I81" s="6"/>
      <c r="J81" s="6"/>
      <c r="K81" s="1"/>
      <c r="L81" s="1"/>
      <c r="M81" s="1"/>
      <c r="N81" s="1"/>
      <c r="O81" s="1"/>
      <c r="P81" s="1"/>
      <c r="Q81" s="1"/>
      <c r="R81" s="1"/>
      <c r="S81" s="1"/>
      <c r="T81" s="1"/>
      <c r="U81" s="1"/>
      <c r="V81" s="1"/>
      <c r="W81" s="1"/>
      <c r="X81" s="1"/>
      <c r="Y81" s="1"/>
      <c r="Z81" s="1"/>
    </row>
    <row r="82" spans="1:26" ht="15.75" customHeight="1" x14ac:dyDescent="0.3">
      <c r="A82" s="148"/>
      <c r="B82" s="6"/>
      <c r="C82" s="6"/>
      <c r="D82" s="82"/>
      <c r="E82" s="6"/>
      <c r="F82" s="6"/>
      <c r="G82" s="6"/>
      <c r="H82" s="82"/>
      <c r="I82" s="6"/>
      <c r="J82" s="6"/>
      <c r="K82" s="1"/>
      <c r="L82" s="1"/>
      <c r="M82" s="1"/>
      <c r="N82" s="1"/>
      <c r="O82" s="1"/>
      <c r="P82" s="1"/>
      <c r="Q82" s="1"/>
      <c r="R82" s="1"/>
      <c r="S82" s="1"/>
      <c r="T82" s="1"/>
      <c r="U82" s="1"/>
      <c r="V82" s="1"/>
      <c r="W82" s="1"/>
      <c r="X82" s="1"/>
      <c r="Y82" s="1"/>
      <c r="Z82" s="1"/>
    </row>
    <row r="83" spans="1:26" ht="15.75" customHeight="1" x14ac:dyDescent="0.3">
      <c r="A83" s="148"/>
      <c r="B83" s="6"/>
      <c r="C83" s="6"/>
      <c r="D83" s="82"/>
      <c r="E83" s="6"/>
      <c r="F83" s="6"/>
      <c r="G83" s="6"/>
      <c r="H83" s="82"/>
      <c r="I83" s="6"/>
      <c r="J83" s="6"/>
      <c r="K83" s="1"/>
      <c r="L83" s="1"/>
      <c r="M83" s="1"/>
      <c r="N83" s="1"/>
      <c r="O83" s="1"/>
      <c r="P83" s="1"/>
      <c r="Q83" s="1"/>
      <c r="R83" s="1"/>
      <c r="S83" s="1"/>
      <c r="T83" s="1"/>
      <c r="U83" s="1"/>
      <c r="V83" s="1"/>
      <c r="W83" s="1"/>
      <c r="X83" s="1"/>
      <c r="Y83" s="1"/>
      <c r="Z83" s="1"/>
    </row>
    <row r="84" spans="1:26" ht="15.75" customHeight="1" x14ac:dyDescent="0.3">
      <c r="A84" s="148"/>
      <c r="B84" s="6"/>
      <c r="C84" s="6"/>
      <c r="D84" s="82"/>
      <c r="E84" s="6"/>
      <c r="F84" s="6"/>
      <c r="G84" s="6"/>
      <c r="H84" s="82"/>
      <c r="I84" s="6"/>
      <c r="J84" s="6"/>
      <c r="K84" s="1"/>
      <c r="L84" s="1"/>
      <c r="M84" s="1"/>
      <c r="N84" s="1"/>
      <c r="O84" s="1"/>
      <c r="P84" s="1"/>
      <c r="Q84" s="1"/>
      <c r="R84" s="1"/>
      <c r="S84" s="1"/>
      <c r="T84" s="1"/>
      <c r="U84" s="1"/>
      <c r="V84" s="1"/>
      <c r="W84" s="1"/>
      <c r="X84" s="1"/>
      <c r="Y84" s="1"/>
      <c r="Z84" s="1"/>
    </row>
    <row r="85" spans="1:26" ht="15.75" customHeight="1" x14ac:dyDescent="0.3">
      <c r="A85" s="148"/>
      <c r="B85" s="6"/>
      <c r="C85" s="6"/>
      <c r="D85" s="82"/>
      <c r="E85" s="6"/>
      <c r="F85" s="6"/>
      <c r="G85" s="6"/>
      <c r="H85" s="82"/>
      <c r="I85" s="6"/>
      <c r="J85" s="6"/>
      <c r="K85" s="1"/>
      <c r="L85" s="1"/>
      <c r="M85" s="1"/>
      <c r="N85" s="1"/>
      <c r="O85" s="1"/>
      <c r="P85" s="1"/>
      <c r="Q85" s="1"/>
      <c r="R85" s="1"/>
      <c r="S85" s="1"/>
      <c r="T85" s="1"/>
      <c r="U85" s="1"/>
      <c r="V85" s="1"/>
      <c r="W85" s="1"/>
      <c r="X85" s="1"/>
      <c r="Y85" s="1"/>
      <c r="Z85" s="1"/>
    </row>
    <row r="86" spans="1:26" ht="15.75" customHeight="1" x14ac:dyDescent="0.3">
      <c r="A86" s="148"/>
      <c r="B86" s="6"/>
      <c r="C86" s="6"/>
      <c r="D86" s="82"/>
      <c r="E86" s="6"/>
      <c r="F86" s="6"/>
      <c r="G86" s="6"/>
      <c r="H86" s="82"/>
      <c r="I86" s="6"/>
      <c r="J86" s="6"/>
      <c r="K86" s="1"/>
      <c r="L86" s="1"/>
      <c r="M86" s="1"/>
      <c r="N86" s="1"/>
      <c r="O86" s="1"/>
      <c r="P86" s="1"/>
      <c r="Q86" s="1"/>
      <c r="R86" s="1"/>
      <c r="S86" s="1"/>
      <c r="T86" s="1"/>
      <c r="U86" s="1"/>
      <c r="V86" s="1"/>
      <c r="W86" s="1"/>
      <c r="X86" s="1"/>
      <c r="Y86" s="1"/>
      <c r="Z86" s="1"/>
    </row>
    <row r="87" spans="1:26" ht="15.75" customHeight="1" x14ac:dyDescent="0.3">
      <c r="A87" s="148"/>
      <c r="B87" s="6"/>
      <c r="C87" s="6"/>
      <c r="D87" s="82"/>
      <c r="E87" s="6"/>
      <c r="F87" s="6"/>
      <c r="G87" s="6"/>
      <c r="H87" s="82"/>
      <c r="I87" s="6"/>
      <c r="J87" s="6"/>
      <c r="K87" s="1"/>
      <c r="L87" s="1"/>
      <c r="M87" s="1"/>
      <c r="N87" s="1"/>
      <c r="O87" s="1"/>
      <c r="P87" s="1"/>
      <c r="Q87" s="1"/>
      <c r="R87" s="1"/>
      <c r="S87" s="1"/>
      <c r="T87" s="1"/>
      <c r="U87" s="1"/>
      <c r="V87" s="1"/>
      <c r="W87" s="1"/>
      <c r="X87" s="1"/>
      <c r="Y87" s="1"/>
      <c r="Z87" s="1"/>
    </row>
    <row r="88" spans="1:26" ht="15.75" customHeight="1" x14ac:dyDescent="0.3">
      <c r="A88" s="148"/>
      <c r="B88" s="6"/>
      <c r="C88" s="6"/>
      <c r="D88" s="82"/>
      <c r="E88" s="6"/>
      <c r="F88" s="6"/>
      <c r="G88" s="6"/>
      <c r="H88" s="82"/>
      <c r="I88" s="6"/>
      <c r="J88" s="6"/>
      <c r="K88" s="1"/>
      <c r="L88" s="1"/>
      <c r="M88" s="1"/>
      <c r="N88" s="1"/>
      <c r="O88" s="1"/>
      <c r="P88" s="1"/>
      <c r="Q88" s="1"/>
      <c r="R88" s="1"/>
      <c r="S88" s="1"/>
      <c r="T88" s="1"/>
      <c r="U88" s="1"/>
      <c r="V88" s="1"/>
      <c r="W88" s="1"/>
      <c r="X88" s="1"/>
      <c r="Y88" s="1"/>
      <c r="Z88" s="1"/>
    </row>
    <row r="89" spans="1:26" ht="15.75" customHeight="1" x14ac:dyDescent="0.3">
      <c r="A89" s="148"/>
      <c r="B89" s="6"/>
      <c r="C89" s="6"/>
      <c r="D89" s="82"/>
      <c r="E89" s="6"/>
      <c r="F89" s="6"/>
      <c r="G89" s="6"/>
      <c r="H89" s="82"/>
      <c r="I89" s="6"/>
      <c r="J89" s="6"/>
      <c r="K89" s="1"/>
      <c r="L89" s="1"/>
      <c r="M89" s="1"/>
      <c r="N89" s="1"/>
      <c r="O89" s="1"/>
      <c r="P89" s="1"/>
      <c r="Q89" s="1"/>
      <c r="R89" s="1"/>
      <c r="S89" s="1"/>
      <c r="T89" s="1"/>
      <c r="U89" s="1"/>
      <c r="V89" s="1"/>
      <c r="W89" s="1"/>
      <c r="X89" s="1"/>
      <c r="Y89" s="1"/>
      <c r="Z89" s="1"/>
    </row>
    <row r="90" spans="1:26" ht="15.75" customHeight="1" x14ac:dyDescent="0.3">
      <c r="A90" s="148"/>
      <c r="B90" s="6"/>
      <c r="C90" s="6"/>
      <c r="D90" s="82"/>
      <c r="E90" s="6"/>
      <c r="F90" s="6"/>
      <c r="G90" s="6"/>
      <c r="H90" s="82"/>
      <c r="I90" s="6"/>
      <c r="J90" s="6"/>
      <c r="K90" s="1"/>
      <c r="L90" s="1"/>
      <c r="M90" s="1"/>
      <c r="N90" s="1"/>
      <c r="O90" s="1"/>
      <c r="P90" s="1"/>
      <c r="Q90" s="1"/>
      <c r="R90" s="1"/>
      <c r="S90" s="1"/>
      <c r="T90" s="1"/>
      <c r="U90" s="1"/>
      <c r="V90" s="1"/>
      <c r="W90" s="1"/>
      <c r="X90" s="1"/>
      <c r="Y90" s="1"/>
      <c r="Z90" s="1"/>
    </row>
    <row r="91" spans="1:26" ht="15.75" customHeight="1" x14ac:dyDescent="0.3">
      <c r="A91" s="148"/>
      <c r="B91" s="6"/>
      <c r="C91" s="6"/>
      <c r="D91" s="82"/>
      <c r="E91" s="6"/>
      <c r="F91" s="6"/>
      <c r="G91" s="6"/>
      <c r="H91" s="82"/>
      <c r="I91" s="6"/>
      <c r="J91" s="6"/>
      <c r="K91" s="1"/>
      <c r="L91" s="1"/>
      <c r="M91" s="1"/>
      <c r="N91" s="1"/>
      <c r="O91" s="1"/>
      <c r="P91" s="1"/>
      <c r="Q91" s="1"/>
      <c r="R91" s="1"/>
      <c r="S91" s="1"/>
      <c r="T91" s="1"/>
      <c r="U91" s="1"/>
      <c r="V91" s="1"/>
      <c r="W91" s="1"/>
      <c r="X91" s="1"/>
      <c r="Y91" s="1"/>
      <c r="Z91" s="1"/>
    </row>
    <row r="92" spans="1:26" ht="15.75" customHeight="1" x14ac:dyDescent="0.3">
      <c r="A92" s="148"/>
      <c r="B92" s="6"/>
      <c r="C92" s="6"/>
      <c r="D92" s="82"/>
      <c r="E92" s="6"/>
      <c r="F92" s="6"/>
      <c r="G92" s="6"/>
      <c r="H92" s="82"/>
      <c r="I92" s="6"/>
      <c r="J92" s="6"/>
      <c r="K92" s="1"/>
      <c r="L92" s="1"/>
      <c r="M92" s="1"/>
      <c r="N92" s="1"/>
      <c r="O92" s="1"/>
      <c r="P92" s="1"/>
      <c r="Q92" s="1"/>
      <c r="R92" s="1"/>
      <c r="S92" s="1"/>
      <c r="T92" s="1"/>
      <c r="U92" s="1"/>
      <c r="V92" s="1"/>
      <c r="W92" s="1"/>
      <c r="X92" s="1"/>
      <c r="Y92" s="1"/>
      <c r="Z92" s="1"/>
    </row>
    <row r="93" spans="1:26" ht="15.75" customHeight="1" x14ac:dyDescent="0.3">
      <c r="A93" s="148"/>
      <c r="B93" s="6"/>
      <c r="C93" s="6"/>
      <c r="D93" s="82"/>
      <c r="E93" s="6"/>
      <c r="F93" s="6"/>
      <c r="G93" s="6"/>
      <c r="H93" s="82"/>
      <c r="I93" s="6"/>
      <c r="J93" s="6"/>
      <c r="K93" s="1"/>
      <c r="L93" s="1"/>
      <c r="M93" s="1"/>
      <c r="N93" s="1"/>
      <c r="O93" s="1"/>
      <c r="P93" s="1"/>
      <c r="Q93" s="1"/>
      <c r="R93" s="1"/>
      <c r="S93" s="1"/>
      <c r="T93" s="1"/>
      <c r="U93" s="1"/>
      <c r="V93" s="1"/>
      <c r="W93" s="1"/>
      <c r="X93" s="1"/>
      <c r="Y93" s="1"/>
      <c r="Z93" s="1"/>
    </row>
    <row r="94" spans="1:26" ht="15.75" customHeight="1" x14ac:dyDescent="0.3">
      <c r="A94" s="148"/>
      <c r="B94" s="6"/>
      <c r="C94" s="6"/>
      <c r="D94" s="82"/>
      <c r="E94" s="6"/>
      <c r="F94" s="6"/>
      <c r="G94" s="6"/>
      <c r="H94" s="82"/>
      <c r="I94" s="6"/>
      <c r="J94" s="6"/>
      <c r="K94" s="1"/>
      <c r="L94" s="1"/>
      <c r="M94" s="1"/>
      <c r="N94" s="1"/>
      <c r="O94" s="1"/>
      <c r="P94" s="1"/>
      <c r="Q94" s="1"/>
      <c r="R94" s="1"/>
      <c r="S94" s="1"/>
      <c r="T94" s="1"/>
      <c r="U94" s="1"/>
      <c r="V94" s="1"/>
      <c r="W94" s="1"/>
      <c r="X94" s="1"/>
      <c r="Y94" s="1"/>
      <c r="Z94" s="1"/>
    </row>
    <row r="95" spans="1:26" ht="15.75" customHeight="1" x14ac:dyDescent="0.3">
      <c r="A95" s="148"/>
      <c r="B95" s="6"/>
      <c r="C95" s="6"/>
      <c r="D95" s="82"/>
      <c r="E95" s="6"/>
      <c r="F95" s="6"/>
      <c r="G95" s="6"/>
      <c r="H95" s="82"/>
      <c r="I95" s="6"/>
      <c r="J95" s="6"/>
      <c r="K95" s="1"/>
      <c r="L95" s="1"/>
      <c r="M95" s="1"/>
      <c r="N95" s="1"/>
      <c r="O95" s="1"/>
      <c r="P95" s="1"/>
      <c r="Q95" s="1"/>
      <c r="R95" s="1"/>
      <c r="S95" s="1"/>
      <c r="T95" s="1"/>
      <c r="U95" s="1"/>
      <c r="V95" s="1"/>
      <c r="W95" s="1"/>
      <c r="X95" s="1"/>
      <c r="Y95" s="1"/>
      <c r="Z95" s="1"/>
    </row>
    <row r="96" spans="1:26" ht="15.75" customHeight="1" x14ac:dyDescent="0.3">
      <c r="A96" s="148"/>
      <c r="B96" s="6"/>
      <c r="C96" s="6"/>
      <c r="D96" s="82"/>
      <c r="E96" s="6"/>
      <c r="F96" s="6"/>
      <c r="G96" s="6"/>
      <c r="H96" s="82"/>
      <c r="I96" s="6"/>
      <c r="J96" s="6"/>
      <c r="K96" s="1"/>
      <c r="L96" s="1"/>
      <c r="M96" s="1"/>
      <c r="N96" s="1"/>
      <c r="O96" s="1"/>
      <c r="P96" s="1"/>
      <c r="Q96" s="1"/>
      <c r="R96" s="1"/>
      <c r="S96" s="1"/>
      <c r="T96" s="1"/>
      <c r="U96" s="1"/>
      <c r="V96" s="1"/>
      <c r="W96" s="1"/>
      <c r="X96" s="1"/>
      <c r="Y96" s="1"/>
      <c r="Z96" s="1"/>
    </row>
    <row r="97" spans="1:26" ht="15.75" customHeight="1" x14ac:dyDescent="0.3">
      <c r="A97" s="148"/>
      <c r="B97" s="6"/>
      <c r="C97" s="6"/>
      <c r="D97" s="82"/>
      <c r="E97" s="6"/>
      <c r="F97" s="6"/>
      <c r="G97" s="6"/>
      <c r="H97" s="82"/>
      <c r="I97" s="6"/>
      <c r="J97" s="6"/>
      <c r="K97" s="1"/>
      <c r="L97" s="1"/>
      <c r="M97" s="1"/>
      <c r="N97" s="1"/>
      <c r="O97" s="1"/>
      <c r="P97" s="1"/>
      <c r="Q97" s="1"/>
      <c r="R97" s="1"/>
      <c r="S97" s="1"/>
      <c r="T97" s="1"/>
      <c r="U97" s="1"/>
      <c r="V97" s="1"/>
      <c r="W97" s="1"/>
      <c r="X97" s="1"/>
      <c r="Y97" s="1"/>
      <c r="Z97" s="1"/>
    </row>
    <row r="98" spans="1:26" ht="15.75" customHeight="1" x14ac:dyDescent="0.3">
      <c r="A98" s="148"/>
      <c r="B98" s="6"/>
      <c r="C98" s="6"/>
      <c r="D98" s="82"/>
      <c r="E98" s="6"/>
      <c r="F98" s="6"/>
      <c r="G98" s="6"/>
      <c r="H98" s="82"/>
      <c r="I98" s="6"/>
      <c r="J98" s="6"/>
      <c r="K98" s="1"/>
      <c r="L98" s="1"/>
      <c r="M98" s="1"/>
      <c r="N98" s="1"/>
      <c r="O98" s="1"/>
      <c r="P98" s="1"/>
      <c r="Q98" s="1"/>
      <c r="R98" s="1"/>
      <c r="S98" s="1"/>
      <c r="T98" s="1"/>
      <c r="U98" s="1"/>
      <c r="V98" s="1"/>
      <c r="W98" s="1"/>
      <c r="X98" s="1"/>
      <c r="Y98" s="1"/>
      <c r="Z98" s="1"/>
    </row>
    <row r="99" spans="1:26" ht="15.75" customHeight="1" x14ac:dyDescent="0.3">
      <c r="A99" s="148"/>
      <c r="B99" s="6"/>
      <c r="C99" s="6"/>
      <c r="D99" s="82"/>
      <c r="E99" s="6"/>
      <c r="F99" s="6"/>
      <c r="G99" s="6"/>
      <c r="H99" s="82"/>
      <c r="I99" s="6"/>
      <c r="J99" s="6"/>
      <c r="K99" s="1"/>
      <c r="L99" s="1"/>
      <c r="M99" s="1"/>
      <c r="N99" s="1"/>
      <c r="O99" s="1"/>
      <c r="P99" s="1"/>
      <c r="Q99" s="1"/>
      <c r="R99" s="1"/>
      <c r="S99" s="1"/>
      <c r="T99" s="1"/>
      <c r="U99" s="1"/>
      <c r="V99" s="1"/>
      <c r="W99" s="1"/>
      <c r="X99" s="1"/>
      <c r="Y99" s="1"/>
      <c r="Z99" s="1"/>
    </row>
    <row r="100" spans="1:26" ht="15.75" customHeight="1" x14ac:dyDescent="0.3">
      <c r="A100" s="148"/>
      <c r="B100" s="6"/>
      <c r="C100" s="6"/>
      <c r="D100" s="82"/>
      <c r="E100" s="6"/>
      <c r="F100" s="6"/>
      <c r="G100" s="6"/>
      <c r="H100" s="82"/>
      <c r="I100" s="6"/>
      <c r="J100" s="6"/>
      <c r="K100" s="1"/>
      <c r="L100" s="1"/>
      <c r="M100" s="1"/>
      <c r="N100" s="1"/>
      <c r="O100" s="1"/>
      <c r="P100" s="1"/>
      <c r="Q100" s="1"/>
      <c r="R100" s="1"/>
      <c r="S100" s="1"/>
      <c r="T100" s="1"/>
      <c r="U100" s="1"/>
      <c r="V100" s="1"/>
      <c r="W100" s="1"/>
      <c r="X100" s="1"/>
      <c r="Y100" s="1"/>
      <c r="Z100" s="1"/>
    </row>
    <row r="101" spans="1:26" ht="15.75" customHeight="1" x14ac:dyDescent="0.3">
      <c r="A101" s="148"/>
      <c r="B101" s="6"/>
      <c r="C101" s="6"/>
      <c r="D101" s="82"/>
      <c r="E101" s="6"/>
      <c r="F101" s="6"/>
      <c r="G101" s="6"/>
      <c r="H101" s="82"/>
      <c r="I101" s="6"/>
      <c r="J101" s="6"/>
      <c r="K101" s="1"/>
      <c r="L101" s="1"/>
      <c r="M101" s="1"/>
      <c r="N101" s="1"/>
      <c r="O101" s="1"/>
      <c r="P101" s="1"/>
      <c r="Q101" s="1"/>
      <c r="R101" s="1"/>
      <c r="S101" s="1"/>
      <c r="T101" s="1"/>
      <c r="U101" s="1"/>
      <c r="V101" s="1"/>
      <c r="W101" s="1"/>
      <c r="X101" s="1"/>
      <c r="Y101" s="1"/>
      <c r="Z101" s="1"/>
    </row>
    <row r="102" spans="1:26" ht="15.75" customHeight="1" x14ac:dyDescent="0.3">
      <c r="A102" s="148"/>
      <c r="B102" s="6"/>
      <c r="C102" s="6"/>
      <c r="D102" s="82"/>
      <c r="E102" s="6"/>
      <c r="F102" s="6"/>
      <c r="G102" s="6"/>
      <c r="H102" s="82"/>
      <c r="I102" s="6"/>
      <c r="J102" s="6"/>
      <c r="K102" s="1"/>
      <c r="L102" s="1"/>
      <c r="M102" s="1"/>
      <c r="N102" s="1"/>
      <c r="O102" s="1"/>
      <c r="P102" s="1"/>
      <c r="Q102" s="1"/>
      <c r="R102" s="1"/>
      <c r="S102" s="1"/>
      <c r="T102" s="1"/>
      <c r="U102" s="1"/>
      <c r="V102" s="1"/>
      <c r="W102" s="1"/>
      <c r="X102" s="1"/>
      <c r="Y102" s="1"/>
      <c r="Z102" s="1"/>
    </row>
    <row r="103" spans="1:26" ht="15.75" customHeight="1" x14ac:dyDescent="0.3">
      <c r="A103" s="148"/>
      <c r="B103" s="6"/>
      <c r="C103" s="6"/>
      <c r="D103" s="82"/>
      <c r="E103" s="6"/>
      <c r="F103" s="6"/>
      <c r="G103" s="6"/>
      <c r="H103" s="82"/>
      <c r="I103" s="6"/>
      <c r="J103" s="6"/>
      <c r="K103" s="1"/>
      <c r="L103" s="1"/>
      <c r="M103" s="1"/>
      <c r="N103" s="1"/>
      <c r="O103" s="1"/>
      <c r="P103" s="1"/>
      <c r="Q103" s="1"/>
      <c r="R103" s="1"/>
      <c r="S103" s="1"/>
      <c r="T103" s="1"/>
      <c r="U103" s="1"/>
      <c r="V103" s="1"/>
      <c r="W103" s="1"/>
      <c r="X103" s="1"/>
      <c r="Y103" s="1"/>
      <c r="Z103" s="1"/>
    </row>
    <row r="104" spans="1:26" ht="15.75" customHeight="1" x14ac:dyDescent="0.3">
      <c r="A104" s="148"/>
      <c r="B104" s="6"/>
      <c r="C104" s="6"/>
      <c r="D104" s="82"/>
      <c r="E104" s="6"/>
      <c r="F104" s="6"/>
      <c r="G104" s="6"/>
      <c r="H104" s="82"/>
      <c r="I104" s="6"/>
      <c r="J104" s="6"/>
      <c r="K104" s="1"/>
      <c r="L104" s="1"/>
      <c r="M104" s="1"/>
      <c r="N104" s="1"/>
      <c r="O104" s="1"/>
      <c r="P104" s="1"/>
      <c r="Q104" s="1"/>
      <c r="R104" s="1"/>
      <c r="S104" s="1"/>
      <c r="T104" s="1"/>
      <c r="U104" s="1"/>
      <c r="V104" s="1"/>
      <c r="W104" s="1"/>
      <c r="X104" s="1"/>
      <c r="Y104" s="1"/>
      <c r="Z104" s="1"/>
    </row>
    <row r="105" spans="1:26" ht="15.75" customHeight="1" x14ac:dyDescent="0.3">
      <c r="A105" s="148"/>
      <c r="B105" s="6"/>
      <c r="C105" s="6"/>
      <c r="D105" s="82"/>
      <c r="E105" s="6"/>
      <c r="F105" s="6"/>
      <c r="G105" s="6"/>
      <c r="H105" s="82"/>
      <c r="I105" s="6"/>
      <c r="J105" s="6"/>
      <c r="K105" s="1"/>
      <c r="L105" s="1"/>
      <c r="M105" s="1"/>
      <c r="N105" s="1"/>
      <c r="O105" s="1"/>
      <c r="P105" s="1"/>
      <c r="Q105" s="1"/>
      <c r="R105" s="1"/>
      <c r="S105" s="1"/>
      <c r="T105" s="1"/>
      <c r="U105" s="1"/>
      <c r="V105" s="1"/>
      <c r="W105" s="1"/>
      <c r="X105" s="1"/>
      <c r="Y105" s="1"/>
      <c r="Z105" s="1"/>
    </row>
    <row r="106" spans="1:26" ht="15.75" customHeight="1" x14ac:dyDescent="0.3">
      <c r="A106" s="148"/>
      <c r="B106" s="6"/>
      <c r="C106" s="6"/>
      <c r="D106" s="82"/>
      <c r="E106" s="6"/>
      <c r="F106" s="6"/>
      <c r="G106" s="6"/>
      <c r="H106" s="82"/>
      <c r="I106" s="6"/>
      <c r="J106" s="6"/>
      <c r="K106" s="1"/>
      <c r="L106" s="1"/>
      <c r="M106" s="1"/>
      <c r="N106" s="1"/>
      <c r="O106" s="1"/>
      <c r="P106" s="1"/>
      <c r="Q106" s="1"/>
      <c r="R106" s="1"/>
      <c r="S106" s="1"/>
      <c r="T106" s="1"/>
      <c r="U106" s="1"/>
      <c r="V106" s="1"/>
      <c r="W106" s="1"/>
      <c r="X106" s="1"/>
      <c r="Y106" s="1"/>
      <c r="Z106" s="1"/>
    </row>
    <row r="107" spans="1:26" ht="15.75" customHeight="1" x14ac:dyDescent="0.3">
      <c r="A107" s="148"/>
      <c r="B107" s="6"/>
      <c r="C107" s="6"/>
      <c r="D107" s="82"/>
      <c r="E107" s="6"/>
      <c r="F107" s="6"/>
      <c r="G107" s="6"/>
      <c r="H107" s="82"/>
      <c r="I107" s="6"/>
      <c r="J107" s="6"/>
      <c r="K107" s="1"/>
      <c r="L107" s="1"/>
      <c r="M107" s="1"/>
      <c r="N107" s="1"/>
      <c r="O107" s="1"/>
      <c r="P107" s="1"/>
      <c r="Q107" s="1"/>
      <c r="R107" s="1"/>
      <c r="S107" s="1"/>
      <c r="T107" s="1"/>
      <c r="U107" s="1"/>
      <c r="V107" s="1"/>
      <c r="W107" s="1"/>
      <c r="X107" s="1"/>
      <c r="Y107" s="1"/>
      <c r="Z107" s="1"/>
    </row>
    <row r="108" spans="1:26" ht="15.75" customHeight="1" x14ac:dyDescent="0.3">
      <c r="A108" s="148"/>
      <c r="B108" s="6"/>
      <c r="C108" s="6"/>
      <c r="D108" s="82"/>
      <c r="E108" s="6"/>
      <c r="F108" s="6"/>
      <c r="G108" s="6"/>
      <c r="H108" s="82"/>
      <c r="I108" s="6"/>
      <c r="J108" s="6"/>
      <c r="K108" s="1"/>
      <c r="L108" s="1"/>
      <c r="M108" s="1"/>
      <c r="N108" s="1"/>
      <c r="O108" s="1"/>
      <c r="P108" s="1"/>
      <c r="Q108" s="1"/>
      <c r="R108" s="1"/>
      <c r="S108" s="1"/>
      <c r="T108" s="1"/>
      <c r="U108" s="1"/>
      <c r="V108" s="1"/>
      <c r="W108" s="1"/>
      <c r="X108" s="1"/>
      <c r="Y108" s="1"/>
      <c r="Z108" s="1"/>
    </row>
    <row r="109" spans="1:26" ht="15.75" customHeight="1" x14ac:dyDescent="0.3">
      <c r="A109" s="148"/>
      <c r="B109" s="6"/>
      <c r="C109" s="6"/>
      <c r="D109" s="82"/>
      <c r="E109" s="6"/>
      <c r="F109" s="6"/>
      <c r="G109" s="6"/>
      <c r="H109" s="82"/>
      <c r="I109" s="6"/>
      <c r="J109" s="6"/>
      <c r="K109" s="1"/>
      <c r="L109" s="1"/>
      <c r="M109" s="1"/>
      <c r="N109" s="1"/>
      <c r="O109" s="1"/>
      <c r="P109" s="1"/>
      <c r="Q109" s="1"/>
      <c r="R109" s="1"/>
      <c r="S109" s="1"/>
      <c r="T109" s="1"/>
      <c r="U109" s="1"/>
      <c r="V109" s="1"/>
      <c r="W109" s="1"/>
      <c r="X109" s="1"/>
      <c r="Y109" s="1"/>
      <c r="Z109" s="1"/>
    </row>
    <row r="110" spans="1:26" ht="15.75" customHeight="1" x14ac:dyDescent="0.3">
      <c r="A110" s="148"/>
      <c r="B110" s="6"/>
      <c r="C110" s="6"/>
      <c r="D110" s="82"/>
      <c r="E110" s="6"/>
      <c r="F110" s="6"/>
      <c r="G110" s="6"/>
      <c r="H110" s="82"/>
      <c r="I110" s="6"/>
      <c r="J110" s="6"/>
      <c r="K110" s="1"/>
      <c r="L110" s="1"/>
      <c r="M110" s="1"/>
      <c r="N110" s="1"/>
      <c r="O110" s="1"/>
      <c r="P110" s="1"/>
      <c r="Q110" s="1"/>
      <c r="R110" s="1"/>
      <c r="S110" s="1"/>
      <c r="T110" s="1"/>
      <c r="U110" s="1"/>
      <c r="V110" s="1"/>
      <c r="W110" s="1"/>
      <c r="X110" s="1"/>
      <c r="Y110" s="1"/>
      <c r="Z110" s="1"/>
    </row>
    <row r="111" spans="1:26" ht="15.75" customHeight="1" x14ac:dyDescent="0.3">
      <c r="A111" s="148"/>
      <c r="B111" s="6"/>
      <c r="C111" s="6"/>
      <c r="D111" s="82"/>
      <c r="E111" s="6"/>
      <c r="F111" s="6"/>
      <c r="G111" s="6"/>
      <c r="H111" s="82"/>
      <c r="I111" s="6"/>
      <c r="J111" s="6"/>
      <c r="K111" s="1"/>
      <c r="L111" s="1"/>
      <c r="M111" s="1"/>
      <c r="N111" s="1"/>
      <c r="O111" s="1"/>
      <c r="P111" s="1"/>
      <c r="Q111" s="1"/>
      <c r="R111" s="1"/>
      <c r="S111" s="1"/>
      <c r="T111" s="1"/>
      <c r="U111" s="1"/>
      <c r="V111" s="1"/>
      <c r="W111" s="1"/>
      <c r="X111" s="1"/>
      <c r="Y111" s="1"/>
      <c r="Z111" s="1"/>
    </row>
    <row r="112" spans="1:26" ht="15.75" customHeight="1" x14ac:dyDescent="0.3">
      <c r="A112" s="148"/>
      <c r="B112" s="6"/>
      <c r="C112" s="6"/>
      <c r="D112" s="82"/>
      <c r="E112" s="6"/>
      <c r="F112" s="6"/>
      <c r="G112" s="6"/>
      <c r="H112" s="82"/>
      <c r="I112" s="6"/>
      <c r="J112" s="6"/>
      <c r="K112" s="1"/>
      <c r="L112" s="1"/>
      <c r="M112" s="1"/>
      <c r="N112" s="1"/>
      <c r="O112" s="1"/>
      <c r="P112" s="1"/>
      <c r="Q112" s="1"/>
      <c r="R112" s="1"/>
      <c r="S112" s="1"/>
      <c r="T112" s="1"/>
      <c r="U112" s="1"/>
      <c r="V112" s="1"/>
      <c r="W112" s="1"/>
      <c r="X112" s="1"/>
      <c r="Y112" s="1"/>
      <c r="Z112" s="1"/>
    </row>
    <row r="113" spans="1:26" ht="15.75" customHeight="1" x14ac:dyDescent="0.3">
      <c r="A113" s="148"/>
      <c r="B113" s="6"/>
      <c r="C113" s="6"/>
      <c r="D113" s="82"/>
      <c r="E113" s="6"/>
      <c r="F113" s="6"/>
      <c r="G113" s="6"/>
      <c r="H113" s="82"/>
      <c r="I113" s="6"/>
      <c r="J113" s="6"/>
      <c r="K113" s="1"/>
      <c r="L113" s="1"/>
      <c r="M113" s="1"/>
      <c r="N113" s="1"/>
      <c r="O113" s="1"/>
      <c r="P113" s="1"/>
      <c r="Q113" s="1"/>
      <c r="R113" s="1"/>
      <c r="S113" s="1"/>
      <c r="T113" s="1"/>
      <c r="U113" s="1"/>
      <c r="V113" s="1"/>
      <c r="W113" s="1"/>
      <c r="X113" s="1"/>
      <c r="Y113" s="1"/>
      <c r="Z113" s="1"/>
    </row>
    <row r="114" spans="1:26" ht="15.75" customHeight="1" x14ac:dyDescent="0.3">
      <c r="A114" s="148"/>
      <c r="B114" s="6"/>
      <c r="C114" s="6"/>
      <c r="D114" s="82"/>
      <c r="E114" s="6"/>
      <c r="F114" s="6"/>
      <c r="G114" s="6"/>
      <c r="H114" s="82"/>
      <c r="I114" s="6"/>
      <c r="J114" s="6"/>
      <c r="K114" s="1"/>
      <c r="L114" s="1"/>
      <c r="M114" s="1"/>
      <c r="N114" s="1"/>
      <c r="O114" s="1"/>
      <c r="P114" s="1"/>
      <c r="Q114" s="1"/>
      <c r="R114" s="1"/>
      <c r="S114" s="1"/>
      <c r="T114" s="1"/>
      <c r="U114" s="1"/>
      <c r="V114" s="1"/>
      <c r="W114" s="1"/>
      <c r="X114" s="1"/>
      <c r="Y114" s="1"/>
      <c r="Z114" s="1"/>
    </row>
    <row r="115" spans="1:26" ht="15.75" customHeight="1" x14ac:dyDescent="0.3">
      <c r="A115" s="148"/>
      <c r="B115" s="6"/>
      <c r="C115" s="6"/>
      <c r="D115" s="82"/>
      <c r="E115" s="6"/>
      <c r="F115" s="6"/>
      <c r="G115" s="6"/>
      <c r="H115" s="82"/>
      <c r="I115" s="6"/>
      <c r="J115" s="6"/>
      <c r="K115" s="1"/>
      <c r="L115" s="1"/>
      <c r="M115" s="1"/>
      <c r="N115" s="1"/>
      <c r="O115" s="1"/>
      <c r="P115" s="1"/>
      <c r="Q115" s="1"/>
      <c r="R115" s="1"/>
      <c r="S115" s="1"/>
      <c r="T115" s="1"/>
      <c r="U115" s="1"/>
      <c r="V115" s="1"/>
      <c r="W115" s="1"/>
      <c r="X115" s="1"/>
      <c r="Y115" s="1"/>
      <c r="Z115" s="1"/>
    </row>
    <row r="116" spans="1:26" ht="15.75" customHeight="1" x14ac:dyDescent="0.3">
      <c r="A116" s="148"/>
      <c r="B116" s="6"/>
      <c r="C116" s="6"/>
      <c r="D116" s="82"/>
      <c r="E116" s="6"/>
      <c r="F116" s="6"/>
      <c r="G116" s="6"/>
      <c r="H116" s="82"/>
      <c r="I116" s="6"/>
      <c r="J116" s="6"/>
      <c r="K116" s="1"/>
      <c r="L116" s="1"/>
      <c r="M116" s="1"/>
      <c r="N116" s="1"/>
      <c r="O116" s="1"/>
      <c r="P116" s="1"/>
      <c r="Q116" s="1"/>
      <c r="R116" s="1"/>
      <c r="S116" s="1"/>
      <c r="T116" s="1"/>
      <c r="U116" s="1"/>
      <c r="V116" s="1"/>
      <c r="W116" s="1"/>
      <c r="X116" s="1"/>
      <c r="Y116" s="1"/>
      <c r="Z116" s="1"/>
    </row>
    <row r="117" spans="1:26" ht="15.75" customHeight="1" x14ac:dyDescent="0.3">
      <c r="A117" s="148"/>
      <c r="B117" s="6"/>
      <c r="C117" s="6"/>
      <c r="D117" s="82"/>
      <c r="E117" s="6"/>
      <c r="F117" s="6"/>
      <c r="G117" s="6"/>
      <c r="H117" s="82"/>
      <c r="I117" s="6"/>
      <c r="J117" s="6"/>
      <c r="K117" s="1"/>
      <c r="L117" s="1"/>
      <c r="M117" s="1"/>
      <c r="N117" s="1"/>
      <c r="O117" s="1"/>
      <c r="P117" s="1"/>
      <c r="Q117" s="1"/>
      <c r="R117" s="1"/>
      <c r="S117" s="1"/>
      <c r="T117" s="1"/>
      <c r="U117" s="1"/>
      <c r="V117" s="1"/>
      <c r="W117" s="1"/>
      <c r="X117" s="1"/>
      <c r="Y117" s="1"/>
      <c r="Z117" s="1"/>
    </row>
    <row r="118" spans="1:26" ht="15.75" customHeight="1" x14ac:dyDescent="0.3">
      <c r="A118" s="148"/>
      <c r="B118" s="6"/>
      <c r="C118" s="6"/>
      <c r="D118" s="82"/>
      <c r="E118" s="6"/>
      <c r="F118" s="6"/>
      <c r="G118" s="6"/>
      <c r="H118" s="82"/>
      <c r="I118" s="6"/>
      <c r="J118" s="6"/>
      <c r="K118" s="1"/>
      <c r="L118" s="1"/>
      <c r="M118" s="1"/>
      <c r="N118" s="1"/>
      <c r="O118" s="1"/>
      <c r="P118" s="1"/>
      <c r="Q118" s="1"/>
      <c r="R118" s="1"/>
      <c r="S118" s="1"/>
      <c r="T118" s="1"/>
      <c r="U118" s="1"/>
      <c r="V118" s="1"/>
      <c r="W118" s="1"/>
      <c r="X118" s="1"/>
      <c r="Y118" s="1"/>
      <c r="Z118" s="1"/>
    </row>
    <row r="119" spans="1:26" ht="15.75" customHeight="1" x14ac:dyDescent="0.3">
      <c r="A119" s="148"/>
      <c r="B119" s="6"/>
      <c r="C119" s="6"/>
      <c r="D119" s="82"/>
      <c r="E119" s="6"/>
      <c r="F119" s="6"/>
      <c r="G119" s="6"/>
      <c r="H119" s="82"/>
      <c r="I119" s="6"/>
      <c r="J119" s="6"/>
      <c r="K119" s="1"/>
      <c r="L119" s="1"/>
      <c r="M119" s="1"/>
      <c r="N119" s="1"/>
      <c r="O119" s="1"/>
      <c r="P119" s="1"/>
      <c r="Q119" s="1"/>
      <c r="R119" s="1"/>
      <c r="S119" s="1"/>
      <c r="T119" s="1"/>
      <c r="U119" s="1"/>
      <c r="V119" s="1"/>
      <c r="W119" s="1"/>
      <c r="X119" s="1"/>
      <c r="Y119" s="1"/>
      <c r="Z119" s="1"/>
    </row>
    <row r="120" spans="1:26" ht="15.75" customHeight="1" x14ac:dyDescent="0.3">
      <c r="A120" s="148"/>
      <c r="B120" s="6"/>
      <c r="C120" s="6"/>
      <c r="D120" s="82"/>
      <c r="E120" s="6"/>
      <c r="F120" s="6"/>
      <c r="G120" s="6"/>
      <c r="H120" s="82"/>
      <c r="I120" s="6"/>
      <c r="J120" s="6"/>
      <c r="K120" s="1"/>
      <c r="L120" s="1"/>
      <c r="M120" s="1"/>
      <c r="N120" s="1"/>
      <c r="O120" s="1"/>
      <c r="P120" s="1"/>
      <c r="Q120" s="1"/>
      <c r="R120" s="1"/>
      <c r="S120" s="1"/>
      <c r="T120" s="1"/>
      <c r="U120" s="1"/>
      <c r="V120" s="1"/>
      <c r="W120" s="1"/>
      <c r="X120" s="1"/>
      <c r="Y120" s="1"/>
      <c r="Z120" s="1"/>
    </row>
    <row r="121" spans="1:26" ht="15.75" customHeight="1" x14ac:dyDescent="0.3">
      <c r="A121" s="148"/>
      <c r="B121" s="6"/>
      <c r="C121" s="6"/>
      <c r="D121" s="82"/>
      <c r="E121" s="6"/>
      <c r="F121" s="6"/>
      <c r="G121" s="6"/>
      <c r="H121" s="82"/>
      <c r="I121" s="6"/>
      <c r="J121" s="6"/>
      <c r="K121" s="1"/>
      <c r="L121" s="1"/>
      <c r="M121" s="1"/>
      <c r="N121" s="1"/>
      <c r="O121" s="1"/>
      <c r="P121" s="1"/>
      <c r="Q121" s="1"/>
      <c r="R121" s="1"/>
      <c r="S121" s="1"/>
      <c r="T121" s="1"/>
      <c r="U121" s="1"/>
      <c r="V121" s="1"/>
      <c r="W121" s="1"/>
      <c r="X121" s="1"/>
      <c r="Y121" s="1"/>
      <c r="Z121" s="1"/>
    </row>
    <row r="122" spans="1:26" ht="15.75" customHeight="1" x14ac:dyDescent="0.3">
      <c r="A122" s="148"/>
      <c r="B122" s="6"/>
      <c r="C122" s="6"/>
      <c r="D122" s="82"/>
      <c r="E122" s="6"/>
      <c r="F122" s="6"/>
      <c r="G122" s="6"/>
      <c r="H122" s="82"/>
      <c r="I122" s="6"/>
      <c r="J122" s="6"/>
      <c r="K122" s="1"/>
      <c r="L122" s="1"/>
      <c r="M122" s="1"/>
      <c r="N122" s="1"/>
      <c r="O122" s="1"/>
      <c r="P122" s="1"/>
      <c r="Q122" s="1"/>
      <c r="R122" s="1"/>
      <c r="S122" s="1"/>
      <c r="T122" s="1"/>
      <c r="U122" s="1"/>
      <c r="V122" s="1"/>
      <c r="W122" s="1"/>
      <c r="X122" s="1"/>
      <c r="Y122" s="1"/>
      <c r="Z122" s="1"/>
    </row>
    <row r="123" spans="1:26" ht="15.75" customHeight="1" x14ac:dyDescent="0.3">
      <c r="A123" s="148"/>
      <c r="B123" s="6"/>
      <c r="C123" s="6"/>
      <c r="D123" s="82"/>
      <c r="E123" s="6"/>
      <c r="F123" s="6"/>
      <c r="G123" s="6"/>
      <c r="H123" s="82"/>
      <c r="I123" s="6"/>
      <c r="J123" s="6"/>
      <c r="K123" s="1"/>
      <c r="L123" s="1"/>
      <c r="M123" s="1"/>
      <c r="N123" s="1"/>
      <c r="O123" s="1"/>
      <c r="P123" s="1"/>
      <c r="Q123" s="1"/>
      <c r="R123" s="1"/>
      <c r="S123" s="1"/>
      <c r="T123" s="1"/>
      <c r="U123" s="1"/>
      <c r="V123" s="1"/>
      <c r="W123" s="1"/>
      <c r="X123" s="1"/>
      <c r="Y123" s="1"/>
      <c r="Z123" s="1"/>
    </row>
    <row r="124" spans="1:26" ht="15.75" customHeight="1" x14ac:dyDescent="0.3">
      <c r="A124" s="148"/>
      <c r="B124" s="6"/>
      <c r="C124" s="6"/>
      <c r="D124" s="82"/>
      <c r="E124" s="6"/>
      <c r="F124" s="6"/>
      <c r="G124" s="6"/>
      <c r="H124" s="82"/>
      <c r="I124" s="6"/>
      <c r="J124" s="6"/>
      <c r="K124" s="1"/>
      <c r="L124" s="1"/>
      <c r="M124" s="1"/>
      <c r="N124" s="1"/>
      <c r="O124" s="1"/>
      <c r="P124" s="1"/>
      <c r="Q124" s="1"/>
      <c r="R124" s="1"/>
      <c r="S124" s="1"/>
      <c r="T124" s="1"/>
      <c r="U124" s="1"/>
      <c r="V124" s="1"/>
      <c r="W124" s="1"/>
      <c r="X124" s="1"/>
      <c r="Y124" s="1"/>
      <c r="Z124" s="1"/>
    </row>
    <row r="125" spans="1:26" ht="15.75" customHeight="1" x14ac:dyDescent="0.3">
      <c r="A125" s="148"/>
      <c r="B125" s="6"/>
      <c r="C125" s="6"/>
      <c r="D125" s="82"/>
      <c r="E125" s="6"/>
      <c r="F125" s="6"/>
      <c r="G125" s="6"/>
      <c r="H125" s="82"/>
      <c r="I125" s="6"/>
      <c r="J125" s="6"/>
      <c r="K125" s="1"/>
      <c r="L125" s="1"/>
      <c r="M125" s="1"/>
      <c r="N125" s="1"/>
      <c r="O125" s="1"/>
      <c r="P125" s="1"/>
      <c r="Q125" s="1"/>
      <c r="R125" s="1"/>
      <c r="S125" s="1"/>
      <c r="T125" s="1"/>
      <c r="U125" s="1"/>
      <c r="V125" s="1"/>
      <c r="W125" s="1"/>
      <c r="X125" s="1"/>
      <c r="Y125" s="1"/>
      <c r="Z125" s="1"/>
    </row>
    <row r="126" spans="1:26" ht="15.75" customHeight="1" x14ac:dyDescent="0.3">
      <c r="A126" s="148"/>
      <c r="B126" s="6"/>
      <c r="C126" s="6"/>
      <c r="D126" s="82"/>
      <c r="E126" s="6"/>
      <c r="F126" s="6"/>
      <c r="G126" s="6"/>
      <c r="H126" s="82"/>
      <c r="I126" s="6"/>
      <c r="J126" s="6"/>
      <c r="K126" s="1"/>
      <c r="L126" s="1"/>
      <c r="M126" s="1"/>
      <c r="N126" s="1"/>
      <c r="O126" s="1"/>
      <c r="P126" s="1"/>
      <c r="Q126" s="1"/>
      <c r="R126" s="1"/>
      <c r="S126" s="1"/>
      <c r="T126" s="1"/>
      <c r="U126" s="1"/>
      <c r="V126" s="1"/>
      <c r="W126" s="1"/>
      <c r="X126" s="1"/>
      <c r="Y126" s="1"/>
      <c r="Z126" s="1"/>
    </row>
    <row r="127" spans="1:26" ht="15.75" customHeight="1" x14ac:dyDescent="0.3">
      <c r="A127" s="148"/>
      <c r="B127" s="6"/>
      <c r="C127" s="6"/>
      <c r="D127" s="82"/>
      <c r="E127" s="6"/>
      <c r="F127" s="6"/>
      <c r="G127" s="6"/>
      <c r="H127" s="82"/>
      <c r="I127" s="6"/>
      <c r="J127" s="6"/>
      <c r="K127" s="1"/>
      <c r="L127" s="1"/>
      <c r="M127" s="1"/>
      <c r="N127" s="1"/>
      <c r="O127" s="1"/>
      <c r="P127" s="1"/>
      <c r="Q127" s="1"/>
      <c r="R127" s="1"/>
      <c r="S127" s="1"/>
      <c r="T127" s="1"/>
      <c r="U127" s="1"/>
      <c r="V127" s="1"/>
      <c r="W127" s="1"/>
      <c r="X127" s="1"/>
      <c r="Y127" s="1"/>
      <c r="Z127" s="1"/>
    </row>
    <row r="128" spans="1:26" ht="15.75" customHeight="1" x14ac:dyDescent="0.3">
      <c r="A128" s="148"/>
      <c r="B128" s="6"/>
      <c r="C128" s="6"/>
      <c r="D128" s="82"/>
      <c r="E128" s="6"/>
      <c r="F128" s="6"/>
      <c r="G128" s="6"/>
      <c r="H128" s="82"/>
      <c r="I128" s="6"/>
      <c r="J128" s="6"/>
      <c r="K128" s="1"/>
      <c r="L128" s="1"/>
      <c r="M128" s="1"/>
      <c r="N128" s="1"/>
      <c r="O128" s="1"/>
      <c r="P128" s="1"/>
      <c r="Q128" s="1"/>
      <c r="R128" s="1"/>
      <c r="S128" s="1"/>
      <c r="T128" s="1"/>
      <c r="U128" s="1"/>
      <c r="V128" s="1"/>
      <c r="W128" s="1"/>
      <c r="X128" s="1"/>
      <c r="Y128" s="1"/>
      <c r="Z128" s="1"/>
    </row>
    <row r="129" spans="1:26" ht="15.75" customHeight="1" x14ac:dyDescent="0.3">
      <c r="A129" s="148"/>
      <c r="B129" s="6"/>
      <c r="C129" s="6"/>
      <c r="D129" s="82"/>
      <c r="E129" s="6"/>
      <c r="F129" s="6"/>
      <c r="G129" s="6"/>
      <c r="H129" s="82"/>
      <c r="I129" s="6"/>
      <c r="J129" s="6"/>
      <c r="K129" s="1"/>
      <c r="L129" s="1"/>
      <c r="M129" s="1"/>
      <c r="N129" s="1"/>
      <c r="O129" s="1"/>
      <c r="P129" s="1"/>
      <c r="Q129" s="1"/>
      <c r="R129" s="1"/>
      <c r="S129" s="1"/>
      <c r="T129" s="1"/>
      <c r="U129" s="1"/>
      <c r="V129" s="1"/>
      <c r="W129" s="1"/>
      <c r="X129" s="1"/>
      <c r="Y129" s="1"/>
      <c r="Z129" s="1"/>
    </row>
    <row r="130" spans="1:26" ht="15.75" customHeight="1" x14ac:dyDescent="0.3">
      <c r="A130" s="148"/>
      <c r="B130" s="6"/>
      <c r="C130" s="6"/>
      <c r="D130" s="82"/>
      <c r="E130" s="6"/>
      <c r="F130" s="6"/>
      <c r="G130" s="6"/>
      <c r="H130" s="82"/>
      <c r="I130" s="6"/>
      <c r="J130" s="6"/>
      <c r="K130" s="1"/>
      <c r="L130" s="1"/>
      <c r="M130" s="1"/>
      <c r="N130" s="1"/>
      <c r="O130" s="1"/>
      <c r="P130" s="1"/>
      <c r="Q130" s="1"/>
      <c r="R130" s="1"/>
      <c r="S130" s="1"/>
      <c r="T130" s="1"/>
      <c r="U130" s="1"/>
      <c r="V130" s="1"/>
      <c r="W130" s="1"/>
      <c r="X130" s="1"/>
      <c r="Y130" s="1"/>
      <c r="Z130" s="1"/>
    </row>
    <row r="131" spans="1:26" ht="15.75" customHeight="1" x14ac:dyDescent="0.3">
      <c r="A131" s="148"/>
      <c r="B131" s="6"/>
      <c r="C131" s="6"/>
      <c r="D131" s="82"/>
      <c r="E131" s="6"/>
      <c r="F131" s="6"/>
      <c r="G131" s="6"/>
      <c r="H131" s="82"/>
      <c r="I131" s="6"/>
      <c r="J131" s="6"/>
      <c r="K131" s="1"/>
      <c r="L131" s="1"/>
      <c r="M131" s="1"/>
      <c r="N131" s="1"/>
      <c r="O131" s="1"/>
      <c r="P131" s="1"/>
      <c r="Q131" s="1"/>
      <c r="R131" s="1"/>
      <c r="S131" s="1"/>
      <c r="T131" s="1"/>
      <c r="U131" s="1"/>
      <c r="V131" s="1"/>
      <c r="W131" s="1"/>
      <c r="X131" s="1"/>
      <c r="Y131" s="1"/>
      <c r="Z131" s="1"/>
    </row>
    <row r="132" spans="1:26" ht="15.75" customHeight="1" x14ac:dyDescent="0.3">
      <c r="A132" s="148"/>
      <c r="B132" s="6"/>
      <c r="C132" s="6"/>
      <c r="D132" s="82"/>
      <c r="E132" s="6"/>
      <c r="F132" s="6"/>
      <c r="G132" s="6"/>
      <c r="H132" s="82"/>
      <c r="I132" s="6"/>
      <c r="J132" s="6"/>
      <c r="K132" s="1"/>
      <c r="L132" s="1"/>
      <c r="M132" s="1"/>
      <c r="N132" s="1"/>
      <c r="O132" s="1"/>
      <c r="P132" s="1"/>
      <c r="Q132" s="1"/>
      <c r="R132" s="1"/>
      <c r="S132" s="1"/>
      <c r="T132" s="1"/>
      <c r="U132" s="1"/>
      <c r="V132" s="1"/>
      <c r="W132" s="1"/>
      <c r="X132" s="1"/>
      <c r="Y132" s="1"/>
      <c r="Z132" s="1"/>
    </row>
    <row r="133" spans="1:26" ht="15.75" customHeight="1" x14ac:dyDescent="0.3">
      <c r="A133" s="148"/>
      <c r="B133" s="6"/>
      <c r="C133" s="6"/>
      <c r="D133" s="82"/>
      <c r="E133" s="6"/>
      <c r="F133" s="6"/>
      <c r="G133" s="6"/>
      <c r="H133" s="82"/>
      <c r="I133" s="6"/>
      <c r="J133" s="6"/>
      <c r="K133" s="1"/>
      <c r="L133" s="1"/>
      <c r="M133" s="1"/>
      <c r="N133" s="1"/>
      <c r="O133" s="1"/>
      <c r="P133" s="1"/>
      <c r="Q133" s="1"/>
      <c r="R133" s="1"/>
      <c r="S133" s="1"/>
      <c r="T133" s="1"/>
      <c r="U133" s="1"/>
      <c r="V133" s="1"/>
      <c r="W133" s="1"/>
      <c r="X133" s="1"/>
      <c r="Y133" s="1"/>
      <c r="Z133" s="1"/>
    </row>
    <row r="134" spans="1:26" ht="15.75" customHeight="1" x14ac:dyDescent="0.3">
      <c r="A134" s="148"/>
      <c r="B134" s="6"/>
      <c r="C134" s="6"/>
      <c r="D134" s="82"/>
      <c r="E134" s="6"/>
      <c r="F134" s="6"/>
      <c r="G134" s="6"/>
      <c r="H134" s="82"/>
      <c r="I134" s="6"/>
      <c r="J134" s="6"/>
      <c r="K134" s="1"/>
      <c r="L134" s="1"/>
      <c r="M134" s="1"/>
      <c r="N134" s="1"/>
      <c r="O134" s="1"/>
      <c r="P134" s="1"/>
      <c r="Q134" s="1"/>
      <c r="R134" s="1"/>
      <c r="S134" s="1"/>
      <c r="T134" s="1"/>
      <c r="U134" s="1"/>
      <c r="V134" s="1"/>
      <c r="W134" s="1"/>
      <c r="X134" s="1"/>
      <c r="Y134" s="1"/>
      <c r="Z134" s="1"/>
    </row>
    <row r="135" spans="1:26" ht="15.75" customHeight="1" x14ac:dyDescent="0.3">
      <c r="A135" s="148"/>
      <c r="B135" s="6"/>
      <c r="C135" s="6"/>
      <c r="D135" s="82"/>
      <c r="E135" s="6"/>
      <c r="F135" s="6"/>
      <c r="G135" s="6"/>
      <c r="H135" s="82"/>
      <c r="I135" s="6"/>
      <c r="J135" s="6"/>
      <c r="K135" s="1"/>
      <c r="L135" s="1"/>
      <c r="M135" s="1"/>
      <c r="N135" s="1"/>
      <c r="O135" s="1"/>
      <c r="P135" s="1"/>
      <c r="Q135" s="1"/>
      <c r="R135" s="1"/>
      <c r="S135" s="1"/>
      <c r="T135" s="1"/>
      <c r="U135" s="1"/>
      <c r="V135" s="1"/>
      <c r="W135" s="1"/>
      <c r="X135" s="1"/>
      <c r="Y135" s="1"/>
      <c r="Z135" s="1"/>
    </row>
    <row r="136" spans="1:26" ht="15.75" customHeight="1" x14ac:dyDescent="0.3">
      <c r="A136" s="148"/>
      <c r="B136" s="6"/>
      <c r="C136" s="6"/>
      <c r="D136" s="82"/>
      <c r="E136" s="6"/>
      <c r="F136" s="6"/>
      <c r="G136" s="6"/>
      <c r="H136" s="82"/>
      <c r="I136" s="6"/>
      <c r="J136" s="6"/>
      <c r="K136" s="1"/>
      <c r="L136" s="1"/>
      <c r="M136" s="1"/>
      <c r="N136" s="1"/>
      <c r="O136" s="1"/>
      <c r="P136" s="1"/>
      <c r="Q136" s="1"/>
      <c r="R136" s="1"/>
      <c r="S136" s="1"/>
      <c r="T136" s="1"/>
      <c r="U136" s="1"/>
      <c r="V136" s="1"/>
      <c r="W136" s="1"/>
      <c r="X136" s="1"/>
      <c r="Y136" s="1"/>
      <c r="Z136" s="1"/>
    </row>
    <row r="137" spans="1:26" ht="15.75" customHeight="1" x14ac:dyDescent="0.3">
      <c r="A137" s="148"/>
      <c r="B137" s="6"/>
      <c r="C137" s="6"/>
      <c r="D137" s="82"/>
      <c r="E137" s="6"/>
      <c r="F137" s="6"/>
      <c r="G137" s="6"/>
      <c r="H137" s="82"/>
      <c r="I137" s="6"/>
      <c r="J137" s="6"/>
      <c r="K137" s="1"/>
      <c r="L137" s="1"/>
      <c r="M137" s="1"/>
      <c r="N137" s="1"/>
      <c r="O137" s="1"/>
      <c r="P137" s="1"/>
      <c r="Q137" s="1"/>
      <c r="R137" s="1"/>
      <c r="S137" s="1"/>
      <c r="T137" s="1"/>
      <c r="U137" s="1"/>
      <c r="V137" s="1"/>
      <c r="W137" s="1"/>
      <c r="X137" s="1"/>
      <c r="Y137" s="1"/>
      <c r="Z137" s="1"/>
    </row>
    <row r="138" spans="1:26" ht="15.75" customHeight="1" x14ac:dyDescent="0.3">
      <c r="A138" s="148"/>
      <c r="B138" s="6"/>
      <c r="C138" s="6"/>
      <c r="D138" s="82"/>
      <c r="E138" s="6"/>
      <c r="F138" s="6"/>
      <c r="G138" s="6"/>
      <c r="H138" s="82"/>
      <c r="I138" s="6"/>
      <c r="J138" s="6"/>
      <c r="K138" s="1"/>
      <c r="L138" s="1"/>
      <c r="M138" s="1"/>
      <c r="N138" s="1"/>
      <c r="O138" s="1"/>
      <c r="P138" s="1"/>
      <c r="Q138" s="1"/>
      <c r="R138" s="1"/>
      <c r="S138" s="1"/>
      <c r="T138" s="1"/>
      <c r="U138" s="1"/>
      <c r="V138" s="1"/>
      <c r="W138" s="1"/>
      <c r="X138" s="1"/>
      <c r="Y138" s="1"/>
      <c r="Z138" s="1"/>
    </row>
    <row r="139" spans="1:26" ht="15.75" customHeight="1" x14ac:dyDescent="0.3">
      <c r="A139" s="148"/>
      <c r="B139" s="6"/>
      <c r="C139" s="6"/>
      <c r="D139" s="82"/>
      <c r="E139" s="6"/>
      <c r="F139" s="6"/>
      <c r="G139" s="6"/>
      <c r="H139" s="82"/>
      <c r="I139" s="6"/>
      <c r="J139" s="6"/>
      <c r="K139" s="1"/>
      <c r="L139" s="1"/>
      <c r="M139" s="1"/>
      <c r="N139" s="1"/>
      <c r="O139" s="1"/>
      <c r="P139" s="1"/>
      <c r="Q139" s="1"/>
      <c r="R139" s="1"/>
      <c r="S139" s="1"/>
      <c r="T139" s="1"/>
      <c r="U139" s="1"/>
      <c r="V139" s="1"/>
      <c r="W139" s="1"/>
      <c r="X139" s="1"/>
      <c r="Y139" s="1"/>
      <c r="Z139" s="1"/>
    </row>
    <row r="140" spans="1:26" ht="15.75" customHeight="1" x14ac:dyDescent="0.3">
      <c r="A140" s="148"/>
      <c r="B140" s="6"/>
      <c r="C140" s="6"/>
      <c r="D140" s="82"/>
      <c r="E140" s="6"/>
      <c r="F140" s="6"/>
      <c r="G140" s="6"/>
      <c r="H140" s="82"/>
      <c r="I140" s="6"/>
      <c r="J140" s="6"/>
      <c r="K140" s="1"/>
      <c r="L140" s="1"/>
      <c r="M140" s="1"/>
      <c r="N140" s="1"/>
      <c r="O140" s="1"/>
      <c r="P140" s="1"/>
      <c r="Q140" s="1"/>
      <c r="R140" s="1"/>
      <c r="S140" s="1"/>
      <c r="T140" s="1"/>
      <c r="U140" s="1"/>
      <c r="V140" s="1"/>
      <c r="W140" s="1"/>
      <c r="X140" s="1"/>
      <c r="Y140" s="1"/>
      <c r="Z140" s="1"/>
    </row>
    <row r="141" spans="1:26" ht="15.75" customHeight="1" x14ac:dyDescent="0.3">
      <c r="A141" s="148"/>
      <c r="B141" s="6"/>
      <c r="C141" s="6"/>
      <c r="D141" s="82"/>
      <c r="E141" s="6"/>
      <c r="F141" s="6"/>
      <c r="G141" s="6"/>
      <c r="H141" s="82"/>
      <c r="I141" s="6"/>
      <c r="J141" s="6"/>
      <c r="K141" s="1"/>
      <c r="L141" s="1"/>
      <c r="M141" s="1"/>
      <c r="N141" s="1"/>
      <c r="O141" s="1"/>
      <c r="P141" s="1"/>
      <c r="Q141" s="1"/>
      <c r="R141" s="1"/>
      <c r="S141" s="1"/>
      <c r="T141" s="1"/>
      <c r="U141" s="1"/>
      <c r="V141" s="1"/>
      <c r="W141" s="1"/>
      <c r="X141" s="1"/>
      <c r="Y141" s="1"/>
      <c r="Z141" s="1"/>
    </row>
    <row r="142" spans="1:26" ht="15.75" customHeight="1" x14ac:dyDescent="0.3">
      <c r="A142" s="148"/>
      <c r="B142" s="6"/>
      <c r="C142" s="6"/>
      <c r="D142" s="82"/>
      <c r="E142" s="6"/>
      <c r="F142" s="6"/>
      <c r="G142" s="6"/>
      <c r="H142" s="82"/>
      <c r="I142" s="6"/>
      <c r="J142" s="6"/>
      <c r="K142" s="1"/>
      <c r="L142" s="1"/>
      <c r="M142" s="1"/>
      <c r="N142" s="1"/>
      <c r="O142" s="1"/>
      <c r="P142" s="1"/>
      <c r="Q142" s="1"/>
      <c r="R142" s="1"/>
      <c r="S142" s="1"/>
      <c r="T142" s="1"/>
      <c r="U142" s="1"/>
      <c r="V142" s="1"/>
      <c r="W142" s="1"/>
      <c r="X142" s="1"/>
      <c r="Y142" s="1"/>
      <c r="Z142" s="1"/>
    </row>
    <row r="143" spans="1:26" ht="15.75" customHeight="1" x14ac:dyDescent="0.3">
      <c r="A143" s="148"/>
      <c r="B143" s="6"/>
      <c r="C143" s="6"/>
      <c r="D143" s="82"/>
      <c r="E143" s="6"/>
      <c r="F143" s="6"/>
      <c r="G143" s="6"/>
      <c r="H143" s="82"/>
      <c r="I143" s="6"/>
      <c r="J143" s="6"/>
      <c r="K143" s="1"/>
      <c r="L143" s="1"/>
      <c r="M143" s="1"/>
      <c r="N143" s="1"/>
      <c r="O143" s="1"/>
      <c r="P143" s="1"/>
      <c r="Q143" s="1"/>
      <c r="R143" s="1"/>
      <c r="S143" s="1"/>
      <c r="T143" s="1"/>
      <c r="U143" s="1"/>
      <c r="V143" s="1"/>
      <c r="W143" s="1"/>
      <c r="X143" s="1"/>
      <c r="Y143" s="1"/>
      <c r="Z143" s="1"/>
    </row>
    <row r="144" spans="1:26" ht="15.75" customHeight="1" x14ac:dyDescent="0.3">
      <c r="A144" s="148"/>
      <c r="B144" s="6"/>
      <c r="C144" s="6"/>
      <c r="D144" s="82"/>
      <c r="E144" s="6"/>
      <c r="F144" s="6"/>
      <c r="G144" s="6"/>
      <c r="H144" s="82"/>
      <c r="I144" s="6"/>
      <c r="J144" s="6"/>
      <c r="K144" s="1"/>
      <c r="L144" s="1"/>
      <c r="M144" s="1"/>
      <c r="N144" s="1"/>
      <c r="O144" s="1"/>
      <c r="P144" s="1"/>
      <c r="Q144" s="1"/>
      <c r="R144" s="1"/>
      <c r="S144" s="1"/>
      <c r="T144" s="1"/>
      <c r="U144" s="1"/>
      <c r="V144" s="1"/>
      <c r="W144" s="1"/>
      <c r="X144" s="1"/>
      <c r="Y144" s="1"/>
      <c r="Z144" s="1"/>
    </row>
    <row r="145" spans="1:26" ht="15.75" customHeight="1" x14ac:dyDescent="0.3">
      <c r="A145" s="148"/>
      <c r="B145" s="6"/>
      <c r="C145" s="6"/>
      <c r="D145" s="82"/>
      <c r="E145" s="6"/>
      <c r="F145" s="6"/>
      <c r="G145" s="6"/>
      <c r="H145" s="82"/>
      <c r="I145" s="6"/>
      <c r="J145" s="6"/>
      <c r="K145" s="1"/>
      <c r="L145" s="1"/>
      <c r="M145" s="1"/>
      <c r="N145" s="1"/>
      <c r="O145" s="1"/>
      <c r="P145" s="1"/>
      <c r="Q145" s="1"/>
      <c r="R145" s="1"/>
      <c r="S145" s="1"/>
      <c r="T145" s="1"/>
      <c r="U145" s="1"/>
      <c r="V145" s="1"/>
      <c r="W145" s="1"/>
      <c r="X145" s="1"/>
      <c r="Y145" s="1"/>
      <c r="Z145" s="1"/>
    </row>
    <row r="146" spans="1:26" ht="15.75" customHeight="1" x14ac:dyDescent="0.3">
      <c r="A146" s="148"/>
      <c r="B146" s="6"/>
      <c r="C146" s="6"/>
      <c r="D146" s="82"/>
      <c r="E146" s="6"/>
      <c r="F146" s="6"/>
      <c r="G146" s="6"/>
      <c r="H146" s="82"/>
      <c r="I146" s="6"/>
      <c r="J146" s="6"/>
      <c r="K146" s="1"/>
      <c r="L146" s="1"/>
      <c r="M146" s="1"/>
      <c r="N146" s="1"/>
      <c r="O146" s="1"/>
      <c r="P146" s="1"/>
      <c r="Q146" s="1"/>
      <c r="R146" s="1"/>
      <c r="S146" s="1"/>
      <c r="T146" s="1"/>
      <c r="U146" s="1"/>
      <c r="V146" s="1"/>
      <c r="W146" s="1"/>
      <c r="X146" s="1"/>
      <c r="Y146" s="1"/>
      <c r="Z146" s="1"/>
    </row>
    <row r="147" spans="1:26" ht="15.75" customHeight="1" x14ac:dyDescent="0.3">
      <c r="A147" s="148"/>
      <c r="B147" s="6"/>
      <c r="C147" s="6"/>
      <c r="D147" s="82"/>
      <c r="E147" s="6"/>
      <c r="F147" s="6"/>
      <c r="G147" s="6"/>
      <c r="H147" s="82"/>
      <c r="I147" s="6"/>
      <c r="J147" s="6"/>
      <c r="K147" s="1"/>
      <c r="L147" s="1"/>
      <c r="M147" s="1"/>
      <c r="N147" s="1"/>
      <c r="O147" s="1"/>
      <c r="P147" s="1"/>
      <c r="Q147" s="1"/>
      <c r="R147" s="1"/>
      <c r="S147" s="1"/>
      <c r="T147" s="1"/>
      <c r="U147" s="1"/>
      <c r="V147" s="1"/>
      <c r="W147" s="1"/>
      <c r="X147" s="1"/>
      <c r="Y147" s="1"/>
      <c r="Z147" s="1"/>
    </row>
    <row r="148" spans="1:26" ht="15.75" customHeight="1" x14ac:dyDescent="0.3">
      <c r="A148" s="148"/>
      <c r="B148" s="6"/>
      <c r="C148" s="6"/>
      <c r="D148" s="82"/>
      <c r="E148" s="6"/>
      <c r="F148" s="6"/>
      <c r="G148" s="6"/>
      <c r="H148" s="82"/>
      <c r="I148" s="6"/>
      <c r="J148" s="6"/>
      <c r="K148" s="1"/>
      <c r="L148" s="1"/>
      <c r="M148" s="1"/>
      <c r="N148" s="1"/>
      <c r="O148" s="1"/>
      <c r="P148" s="1"/>
      <c r="Q148" s="1"/>
      <c r="R148" s="1"/>
      <c r="S148" s="1"/>
      <c r="T148" s="1"/>
      <c r="U148" s="1"/>
      <c r="V148" s="1"/>
      <c r="W148" s="1"/>
      <c r="X148" s="1"/>
      <c r="Y148" s="1"/>
      <c r="Z148" s="1"/>
    </row>
    <row r="149" spans="1:26" ht="15.75" customHeight="1" x14ac:dyDescent="0.3">
      <c r="A149" s="148"/>
      <c r="B149" s="6"/>
      <c r="C149" s="6"/>
      <c r="D149" s="82"/>
      <c r="E149" s="6"/>
      <c r="F149" s="6"/>
      <c r="G149" s="6"/>
      <c r="H149" s="82"/>
      <c r="I149" s="6"/>
      <c r="J149" s="6"/>
      <c r="K149" s="1"/>
      <c r="L149" s="1"/>
      <c r="M149" s="1"/>
      <c r="N149" s="1"/>
      <c r="O149" s="1"/>
      <c r="P149" s="1"/>
      <c r="Q149" s="1"/>
      <c r="R149" s="1"/>
      <c r="S149" s="1"/>
      <c r="T149" s="1"/>
      <c r="U149" s="1"/>
      <c r="V149" s="1"/>
      <c r="W149" s="1"/>
      <c r="X149" s="1"/>
      <c r="Y149" s="1"/>
      <c r="Z149" s="1"/>
    </row>
    <row r="150" spans="1:26" ht="15.75" customHeight="1" x14ac:dyDescent="0.3">
      <c r="A150" s="148"/>
      <c r="B150" s="6"/>
      <c r="C150" s="6"/>
      <c r="D150" s="82"/>
      <c r="E150" s="6"/>
      <c r="F150" s="6"/>
      <c r="G150" s="6"/>
      <c r="H150" s="82"/>
      <c r="I150" s="6"/>
      <c r="J150" s="6"/>
      <c r="K150" s="1"/>
      <c r="L150" s="1"/>
      <c r="M150" s="1"/>
      <c r="N150" s="1"/>
      <c r="O150" s="1"/>
      <c r="P150" s="1"/>
      <c r="Q150" s="1"/>
      <c r="R150" s="1"/>
      <c r="S150" s="1"/>
      <c r="T150" s="1"/>
      <c r="U150" s="1"/>
      <c r="V150" s="1"/>
      <c r="W150" s="1"/>
      <c r="X150" s="1"/>
      <c r="Y150" s="1"/>
      <c r="Z150" s="1"/>
    </row>
    <row r="151" spans="1:26" ht="15.75" customHeight="1" x14ac:dyDescent="0.3">
      <c r="A151" s="148"/>
      <c r="B151" s="6"/>
      <c r="C151" s="6"/>
      <c r="D151" s="82"/>
      <c r="E151" s="6"/>
      <c r="F151" s="6"/>
      <c r="G151" s="6"/>
      <c r="H151" s="82"/>
      <c r="I151" s="6"/>
      <c r="J151" s="6"/>
      <c r="K151" s="1"/>
      <c r="L151" s="1"/>
      <c r="M151" s="1"/>
      <c r="N151" s="1"/>
      <c r="O151" s="1"/>
      <c r="P151" s="1"/>
      <c r="Q151" s="1"/>
      <c r="R151" s="1"/>
      <c r="S151" s="1"/>
      <c r="T151" s="1"/>
      <c r="U151" s="1"/>
      <c r="V151" s="1"/>
      <c r="W151" s="1"/>
      <c r="X151" s="1"/>
      <c r="Y151" s="1"/>
      <c r="Z151" s="1"/>
    </row>
    <row r="152" spans="1:26" ht="15.75" customHeight="1" x14ac:dyDescent="0.3">
      <c r="A152" s="148"/>
      <c r="B152" s="6"/>
      <c r="C152" s="6"/>
      <c r="D152" s="82"/>
      <c r="E152" s="6"/>
      <c r="F152" s="6"/>
      <c r="G152" s="6"/>
      <c r="H152" s="82"/>
      <c r="I152" s="6"/>
      <c r="J152" s="6"/>
      <c r="K152" s="1"/>
      <c r="L152" s="1"/>
      <c r="M152" s="1"/>
      <c r="N152" s="1"/>
      <c r="O152" s="1"/>
      <c r="P152" s="1"/>
      <c r="Q152" s="1"/>
      <c r="R152" s="1"/>
      <c r="S152" s="1"/>
      <c r="T152" s="1"/>
      <c r="U152" s="1"/>
      <c r="V152" s="1"/>
      <c r="W152" s="1"/>
      <c r="X152" s="1"/>
      <c r="Y152" s="1"/>
      <c r="Z152" s="1"/>
    </row>
    <row r="153" spans="1:26" ht="15.75" customHeight="1" x14ac:dyDescent="0.3">
      <c r="A153" s="148"/>
      <c r="B153" s="6"/>
      <c r="C153" s="6"/>
      <c r="D153" s="82"/>
      <c r="E153" s="6"/>
      <c r="F153" s="6"/>
      <c r="G153" s="6"/>
      <c r="H153" s="82"/>
      <c r="I153" s="6"/>
      <c r="J153" s="6"/>
      <c r="K153" s="1"/>
      <c r="L153" s="1"/>
      <c r="M153" s="1"/>
      <c r="N153" s="1"/>
      <c r="O153" s="1"/>
      <c r="P153" s="1"/>
      <c r="Q153" s="1"/>
      <c r="R153" s="1"/>
      <c r="S153" s="1"/>
      <c r="T153" s="1"/>
      <c r="U153" s="1"/>
      <c r="V153" s="1"/>
      <c r="W153" s="1"/>
      <c r="X153" s="1"/>
      <c r="Y153" s="1"/>
      <c r="Z153" s="1"/>
    </row>
    <row r="154" spans="1:26" ht="15.75" customHeight="1" x14ac:dyDescent="0.3">
      <c r="A154" s="148"/>
      <c r="B154" s="6"/>
      <c r="C154" s="6"/>
      <c r="D154" s="82"/>
      <c r="E154" s="6"/>
      <c r="F154" s="6"/>
      <c r="G154" s="6"/>
      <c r="H154" s="82"/>
      <c r="I154" s="6"/>
      <c r="J154" s="6"/>
      <c r="K154" s="1"/>
      <c r="L154" s="1"/>
      <c r="M154" s="1"/>
      <c r="N154" s="1"/>
      <c r="O154" s="1"/>
      <c r="P154" s="1"/>
      <c r="Q154" s="1"/>
      <c r="R154" s="1"/>
      <c r="S154" s="1"/>
      <c r="T154" s="1"/>
      <c r="U154" s="1"/>
      <c r="V154" s="1"/>
      <c r="W154" s="1"/>
      <c r="X154" s="1"/>
      <c r="Y154" s="1"/>
      <c r="Z154" s="1"/>
    </row>
    <row r="155" spans="1:26" ht="15.75" customHeight="1" x14ac:dyDescent="0.3">
      <c r="A155" s="148"/>
      <c r="B155" s="6"/>
      <c r="C155" s="6"/>
      <c r="D155" s="82"/>
      <c r="E155" s="6"/>
      <c r="F155" s="6"/>
      <c r="G155" s="6"/>
      <c r="H155" s="82"/>
      <c r="I155" s="6"/>
      <c r="J155" s="6"/>
      <c r="K155" s="1"/>
      <c r="L155" s="1"/>
      <c r="M155" s="1"/>
      <c r="N155" s="1"/>
      <c r="O155" s="1"/>
      <c r="P155" s="1"/>
      <c r="Q155" s="1"/>
      <c r="R155" s="1"/>
      <c r="S155" s="1"/>
      <c r="T155" s="1"/>
      <c r="U155" s="1"/>
      <c r="V155" s="1"/>
      <c r="W155" s="1"/>
      <c r="X155" s="1"/>
      <c r="Y155" s="1"/>
      <c r="Z155" s="1"/>
    </row>
    <row r="156" spans="1:26" ht="15.75" customHeight="1" x14ac:dyDescent="0.3">
      <c r="A156" s="148"/>
      <c r="B156" s="6"/>
      <c r="C156" s="6"/>
      <c r="D156" s="82"/>
      <c r="E156" s="6"/>
      <c r="F156" s="6"/>
      <c r="G156" s="6"/>
      <c r="H156" s="82"/>
      <c r="I156" s="6"/>
      <c r="J156" s="6"/>
      <c r="K156" s="1"/>
      <c r="L156" s="1"/>
      <c r="M156" s="1"/>
      <c r="N156" s="1"/>
      <c r="O156" s="1"/>
      <c r="P156" s="1"/>
      <c r="Q156" s="1"/>
      <c r="R156" s="1"/>
      <c r="S156" s="1"/>
      <c r="T156" s="1"/>
      <c r="U156" s="1"/>
      <c r="V156" s="1"/>
      <c r="W156" s="1"/>
      <c r="X156" s="1"/>
      <c r="Y156" s="1"/>
      <c r="Z156" s="1"/>
    </row>
    <row r="157" spans="1:26" ht="15.75" customHeight="1" x14ac:dyDescent="0.3">
      <c r="A157" s="148"/>
      <c r="B157" s="6"/>
      <c r="C157" s="6"/>
      <c r="D157" s="82"/>
      <c r="E157" s="6"/>
      <c r="F157" s="6"/>
      <c r="G157" s="6"/>
      <c r="H157" s="82"/>
      <c r="I157" s="6"/>
      <c r="J157" s="6"/>
      <c r="K157" s="1"/>
      <c r="L157" s="1"/>
      <c r="M157" s="1"/>
      <c r="N157" s="1"/>
      <c r="O157" s="1"/>
      <c r="P157" s="1"/>
      <c r="Q157" s="1"/>
      <c r="R157" s="1"/>
      <c r="S157" s="1"/>
      <c r="T157" s="1"/>
      <c r="U157" s="1"/>
      <c r="V157" s="1"/>
      <c r="W157" s="1"/>
      <c r="X157" s="1"/>
      <c r="Y157" s="1"/>
      <c r="Z157" s="1"/>
    </row>
    <row r="158" spans="1:26" ht="15.75" customHeight="1" x14ac:dyDescent="0.3">
      <c r="A158" s="148"/>
      <c r="B158" s="6"/>
      <c r="C158" s="6"/>
      <c r="D158" s="82"/>
      <c r="E158" s="6"/>
      <c r="F158" s="6"/>
      <c r="G158" s="6"/>
      <c r="H158" s="82"/>
      <c r="I158" s="6"/>
      <c r="J158" s="6"/>
      <c r="K158" s="1"/>
      <c r="L158" s="1"/>
      <c r="M158" s="1"/>
      <c r="N158" s="1"/>
      <c r="O158" s="1"/>
      <c r="P158" s="1"/>
      <c r="Q158" s="1"/>
      <c r="R158" s="1"/>
      <c r="S158" s="1"/>
      <c r="T158" s="1"/>
      <c r="U158" s="1"/>
      <c r="V158" s="1"/>
      <c r="W158" s="1"/>
      <c r="X158" s="1"/>
      <c r="Y158" s="1"/>
      <c r="Z158" s="1"/>
    </row>
    <row r="159" spans="1:26" ht="15.75" customHeight="1" x14ac:dyDescent="0.3">
      <c r="A159" s="148"/>
      <c r="B159" s="6"/>
      <c r="C159" s="6"/>
      <c r="D159" s="82"/>
      <c r="E159" s="6"/>
      <c r="F159" s="6"/>
      <c r="G159" s="6"/>
      <c r="H159" s="82"/>
      <c r="I159" s="6"/>
      <c r="J159" s="6"/>
      <c r="K159" s="1"/>
      <c r="L159" s="1"/>
      <c r="M159" s="1"/>
      <c r="N159" s="1"/>
      <c r="O159" s="1"/>
      <c r="P159" s="1"/>
      <c r="Q159" s="1"/>
      <c r="R159" s="1"/>
      <c r="S159" s="1"/>
      <c r="T159" s="1"/>
      <c r="U159" s="1"/>
      <c r="V159" s="1"/>
      <c r="W159" s="1"/>
      <c r="X159" s="1"/>
      <c r="Y159" s="1"/>
      <c r="Z159" s="1"/>
    </row>
    <row r="160" spans="1:26" ht="15.75" customHeight="1" x14ac:dyDescent="0.3">
      <c r="A160" s="148"/>
      <c r="B160" s="6"/>
      <c r="C160" s="6"/>
      <c r="D160" s="82"/>
      <c r="E160" s="6"/>
      <c r="F160" s="6"/>
      <c r="G160" s="6"/>
      <c r="H160" s="82"/>
      <c r="I160" s="6"/>
      <c r="J160" s="6"/>
      <c r="K160" s="1"/>
      <c r="L160" s="1"/>
      <c r="M160" s="1"/>
      <c r="N160" s="1"/>
      <c r="O160" s="1"/>
      <c r="P160" s="1"/>
      <c r="Q160" s="1"/>
      <c r="R160" s="1"/>
      <c r="S160" s="1"/>
      <c r="T160" s="1"/>
      <c r="U160" s="1"/>
      <c r="V160" s="1"/>
      <c r="W160" s="1"/>
      <c r="X160" s="1"/>
      <c r="Y160" s="1"/>
      <c r="Z160" s="1"/>
    </row>
    <row r="161" spans="1:26" ht="15.75" customHeight="1" x14ac:dyDescent="0.3">
      <c r="A161" s="148"/>
      <c r="B161" s="6"/>
      <c r="C161" s="6"/>
      <c r="D161" s="82"/>
      <c r="E161" s="6"/>
      <c r="F161" s="6"/>
      <c r="G161" s="6"/>
      <c r="H161" s="82"/>
      <c r="I161" s="6"/>
      <c r="J161" s="6"/>
      <c r="K161" s="1"/>
      <c r="L161" s="1"/>
      <c r="M161" s="1"/>
      <c r="N161" s="1"/>
      <c r="O161" s="1"/>
      <c r="P161" s="1"/>
      <c r="Q161" s="1"/>
      <c r="R161" s="1"/>
      <c r="S161" s="1"/>
      <c r="T161" s="1"/>
      <c r="U161" s="1"/>
      <c r="V161" s="1"/>
      <c r="W161" s="1"/>
      <c r="X161" s="1"/>
      <c r="Y161" s="1"/>
      <c r="Z161" s="1"/>
    </row>
    <row r="162" spans="1:26" ht="15.75" customHeight="1" x14ac:dyDescent="0.3">
      <c r="A162" s="148"/>
      <c r="B162" s="6"/>
      <c r="C162" s="6"/>
      <c r="D162" s="82"/>
      <c r="E162" s="6"/>
      <c r="F162" s="6"/>
      <c r="G162" s="6"/>
      <c r="H162" s="82"/>
      <c r="I162" s="6"/>
      <c r="J162" s="6"/>
      <c r="K162" s="1"/>
      <c r="L162" s="1"/>
      <c r="M162" s="1"/>
      <c r="N162" s="1"/>
      <c r="O162" s="1"/>
      <c r="P162" s="1"/>
      <c r="Q162" s="1"/>
      <c r="R162" s="1"/>
      <c r="S162" s="1"/>
      <c r="T162" s="1"/>
      <c r="U162" s="1"/>
      <c r="V162" s="1"/>
      <c r="W162" s="1"/>
      <c r="X162" s="1"/>
      <c r="Y162" s="1"/>
      <c r="Z162" s="1"/>
    </row>
    <row r="163" spans="1:26" ht="15.75" customHeight="1" x14ac:dyDescent="0.3">
      <c r="A163" s="148"/>
      <c r="B163" s="6"/>
      <c r="C163" s="6"/>
      <c r="D163" s="82"/>
      <c r="E163" s="6"/>
      <c r="F163" s="6"/>
      <c r="G163" s="6"/>
      <c r="H163" s="82"/>
      <c r="I163" s="6"/>
      <c r="J163" s="6"/>
      <c r="K163" s="1"/>
      <c r="L163" s="1"/>
      <c r="M163" s="1"/>
      <c r="N163" s="1"/>
      <c r="O163" s="1"/>
      <c r="P163" s="1"/>
      <c r="Q163" s="1"/>
      <c r="R163" s="1"/>
      <c r="S163" s="1"/>
      <c r="T163" s="1"/>
      <c r="U163" s="1"/>
      <c r="V163" s="1"/>
      <c r="W163" s="1"/>
      <c r="X163" s="1"/>
      <c r="Y163" s="1"/>
      <c r="Z163" s="1"/>
    </row>
    <row r="164" spans="1:26" ht="15.75" customHeight="1" x14ac:dyDescent="0.3">
      <c r="A164" s="148"/>
      <c r="B164" s="6"/>
      <c r="C164" s="6"/>
      <c r="D164" s="82"/>
      <c r="E164" s="6"/>
      <c r="F164" s="6"/>
      <c r="G164" s="6"/>
      <c r="H164" s="82"/>
      <c r="I164" s="6"/>
      <c r="J164" s="6"/>
      <c r="K164" s="1"/>
      <c r="L164" s="1"/>
      <c r="M164" s="1"/>
      <c r="N164" s="1"/>
      <c r="O164" s="1"/>
      <c r="P164" s="1"/>
      <c r="Q164" s="1"/>
      <c r="R164" s="1"/>
      <c r="S164" s="1"/>
      <c r="T164" s="1"/>
      <c r="U164" s="1"/>
      <c r="V164" s="1"/>
      <c r="W164" s="1"/>
      <c r="X164" s="1"/>
      <c r="Y164" s="1"/>
      <c r="Z164" s="1"/>
    </row>
    <row r="165" spans="1:26" ht="15.75" customHeight="1" x14ac:dyDescent="0.3">
      <c r="A165" s="148"/>
      <c r="B165" s="6"/>
      <c r="C165" s="6"/>
      <c r="D165" s="82"/>
      <c r="E165" s="6"/>
      <c r="F165" s="6"/>
      <c r="G165" s="6"/>
      <c r="H165" s="82"/>
      <c r="I165" s="6"/>
      <c r="J165" s="6"/>
      <c r="K165" s="1"/>
      <c r="L165" s="1"/>
      <c r="M165" s="1"/>
      <c r="N165" s="1"/>
      <c r="O165" s="1"/>
      <c r="P165" s="1"/>
      <c r="Q165" s="1"/>
      <c r="R165" s="1"/>
      <c r="S165" s="1"/>
      <c r="T165" s="1"/>
      <c r="U165" s="1"/>
      <c r="V165" s="1"/>
      <c r="W165" s="1"/>
      <c r="X165" s="1"/>
      <c r="Y165" s="1"/>
      <c r="Z165" s="1"/>
    </row>
    <row r="166" spans="1:26" ht="15.75" customHeight="1" x14ac:dyDescent="0.3">
      <c r="A166" s="148"/>
      <c r="B166" s="6"/>
      <c r="C166" s="6"/>
      <c r="D166" s="82"/>
      <c r="E166" s="6"/>
      <c r="F166" s="6"/>
      <c r="G166" s="6"/>
      <c r="H166" s="82"/>
      <c r="I166" s="6"/>
      <c r="J166" s="6"/>
      <c r="K166" s="1"/>
      <c r="L166" s="1"/>
      <c r="M166" s="1"/>
      <c r="N166" s="1"/>
      <c r="O166" s="1"/>
      <c r="P166" s="1"/>
      <c r="Q166" s="1"/>
      <c r="R166" s="1"/>
      <c r="S166" s="1"/>
      <c r="T166" s="1"/>
      <c r="U166" s="1"/>
      <c r="V166" s="1"/>
      <c r="W166" s="1"/>
      <c r="X166" s="1"/>
      <c r="Y166" s="1"/>
      <c r="Z166" s="1"/>
    </row>
    <row r="167" spans="1:26" ht="15.75" customHeight="1" x14ac:dyDescent="0.3">
      <c r="A167" s="148"/>
      <c r="B167" s="6"/>
      <c r="C167" s="6"/>
      <c r="D167" s="82"/>
      <c r="E167" s="6"/>
      <c r="F167" s="6"/>
      <c r="G167" s="6"/>
      <c r="H167" s="82"/>
      <c r="I167" s="6"/>
      <c r="J167" s="6"/>
      <c r="K167" s="1"/>
      <c r="L167" s="1"/>
      <c r="M167" s="1"/>
      <c r="N167" s="1"/>
      <c r="O167" s="1"/>
      <c r="P167" s="1"/>
      <c r="Q167" s="1"/>
      <c r="R167" s="1"/>
      <c r="S167" s="1"/>
      <c r="T167" s="1"/>
      <c r="U167" s="1"/>
      <c r="V167" s="1"/>
      <c r="W167" s="1"/>
      <c r="X167" s="1"/>
      <c r="Y167" s="1"/>
      <c r="Z167" s="1"/>
    </row>
    <row r="168" spans="1:26" ht="15.75" customHeight="1" x14ac:dyDescent="0.3">
      <c r="A168" s="148"/>
      <c r="B168" s="6"/>
      <c r="C168" s="6"/>
      <c r="D168" s="82"/>
      <c r="E168" s="6"/>
      <c r="F168" s="6"/>
      <c r="G168" s="6"/>
      <c r="H168" s="82"/>
      <c r="I168" s="6"/>
      <c r="J168" s="6"/>
      <c r="K168" s="1"/>
      <c r="L168" s="1"/>
      <c r="M168" s="1"/>
      <c r="N168" s="1"/>
      <c r="O168" s="1"/>
      <c r="P168" s="1"/>
      <c r="Q168" s="1"/>
      <c r="R168" s="1"/>
      <c r="S168" s="1"/>
      <c r="T168" s="1"/>
      <c r="U168" s="1"/>
      <c r="V168" s="1"/>
      <c r="W168" s="1"/>
      <c r="X168" s="1"/>
      <c r="Y168" s="1"/>
      <c r="Z168" s="1"/>
    </row>
    <row r="169" spans="1:26" ht="15.75" customHeight="1" x14ac:dyDescent="0.3">
      <c r="A169" s="148"/>
      <c r="B169" s="6"/>
      <c r="C169" s="6"/>
      <c r="D169" s="82"/>
      <c r="E169" s="6"/>
      <c r="F169" s="6"/>
      <c r="G169" s="6"/>
      <c r="H169" s="82"/>
      <c r="I169" s="6"/>
      <c r="J169" s="6"/>
      <c r="K169" s="1"/>
      <c r="L169" s="1"/>
      <c r="M169" s="1"/>
      <c r="N169" s="1"/>
      <c r="O169" s="1"/>
      <c r="P169" s="1"/>
      <c r="Q169" s="1"/>
      <c r="R169" s="1"/>
      <c r="S169" s="1"/>
      <c r="T169" s="1"/>
      <c r="U169" s="1"/>
      <c r="V169" s="1"/>
      <c r="W169" s="1"/>
      <c r="X169" s="1"/>
      <c r="Y169" s="1"/>
      <c r="Z169" s="1"/>
    </row>
    <row r="170" spans="1:26" ht="15.75" customHeight="1" x14ac:dyDescent="0.3">
      <c r="A170" s="148"/>
      <c r="B170" s="6"/>
      <c r="C170" s="6"/>
      <c r="D170" s="82"/>
      <c r="E170" s="6"/>
      <c r="F170" s="6"/>
      <c r="G170" s="6"/>
      <c r="H170" s="82"/>
      <c r="I170" s="6"/>
      <c r="J170" s="6"/>
      <c r="K170" s="1"/>
      <c r="L170" s="1"/>
      <c r="M170" s="1"/>
      <c r="N170" s="1"/>
      <c r="O170" s="1"/>
      <c r="P170" s="1"/>
      <c r="Q170" s="1"/>
      <c r="R170" s="1"/>
      <c r="S170" s="1"/>
      <c r="T170" s="1"/>
      <c r="U170" s="1"/>
      <c r="V170" s="1"/>
      <c r="W170" s="1"/>
      <c r="X170" s="1"/>
      <c r="Y170" s="1"/>
      <c r="Z170" s="1"/>
    </row>
    <row r="171" spans="1:26" ht="15.75" customHeight="1" x14ac:dyDescent="0.3">
      <c r="A171" s="148"/>
      <c r="B171" s="6"/>
      <c r="C171" s="6"/>
      <c r="D171" s="82"/>
      <c r="E171" s="6"/>
      <c r="F171" s="6"/>
      <c r="G171" s="6"/>
      <c r="H171" s="82"/>
      <c r="I171" s="6"/>
      <c r="J171" s="6"/>
      <c r="K171" s="1"/>
      <c r="L171" s="1"/>
      <c r="M171" s="1"/>
      <c r="N171" s="1"/>
      <c r="O171" s="1"/>
      <c r="P171" s="1"/>
      <c r="Q171" s="1"/>
      <c r="R171" s="1"/>
      <c r="S171" s="1"/>
      <c r="T171" s="1"/>
      <c r="U171" s="1"/>
      <c r="V171" s="1"/>
      <c r="W171" s="1"/>
      <c r="X171" s="1"/>
      <c r="Y171" s="1"/>
      <c r="Z171" s="1"/>
    </row>
    <row r="172" spans="1:26" ht="15.75" customHeight="1" x14ac:dyDescent="0.3">
      <c r="A172" s="148"/>
      <c r="B172" s="6"/>
      <c r="C172" s="6"/>
      <c r="D172" s="82"/>
      <c r="E172" s="6"/>
      <c r="F172" s="6"/>
      <c r="G172" s="6"/>
      <c r="H172" s="82"/>
      <c r="I172" s="6"/>
      <c r="J172" s="6"/>
      <c r="K172" s="1"/>
      <c r="L172" s="1"/>
      <c r="M172" s="1"/>
      <c r="N172" s="1"/>
      <c r="O172" s="1"/>
      <c r="P172" s="1"/>
      <c r="Q172" s="1"/>
      <c r="R172" s="1"/>
      <c r="S172" s="1"/>
      <c r="T172" s="1"/>
      <c r="U172" s="1"/>
      <c r="V172" s="1"/>
      <c r="W172" s="1"/>
      <c r="X172" s="1"/>
      <c r="Y172" s="1"/>
      <c r="Z172" s="1"/>
    </row>
    <row r="173" spans="1:26" ht="15.75" customHeight="1" x14ac:dyDescent="0.3">
      <c r="A173" s="148"/>
      <c r="B173" s="6"/>
      <c r="C173" s="6"/>
      <c r="D173" s="82"/>
      <c r="E173" s="6"/>
      <c r="F173" s="6"/>
      <c r="G173" s="6"/>
      <c r="H173" s="82"/>
      <c r="I173" s="6"/>
      <c r="J173" s="6"/>
      <c r="K173" s="1"/>
      <c r="L173" s="1"/>
      <c r="M173" s="1"/>
      <c r="N173" s="1"/>
      <c r="O173" s="1"/>
      <c r="P173" s="1"/>
      <c r="Q173" s="1"/>
      <c r="R173" s="1"/>
      <c r="S173" s="1"/>
      <c r="T173" s="1"/>
      <c r="U173" s="1"/>
      <c r="V173" s="1"/>
      <c r="W173" s="1"/>
      <c r="X173" s="1"/>
      <c r="Y173" s="1"/>
      <c r="Z173" s="1"/>
    </row>
    <row r="174" spans="1:26" ht="15.75" customHeight="1" x14ac:dyDescent="0.3">
      <c r="A174" s="148"/>
      <c r="B174" s="6"/>
      <c r="C174" s="6"/>
      <c r="D174" s="82"/>
      <c r="E174" s="6"/>
      <c r="F174" s="6"/>
      <c r="G174" s="6"/>
      <c r="H174" s="82"/>
      <c r="I174" s="6"/>
      <c r="J174" s="6"/>
      <c r="K174" s="1"/>
      <c r="L174" s="1"/>
      <c r="M174" s="1"/>
      <c r="N174" s="1"/>
      <c r="O174" s="1"/>
      <c r="P174" s="1"/>
      <c r="Q174" s="1"/>
      <c r="R174" s="1"/>
      <c r="S174" s="1"/>
      <c r="T174" s="1"/>
      <c r="U174" s="1"/>
      <c r="V174" s="1"/>
      <c r="W174" s="1"/>
      <c r="X174" s="1"/>
      <c r="Y174" s="1"/>
      <c r="Z174" s="1"/>
    </row>
    <row r="175" spans="1:26" ht="15.75" customHeight="1" x14ac:dyDescent="0.3">
      <c r="A175" s="148"/>
      <c r="B175" s="6"/>
      <c r="C175" s="6"/>
      <c r="D175" s="82"/>
      <c r="E175" s="6"/>
      <c r="F175" s="6"/>
      <c r="G175" s="6"/>
      <c r="H175" s="82"/>
      <c r="I175" s="6"/>
      <c r="J175" s="6"/>
      <c r="K175" s="1"/>
      <c r="L175" s="1"/>
      <c r="M175" s="1"/>
      <c r="N175" s="1"/>
      <c r="O175" s="1"/>
      <c r="P175" s="1"/>
      <c r="Q175" s="1"/>
      <c r="R175" s="1"/>
      <c r="S175" s="1"/>
      <c r="T175" s="1"/>
      <c r="U175" s="1"/>
      <c r="V175" s="1"/>
      <c r="W175" s="1"/>
      <c r="X175" s="1"/>
      <c r="Y175" s="1"/>
      <c r="Z175" s="1"/>
    </row>
    <row r="176" spans="1:26" ht="15.75" customHeight="1" x14ac:dyDescent="0.3">
      <c r="A176" s="148"/>
      <c r="B176" s="6"/>
      <c r="C176" s="6"/>
      <c r="D176" s="82"/>
      <c r="E176" s="6"/>
      <c r="F176" s="6"/>
      <c r="G176" s="6"/>
      <c r="H176" s="82"/>
      <c r="I176" s="6"/>
      <c r="J176" s="6"/>
      <c r="K176" s="1"/>
      <c r="L176" s="1"/>
      <c r="M176" s="1"/>
      <c r="N176" s="1"/>
      <c r="O176" s="1"/>
      <c r="P176" s="1"/>
      <c r="Q176" s="1"/>
      <c r="R176" s="1"/>
      <c r="S176" s="1"/>
      <c r="T176" s="1"/>
      <c r="U176" s="1"/>
      <c r="V176" s="1"/>
      <c r="W176" s="1"/>
      <c r="X176" s="1"/>
      <c r="Y176" s="1"/>
      <c r="Z176" s="1"/>
    </row>
    <row r="177" spans="1:26" ht="15.75" customHeight="1" x14ac:dyDescent="0.3">
      <c r="A177" s="148"/>
      <c r="B177" s="6"/>
      <c r="C177" s="6"/>
      <c r="D177" s="82"/>
      <c r="E177" s="6"/>
      <c r="F177" s="6"/>
      <c r="G177" s="6"/>
      <c r="H177" s="82"/>
      <c r="I177" s="6"/>
      <c r="J177" s="6"/>
      <c r="K177" s="1"/>
      <c r="L177" s="1"/>
      <c r="M177" s="1"/>
      <c r="N177" s="1"/>
      <c r="O177" s="1"/>
      <c r="P177" s="1"/>
      <c r="Q177" s="1"/>
      <c r="R177" s="1"/>
      <c r="S177" s="1"/>
      <c r="T177" s="1"/>
      <c r="U177" s="1"/>
      <c r="V177" s="1"/>
      <c r="W177" s="1"/>
      <c r="X177" s="1"/>
      <c r="Y177" s="1"/>
      <c r="Z177" s="1"/>
    </row>
    <row r="178" spans="1:26" ht="15.75" customHeight="1" x14ac:dyDescent="0.3">
      <c r="A178" s="148"/>
      <c r="B178" s="6"/>
      <c r="C178" s="6"/>
      <c r="D178" s="82"/>
      <c r="E178" s="6"/>
      <c r="F178" s="6"/>
      <c r="G178" s="6"/>
      <c r="H178" s="82"/>
      <c r="I178" s="6"/>
      <c r="J178" s="6"/>
      <c r="K178" s="1"/>
      <c r="L178" s="1"/>
      <c r="M178" s="1"/>
      <c r="N178" s="1"/>
      <c r="O178" s="1"/>
      <c r="P178" s="1"/>
      <c r="Q178" s="1"/>
      <c r="R178" s="1"/>
      <c r="S178" s="1"/>
      <c r="T178" s="1"/>
      <c r="U178" s="1"/>
      <c r="V178" s="1"/>
      <c r="W178" s="1"/>
      <c r="X178" s="1"/>
      <c r="Y178" s="1"/>
      <c r="Z178" s="1"/>
    </row>
    <row r="179" spans="1:26" ht="15.75" customHeight="1" x14ac:dyDescent="0.3">
      <c r="A179" s="148"/>
      <c r="B179" s="6"/>
      <c r="C179" s="6"/>
      <c r="D179" s="82"/>
      <c r="E179" s="6"/>
      <c r="F179" s="6"/>
      <c r="G179" s="6"/>
      <c r="H179" s="82"/>
      <c r="I179" s="6"/>
      <c r="J179" s="6"/>
      <c r="K179" s="1"/>
      <c r="L179" s="1"/>
      <c r="M179" s="1"/>
      <c r="N179" s="1"/>
      <c r="O179" s="1"/>
      <c r="P179" s="1"/>
      <c r="Q179" s="1"/>
      <c r="R179" s="1"/>
      <c r="S179" s="1"/>
      <c r="T179" s="1"/>
      <c r="U179" s="1"/>
      <c r="V179" s="1"/>
      <c r="W179" s="1"/>
      <c r="X179" s="1"/>
      <c r="Y179" s="1"/>
      <c r="Z179" s="1"/>
    </row>
    <row r="180" spans="1:26" ht="15.75" customHeight="1" x14ac:dyDescent="0.3">
      <c r="A180" s="148"/>
      <c r="B180" s="6"/>
      <c r="C180" s="6"/>
      <c r="D180" s="82"/>
      <c r="E180" s="6"/>
      <c r="F180" s="6"/>
      <c r="G180" s="6"/>
      <c r="H180" s="82"/>
      <c r="I180" s="6"/>
      <c r="J180" s="6"/>
      <c r="K180" s="1"/>
      <c r="L180" s="1"/>
      <c r="M180" s="1"/>
      <c r="N180" s="1"/>
      <c r="O180" s="1"/>
      <c r="P180" s="1"/>
      <c r="Q180" s="1"/>
      <c r="R180" s="1"/>
      <c r="S180" s="1"/>
      <c r="T180" s="1"/>
      <c r="U180" s="1"/>
      <c r="V180" s="1"/>
      <c r="W180" s="1"/>
      <c r="X180" s="1"/>
      <c r="Y180" s="1"/>
      <c r="Z180" s="1"/>
    </row>
    <row r="181" spans="1:26" ht="15.75" customHeight="1" x14ac:dyDescent="0.3">
      <c r="A181" s="148"/>
      <c r="B181" s="6"/>
      <c r="C181" s="6"/>
      <c r="D181" s="82"/>
      <c r="E181" s="6"/>
      <c r="F181" s="6"/>
      <c r="G181" s="6"/>
      <c r="H181" s="82"/>
      <c r="I181" s="6"/>
      <c r="J181" s="6"/>
      <c r="K181" s="1"/>
      <c r="L181" s="1"/>
      <c r="M181" s="1"/>
      <c r="N181" s="1"/>
      <c r="O181" s="1"/>
      <c r="P181" s="1"/>
      <c r="Q181" s="1"/>
      <c r="R181" s="1"/>
      <c r="S181" s="1"/>
      <c r="T181" s="1"/>
      <c r="U181" s="1"/>
      <c r="V181" s="1"/>
      <c r="W181" s="1"/>
      <c r="X181" s="1"/>
      <c r="Y181" s="1"/>
      <c r="Z181" s="1"/>
    </row>
    <row r="182" spans="1:26" ht="15.75" customHeight="1" x14ac:dyDescent="0.3">
      <c r="A182" s="148"/>
      <c r="B182" s="6"/>
      <c r="C182" s="6"/>
      <c r="D182" s="82"/>
      <c r="E182" s="6"/>
      <c r="F182" s="6"/>
      <c r="G182" s="6"/>
      <c r="H182" s="82"/>
      <c r="I182" s="6"/>
      <c r="J182" s="6"/>
      <c r="K182" s="1"/>
      <c r="L182" s="1"/>
      <c r="M182" s="1"/>
      <c r="N182" s="1"/>
      <c r="O182" s="1"/>
      <c r="P182" s="1"/>
      <c r="Q182" s="1"/>
      <c r="R182" s="1"/>
      <c r="S182" s="1"/>
      <c r="T182" s="1"/>
      <c r="U182" s="1"/>
      <c r="V182" s="1"/>
      <c r="W182" s="1"/>
      <c r="X182" s="1"/>
      <c r="Y182" s="1"/>
      <c r="Z182" s="1"/>
    </row>
    <row r="183" spans="1:26" ht="15.75" customHeight="1" x14ac:dyDescent="0.3">
      <c r="A183" s="148"/>
      <c r="B183" s="6"/>
      <c r="C183" s="6"/>
      <c r="D183" s="82"/>
      <c r="E183" s="6"/>
      <c r="F183" s="6"/>
      <c r="G183" s="6"/>
      <c r="H183" s="82"/>
      <c r="I183" s="6"/>
      <c r="J183" s="6"/>
      <c r="K183" s="1"/>
      <c r="L183" s="1"/>
      <c r="M183" s="1"/>
      <c r="N183" s="1"/>
      <c r="O183" s="1"/>
      <c r="P183" s="1"/>
      <c r="Q183" s="1"/>
      <c r="R183" s="1"/>
      <c r="S183" s="1"/>
      <c r="T183" s="1"/>
      <c r="U183" s="1"/>
      <c r="V183" s="1"/>
      <c r="W183" s="1"/>
      <c r="X183" s="1"/>
      <c r="Y183" s="1"/>
      <c r="Z183" s="1"/>
    </row>
    <row r="184" spans="1:26" ht="15.75" customHeight="1" x14ac:dyDescent="0.3">
      <c r="A184" s="148"/>
      <c r="B184" s="6"/>
      <c r="C184" s="6"/>
      <c r="D184" s="82"/>
      <c r="E184" s="6"/>
      <c r="F184" s="6"/>
      <c r="G184" s="6"/>
      <c r="H184" s="82"/>
      <c r="I184" s="6"/>
      <c r="J184" s="6"/>
      <c r="K184" s="1"/>
      <c r="L184" s="1"/>
      <c r="M184" s="1"/>
      <c r="N184" s="1"/>
      <c r="O184" s="1"/>
      <c r="P184" s="1"/>
      <c r="Q184" s="1"/>
      <c r="R184" s="1"/>
      <c r="S184" s="1"/>
      <c r="T184" s="1"/>
      <c r="U184" s="1"/>
      <c r="V184" s="1"/>
      <c r="W184" s="1"/>
      <c r="X184" s="1"/>
      <c r="Y184" s="1"/>
      <c r="Z184" s="1"/>
    </row>
    <row r="185" spans="1:26" ht="15.75" customHeight="1" x14ac:dyDescent="0.3">
      <c r="A185" s="148"/>
      <c r="B185" s="6"/>
      <c r="C185" s="6"/>
      <c r="D185" s="82"/>
      <c r="E185" s="6"/>
      <c r="F185" s="6"/>
      <c r="G185" s="6"/>
      <c r="H185" s="82"/>
      <c r="I185" s="6"/>
      <c r="J185" s="6"/>
      <c r="K185" s="1"/>
      <c r="L185" s="1"/>
      <c r="M185" s="1"/>
      <c r="N185" s="1"/>
      <c r="O185" s="1"/>
      <c r="P185" s="1"/>
      <c r="Q185" s="1"/>
      <c r="R185" s="1"/>
      <c r="S185" s="1"/>
      <c r="T185" s="1"/>
      <c r="U185" s="1"/>
      <c r="V185" s="1"/>
      <c r="W185" s="1"/>
      <c r="X185" s="1"/>
      <c r="Y185" s="1"/>
      <c r="Z185" s="1"/>
    </row>
    <row r="186" spans="1:26" ht="15.75" customHeight="1" x14ac:dyDescent="0.3">
      <c r="A186" s="148"/>
      <c r="B186" s="6"/>
      <c r="C186" s="6"/>
      <c r="D186" s="82"/>
      <c r="E186" s="6"/>
      <c r="F186" s="6"/>
      <c r="G186" s="6"/>
      <c r="H186" s="82"/>
      <c r="I186" s="6"/>
      <c r="J186" s="6"/>
      <c r="K186" s="1"/>
      <c r="L186" s="1"/>
      <c r="M186" s="1"/>
      <c r="N186" s="1"/>
      <c r="O186" s="1"/>
      <c r="P186" s="1"/>
      <c r="Q186" s="1"/>
      <c r="R186" s="1"/>
      <c r="S186" s="1"/>
      <c r="T186" s="1"/>
      <c r="U186" s="1"/>
      <c r="V186" s="1"/>
      <c r="W186" s="1"/>
      <c r="X186" s="1"/>
      <c r="Y186" s="1"/>
      <c r="Z186" s="1"/>
    </row>
    <row r="187" spans="1:26" ht="15.75" customHeight="1" x14ac:dyDescent="0.3">
      <c r="A187" s="148"/>
      <c r="B187" s="6"/>
      <c r="C187" s="6"/>
      <c r="D187" s="82"/>
      <c r="E187" s="6"/>
      <c r="F187" s="6"/>
      <c r="G187" s="6"/>
      <c r="H187" s="82"/>
      <c r="I187" s="6"/>
      <c r="J187" s="6"/>
      <c r="K187" s="1"/>
      <c r="L187" s="1"/>
      <c r="M187" s="1"/>
      <c r="N187" s="1"/>
      <c r="O187" s="1"/>
      <c r="P187" s="1"/>
      <c r="Q187" s="1"/>
      <c r="R187" s="1"/>
      <c r="S187" s="1"/>
      <c r="T187" s="1"/>
      <c r="U187" s="1"/>
      <c r="V187" s="1"/>
      <c r="W187" s="1"/>
      <c r="X187" s="1"/>
      <c r="Y187" s="1"/>
      <c r="Z187" s="1"/>
    </row>
    <row r="188" spans="1:26" ht="15.75" customHeight="1" x14ac:dyDescent="0.3">
      <c r="A188" s="148"/>
      <c r="B188" s="6"/>
      <c r="C188" s="6"/>
      <c r="D188" s="82"/>
      <c r="E188" s="6"/>
      <c r="F188" s="6"/>
      <c r="G188" s="6"/>
      <c r="H188" s="82"/>
      <c r="I188" s="6"/>
      <c r="J188" s="6"/>
      <c r="K188" s="1"/>
      <c r="L188" s="1"/>
      <c r="M188" s="1"/>
      <c r="N188" s="1"/>
      <c r="O188" s="1"/>
      <c r="P188" s="1"/>
      <c r="Q188" s="1"/>
      <c r="R188" s="1"/>
      <c r="S188" s="1"/>
      <c r="T188" s="1"/>
      <c r="U188" s="1"/>
      <c r="V188" s="1"/>
      <c r="W188" s="1"/>
      <c r="X188" s="1"/>
      <c r="Y188" s="1"/>
      <c r="Z188" s="1"/>
    </row>
    <row r="189" spans="1:26" ht="15.75" customHeight="1" x14ac:dyDescent="0.3">
      <c r="A189" s="148"/>
      <c r="B189" s="6"/>
      <c r="C189" s="6"/>
      <c r="D189" s="82"/>
      <c r="E189" s="6"/>
      <c r="F189" s="6"/>
      <c r="G189" s="6"/>
      <c r="H189" s="82"/>
      <c r="I189" s="6"/>
      <c r="J189" s="6"/>
      <c r="K189" s="1"/>
      <c r="L189" s="1"/>
      <c r="M189" s="1"/>
      <c r="N189" s="1"/>
      <c r="O189" s="1"/>
      <c r="P189" s="1"/>
      <c r="Q189" s="1"/>
      <c r="R189" s="1"/>
      <c r="S189" s="1"/>
      <c r="T189" s="1"/>
      <c r="U189" s="1"/>
      <c r="V189" s="1"/>
      <c r="W189" s="1"/>
      <c r="X189" s="1"/>
      <c r="Y189" s="1"/>
      <c r="Z189" s="1"/>
    </row>
    <row r="190" spans="1:26" ht="15.75" customHeight="1" x14ac:dyDescent="0.3">
      <c r="A190" s="148"/>
      <c r="B190" s="6"/>
      <c r="C190" s="6"/>
      <c r="D190" s="82"/>
      <c r="E190" s="6"/>
      <c r="F190" s="6"/>
      <c r="G190" s="6"/>
      <c r="H190" s="82"/>
      <c r="I190" s="6"/>
      <c r="J190" s="6"/>
      <c r="K190" s="1"/>
      <c r="L190" s="1"/>
      <c r="M190" s="1"/>
      <c r="N190" s="1"/>
      <c r="O190" s="1"/>
      <c r="P190" s="1"/>
      <c r="Q190" s="1"/>
      <c r="R190" s="1"/>
      <c r="S190" s="1"/>
      <c r="T190" s="1"/>
      <c r="U190" s="1"/>
      <c r="V190" s="1"/>
      <c r="W190" s="1"/>
      <c r="X190" s="1"/>
      <c r="Y190" s="1"/>
      <c r="Z190" s="1"/>
    </row>
    <row r="191" spans="1:26" ht="15.75" customHeight="1" x14ac:dyDescent="0.3">
      <c r="A191" s="148"/>
      <c r="B191" s="6"/>
      <c r="C191" s="6"/>
      <c r="D191" s="82"/>
      <c r="E191" s="6"/>
      <c r="F191" s="6"/>
      <c r="G191" s="6"/>
      <c r="H191" s="82"/>
      <c r="I191" s="6"/>
      <c r="J191" s="6"/>
      <c r="K191" s="1"/>
      <c r="L191" s="1"/>
      <c r="M191" s="1"/>
      <c r="N191" s="1"/>
      <c r="O191" s="1"/>
      <c r="P191" s="1"/>
      <c r="Q191" s="1"/>
      <c r="R191" s="1"/>
      <c r="S191" s="1"/>
      <c r="T191" s="1"/>
      <c r="U191" s="1"/>
      <c r="V191" s="1"/>
      <c r="W191" s="1"/>
      <c r="X191" s="1"/>
      <c r="Y191" s="1"/>
      <c r="Z191" s="1"/>
    </row>
    <row r="192" spans="1:26" ht="15.75" customHeight="1" x14ac:dyDescent="0.3">
      <c r="A192" s="148"/>
      <c r="B192" s="6"/>
      <c r="C192" s="6"/>
      <c r="D192" s="82"/>
      <c r="E192" s="6"/>
      <c r="F192" s="6"/>
      <c r="G192" s="6"/>
      <c r="H192" s="82"/>
      <c r="I192" s="6"/>
      <c r="J192" s="6"/>
      <c r="K192" s="1"/>
      <c r="L192" s="1"/>
      <c r="M192" s="1"/>
      <c r="N192" s="1"/>
      <c r="O192" s="1"/>
      <c r="P192" s="1"/>
      <c r="Q192" s="1"/>
      <c r="R192" s="1"/>
      <c r="S192" s="1"/>
      <c r="T192" s="1"/>
      <c r="U192" s="1"/>
      <c r="V192" s="1"/>
      <c r="W192" s="1"/>
      <c r="X192" s="1"/>
      <c r="Y192" s="1"/>
      <c r="Z192" s="1"/>
    </row>
    <row r="193" spans="1:26" ht="15.75" customHeight="1" x14ac:dyDescent="0.3">
      <c r="A193" s="148"/>
      <c r="B193" s="6"/>
      <c r="C193" s="6"/>
      <c r="D193" s="82"/>
      <c r="E193" s="6"/>
      <c r="F193" s="6"/>
      <c r="G193" s="6"/>
      <c r="H193" s="82"/>
      <c r="I193" s="6"/>
      <c r="J193" s="6"/>
      <c r="K193" s="1"/>
      <c r="L193" s="1"/>
      <c r="M193" s="1"/>
      <c r="N193" s="1"/>
      <c r="O193" s="1"/>
      <c r="P193" s="1"/>
      <c r="Q193" s="1"/>
      <c r="R193" s="1"/>
      <c r="S193" s="1"/>
      <c r="T193" s="1"/>
      <c r="U193" s="1"/>
      <c r="V193" s="1"/>
      <c r="W193" s="1"/>
      <c r="X193" s="1"/>
      <c r="Y193" s="1"/>
      <c r="Z193" s="1"/>
    </row>
    <row r="194" spans="1:26" ht="15.75" customHeight="1" x14ac:dyDescent="0.3">
      <c r="A194" s="148"/>
      <c r="B194" s="6"/>
      <c r="C194" s="6"/>
      <c r="D194" s="82"/>
      <c r="E194" s="6"/>
      <c r="F194" s="6"/>
      <c r="G194" s="6"/>
      <c r="H194" s="82"/>
      <c r="I194" s="6"/>
      <c r="J194" s="6"/>
      <c r="K194" s="1"/>
      <c r="L194" s="1"/>
      <c r="M194" s="1"/>
      <c r="N194" s="1"/>
      <c r="O194" s="1"/>
      <c r="P194" s="1"/>
      <c r="Q194" s="1"/>
      <c r="R194" s="1"/>
      <c r="S194" s="1"/>
      <c r="T194" s="1"/>
      <c r="U194" s="1"/>
      <c r="V194" s="1"/>
      <c r="W194" s="1"/>
      <c r="X194" s="1"/>
      <c r="Y194" s="1"/>
      <c r="Z194" s="1"/>
    </row>
    <row r="195" spans="1:26" ht="15.75" customHeight="1" x14ac:dyDescent="0.3">
      <c r="A195" s="148"/>
      <c r="B195" s="6"/>
      <c r="C195" s="6"/>
      <c r="D195" s="82"/>
      <c r="E195" s="6"/>
      <c r="F195" s="6"/>
      <c r="G195" s="6"/>
      <c r="H195" s="82"/>
      <c r="I195" s="6"/>
      <c r="J195" s="6"/>
      <c r="K195" s="1"/>
      <c r="L195" s="1"/>
      <c r="M195" s="1"/>
      <c r="N195" s="1"/>
      <c r="O195" s="1"/>
      <c r="P195" s="1"/>
      <c r="Q195" s="1"/>
      <c r="R195" s="1"/>
      <c r="S195" s="1"/>
      <c r="T195" s="1"/>
      <c r="U195" s="1"/>
      <c r="V195" s="1"/>
      <c r="W195" s="1"/>
      <c r="X195" s="1"/>
      <c r="Y195" s="1"/>
      <c r="Z195" s="1"/>
    </row>
    <row r="196" spans="1:26" ht="15.75" customHeight="1" x14ac:dyDescent="0.3">
      <c r="A196" s="148"/>
      <c r="B196" s="6"/>
      <c r="C196" s="6"/>
      <c r="D196" s="82"/>
      <c r="E196" s="6"/>
      <c r="F196" s="6"/>
      <c r="G196" s="6"/>
      <c r="H196" s="82"/>
      <c r="I196" s="6"/>
      <c r="J196" s="6"/>
      <c r="K196" s="1"/>
      <c r="L196" s="1"/>
      <c r="M196" s="1"/>
      <c r="N196" s="1"/>
      <c r="O196" s="1"/>
      <c r="P196" s="1"/>
      <c r="Q196" s="1"/>
      <c r="R196" s="1"/>
      <c r="S196" s="1"/>
      <c r="T196" s="1"/>
      <c r="U196" s="1"/>
      <c r="V196" s="1"/>
      <c r="W196" s="1"/>
      <c r="X196" s="1"/>
      <c r="Y196" s="1"/>
      <c r="Z196" s="1"/>
    </row>
    <row r="197" spans="1:26" ht="15.75" customHeight="1" x14ac:dyDescent="0.3">
      <c r="A197" s="148"/>
      <c r="B197" s="6"/>
      <c r="C197" s="6"/>
      <c r="D197" s="82"/>
      <c r="E197" s="6"/>
      <c r="F197" s="6"/>
      <c r="G197" s="6"/>
      <c r="H197" s="82"/>
      <c r="I197" s="6"/>
      <c r="J197" s="6"/>
      <c r="K197" s="1"/>
      <c r="L197" s="1"/>
      <c r="M197" s="1"/>
      <c r="N197" s="1"/>
      <c r="O197" s="1"/>
      <c r="P197" s="1"/>
      <c r="Q197" s="1"/>
      <c r="R197" s="1"/>
      <c r="S197" s="1"/>
      <c r="T197" s="1"/>
      <c r="U197" s="1"/>
      <c r="V197" s="1"/>
      <c r="W197" s="1"/>
      <c r="X197" s="1"/>
      <c r="Y197" s="1"/>
      <c r="Z197" s="1"/>
    </row>
    <row r="198" spans="1:26" ht="15.75" customHeight="1" x14ac:dyDescent="0.3">
      <c r="A198" s="148"/>
      <c r="B198" s="6"/>
      <c r="C198" s="6"/>
      <c r="D198" s="82"/>
      <c r="E198" s="6"/>
      <c r="F198" s="6"/>
      <c r="G198" s="6"/>
      <c r="H198" s="82"/>
      <c r="I198" s="6"/>
      <c r="J198" s="6"/>
      <c r="K198" s="1"/>
      <c r="L198" s="1"/>
      <c r="M198" s="1"/>
      <c r="N198" s="1"/>
      <c r="O198" s="1"/>
      <c r="P198" s="1"/>
      <c r="Q198" s="1"/>
      <c r="R198" s="1"/>
      <c r="S198" s="1"/>
      <c r="T198" s="1"/>
      <c r="U198" s="1"/>
      <c r="V198" s="1"/>
      <c r="W198" s="1"/>
      <c r="X198" s="1"/>
      <c r="Y198" s="1"/>
      <c r="Z198" s="1"/>
    </row>
    <row r="199" spans="1:26" ht="15.75" customHeight="1" x14ac:dyDescent="0.3">
      <c r="A199" s="148"/>
      <c r="B199" s="6"/>
      <c r="C199" s="6"/>
      <c r="D199" s="82"/>
      <c r="E199" s="6"/>
      <c r="F199" s="6"/>
      <c r="G199" s="6"/>
      <c r="H199" s="82"/>
      <c r="I199" s="6"/>
      <c r="J199" s="6"/>
      <c r="K199" s="1"/>
      <c r="L199" s="1"/>
      <c r="M199" s="1"/>
      <c r="N199" s="1"/>
      <c r="O199" s="1"/>
      <c r="P199" s="1"/>
      <c r="Q199" s="1"/>
      <c r="R199" s="1"/>
      <c r="S199" s="1"/>
      <c r="T199" s="1"/>
      <c r="U199" s="1"/>
      <c r="V199" s="1"/>
      <c r="W199" s="1"/>
      <c r="X199" s="1"/>
      <c r="Y199" s="1"/>
      <c r="Z199" s="1"/>
    </row>
    <row r="200" spans="1:26" ht="15.75" customHeight="1" x14ac:dyDescent="0.3">
      <c r="A200" s="148"/>
      <c r="B200" s="6"/>
      <c r="C200" s="6"/>
      <c r="D200" s="82"/>
      <c r="E200" s="6"/>
      <c r="F200" s="6"/>
      <c r="G200" s="6"/>
      <c r="H200" s="82"/>
      <c r="I200" s="6"/>
      <c r="J200" s="6"/>
      <c r="K200" s="1"/>
      <c r="L200" s="1"/>
      <c r="M200" s="1"/>
      <c r="N200" s="1"/>
      <c r="O200" s="1"/>
      <c r="P200" s="1"/>
      <c r="Q200" s="1"/>
      <c r="R200" s="1"/>
      <c r="S200" s="1"/>
      <c r="T200" s="1"/>
      <c r="U200" s="1"/>
      <c r="V200" s="1"/>
      <c r="W200" s="1"/>
      <c r="X200" s="1"/>
      <c r="Y200" s="1"/>
      <c r="Z200" s="1"/>
    </row>
    <row r="201" spans="1:26" ht="15.75" customHeight="1" x14ac:dyDescent="0.3">
      <c r="A201" s="148"/>
      <c r="B201" s="6"/>
      <c r="C201" s="6"/>
      <c r="D201" s="82"/>
      <c r="E201" s="6"/>
      <c r="F201" s="6"/>
      <c r="G201" s="6"/>
      <c r="H201" s="82"/>
      <c r="I201" s="6"/>
      <c r="J201" s="6"/>
      <c r="K201" s="1"/>
      <c r="L201" s="1"/>
      <c r="M201" s="1"/>
      <c r="N201" s="1"/>
      <c r="O201" s="1"/>
      <c r="P201" s="1"/>
      <c r="Q201" s="1"/>
      <c r="R201" s="1"/>
      <c r="S201" s="1"/>
      <c r="T201" s="1"/>
      <c r="U201" s="1"/>
      <c r="V201" s="1"/>
      <c r="W201" s="1"/>
      <c r="X201" s="1"/>
      <c r="Y201" s="1"/>
      <c r="Z201" s="1"/>
    </row>
    <row r="202" spans="1:26" ht="15.75" customHeight="1" x14ac:dyDescent="0.3">
      <c r="A202" s="148"/>
      <c r="B202" s="6"/>
      <c r="C202" s="6"/>
      <c r="D202" s="82"/>
      <c r="E202" s="6"/>
      <c r="F202" s="6"/>
      <c r="G202" s="6"/>
      <c r="H202" s="82"/>
      <c r="I202" s="6"/>
      <c r="J202" s="6"/>
      <c r="K202" s="1"/>
      <c r="L202" s="1"/>
      <c r="M202" s="1"/>
      <c r="N202" s="1"/>
      <c r="O202" s="1"/>
      <c r="P202" s="1"/>
      <c r="Q202" s="1"/>
      <c r="R202" s="1"/>
      <c r="S202" s="1"/>
      <c r="T202" s="1"/>
      <c r="U202" s="1"/>
      <c r="V202" s="1"/>
      <c r="W202" s="1"/>
      <c r="X202" s="1"/>
      <c r="Y202" s="1"/>
      <c r="Z202" s="1"/>
    </row>
    <row r="203" spans="1:26" ht="15.75" customHeight="1" x14ac:dyDescent="0.3">
      <c r="A203" s="148"/>
      <c r="B203" s="6"/>
      <c r="C203" s="6"/>
      <c r="D203" s="82"/>
      <c r="E203" s="6"/>
      <c r="F203" s="6"/>
      <c r="G203" s="6"/>
      <c r="H203" s="82"/>
      <c r="I203" s="6"/>
      <c r="J203" s="6"/>
      <c r="K203" s="1"/>
      <c r="L203" s="1"/>
      <c r="M203" s="1"/>
      <c r="N203" s="1"/>
      <c r="O203" s="1"/>
      <c r="P203" s="1"/>
      <c r="Q203" s="1"/>
      <c r="R203" s="1"/>
      <c r="S203" s="1"/>
      <c r="T203" s="1"/>
      <c r="U203" s="1"/>
      <c r="V203" s="1"/>
      <c r="W203" s="1"/>
      <c r="X203" s="1"/>
      <c r="Y203" s="1"/>
      <c r="Z203" s="1"/>
    </row>
    <row r="204" spans="1:26" ht="15.75" customHeight="1" x14ac:dyDescent="0.3">
      <c r="A204" s="148"/>
      <c r="B204" s="6"/>
      <c r="C204" s="6"/>
      <c r="D204" s="82"/>
      <c r="E204" s="6"/>
      <c r="F204" s="6"/>
      <c r="G204" s="6"/>
      <c r="H204" s="82"/>
      <c r="I204" s="6"/>
      <c r="J204" s="6"/>
      <c r="K204" s="1"/>
      <c r="L204" s="1"/>
      <c r="M204" s="1"/>
      <c r="N204" s="1"/>
      <c r="O204" s="1"/>
      <c r="P204" s="1"/>
      <c r="Q204" s="1"/>
      <c r="R204" s="1"/>
      <c r="S204" s="1"/>
      <c r="T204" s="1"/>
      <c r="U204" s="1"/>
      <c r="V204" s="1"/>
      <c r="W204" s="1"/>
      <c r="X204" s="1"/>
      <c r="Y204" s="1"/>
      <c r="Z204" s="1"/>
    </row>
    <row r="205" spans="1:26" ht="15.75" customHeight="1" x14ac:dyDescent="0.3">
      <c r="A205" s="148"/>
      <c r="B205" s="6"/>
      <c r="C205" s="6"/>
      <c r="D205" s="82"/>
      <c r="E205" s="6"/>
      <c r="F205" s="6"/>
      <c r="G205" s="6"/>
      <c r="H205" s="82"/>
      <c r="I205" s="6"/>
      <c r="J205" s="6"/>
      <c r="K205" s="1"/>
      <c r="L205" s="1"/>
      <c r="M205" s="1"/>
      <c r="N205" s="1"/>
      <c r="O205" s="1"/>
      <c r="P205" s="1"/>
      <c r="Q205" s="1"/>
      <c r="R205" s="1"/>
      <c r="S205" s="1"/>
      <c r="T205" s="1"/>
      <c r="U205" s="1"/>
      <c r="V205" s="1"/>
      <c r="W205" s="1"/>
      <c r="X205" s="1"/>
      <c r="Y205" s="1"/>
      <c r="Z205" s="1"/>
    </row>
    <row r="206" spans="1:26" ht="15.75" customHeight="1" x14ac:dyDescent="0.3">
      <c r="A206" s="148"/>
      <c r="B206" s="6"/>
      <c r="C206" s="6"/>
      <c r="D206" s="82"/>
      <c r="E206" s="6"/>
      <c r="F206" s="6"/>
      <c r="G206" s="6"/>
      <c r="H206" s="82"/>
      <c r="I206" s="6"/>
      <c r="J206" s="6"/>
      <c r="K206" s="1"/>
      <c r="L206" s="1"/>
      <c r="M206" s="1"/>
      <c r="N206" s="1"/>
      <c r="O206" s="1"/>
      <c r="P206" s="1"/>
      <c r="Q206" s="1"/>
      <c r="R206" s="1"/>
      <c r="S206" s="1"/>
      <c r="T206" s="1"/>
      <c r="U206" s="1"/>
      <c r="V206" s="1"/>
      <c r="W206" s="1"/>
      <c r="X206" s="1"/>
      <c r="Y206" s="1"/>
      <c r="Z206" s="1"/>
    </row>
    <row r="207" spans="1:26" ht="15.75" customHeight="1" x14ac:dyDescent="0.3">
      <c r="A207" s="148"/>
      <c r="B207" s="6"/>
      <c r="C207" s="6"/>
      <c r="D207" s="82"/>
      <c r="E207" s="6"/>
      <c r="F207" s="6"/>
      <c r="G207" s="6"/>
      <c r="H207" s="82"/>
      <c r="I207" s="6"/>
      <c r="J207" s="6"/>
      <c r="K207" s="1"/>
      <c r="L207" s="1"/>
      <c r="M207" s="1"/>
      <c r="N207" s="1"/>
      <c r="O207" s="1"/>
      <c r="P207" s="1"/>
      <c r="Q207" s="1"/>
      <c r="R207" s="1"/>
      <c r="S207" s="1"/>
      <c r="T207" s="1"/>
      <c r="U207" s="1"/>
      <c r="V207" s="1"/>
      <c r="W207" s="1"/>
      <c r="X207" s="1"/>
      <c r="Y207" s="1"/>
      <c r="Z207" s="1"/>
    </row>
    <row r="208" spans="1:26" ht="15.75" customHeight="1" x14ac:dyDescent="0.3">
      <c r="A208" s="148"/>
      <c r="B208" s="6"/>
      <c r="C208" s="6"/>
      <c r="D208" s="82"/>
      <c r="E208" s="6"/>
      <c r="F208" s="6"/>
      <c r="G208" s="6"/>
      <c r="H208" s="82"/>
      <c r="I208" s="6"/>
      <c r="J208" s="6"/>
      <c r="K208" s="1"/>
      <c r="L208" s="1"/>
      <c r="M208" s="1"/>
      <c r="N208" s="1"/>
      <c r="O208" s="1"/>
      <c r="P208" s="1"/>
      <c r="Q208" s="1"/>
      <c r="R208" s="1"/>
      <c r="S208" s="1"/>
      <c r="T208" s="1"/>
      <c r="U208" s="1"/>
      <c r="V208" s="1"/>
      <c r="W208" s="1"/>
      <c r="X208" s="1"/>
      <c r="Y208" s="1"/>
      <c r="Z208" s="1"/>
    </row>
    <row r="209" spans="1:26" ht="15.75" customHeight="1" x14ac:dyDescent="0.3">
      <c r="A209" s="148"/>
      <c r="B209" s="6"/>
      <c r="C209" s="6"/>
      <c r="D209" s="82"/>
      <c r="E209" s="6"/>
      <c r="F209" s="6"/>
      <c r="G209" s="6"/>
      <c r="H209" s="82"/>
      <c r="I209" s="6"/>
      <c r="J209" s="6"/>
      <c r="K209" s="1"/>
      <c r="L209" s="1"/>
      <c r="M209" s="1"/>
      <c r="N209" s="1"/>
      <c r="O209" s="1"/>
      <c r="P209" s="1"/>
      <c r="Q209" s="1"/>
      <c r="R209" s="1"/>
      <c r="S209" s="1"/>
      <c r="T209" s="1"/>
      <c r="U209" s="1"/>
      <c r="V209" s="1"/>
      <c r="W209" s="1"/>
      <c r="X209" s="1"/>
      <c r="Y209" s="1"/>
      <c r="Z209" s="1"/>
    </row>
    <row r="210" spans="1:26" ht="15.75" customHeight="1" x14ac:dyDescent="0.3">
      <c r="A210" s="148"/>
      <c r="B210" s="6"/>
      <c r="C210" s="6"/>
      <c r="D210" s="82"/>
      <c r="E210" s="6"/>
      <c r="F210" s="6"/>
      <c r="G210" s="6"/>
      <c r="H210" s="82"/>
      <c r="I210" s="6"/>
      <c r="J210" s="6"/>
      <c r="K210" s="1"/>
      <c r="L210" s="1"/>
      <c r="M210" s="1"/>
      <c r="N210" s="1"/>
      <c r="O210" s="1"/>
      <c r="P210" s="1"/>
      <c r="Q210" s="1"/>
      <c r="R210" s="1"/>
      <c r="S210" s="1"/>
      <c r="T210" s="1"/>
      <c r="U210" s="1"/>
      <c r="V210" s="1"/>
      <c r="W210" s="1"/>
      <c r="X210" s="1"/>
      <c r="Y210" s="1"/>
      <c r="Z210" s="1"/>
    </row>
    <row r="211" spans="1:26" ht="15.75" customHeight="1" x14ac:dyDescent="0.3">
      <c r="A211" s="148"/>
      <c r="B211" s="6"/>
      <c r="C211" s="6"/>
      <c r="D211" s="82"/>
      <c r="E211" s="6"/>
      <c r="F211" s="6"/>
      <c r="G211" s="6"/>
      <c r="H211" s="82"/>
      <c r="I211" s="6"/>
      <c r="J211" s="6"/>
      <c r="K211" s="1"/>
      <c r="L211" s="1"/>
      <c r="M211" s="1"/>
      <c r="N211" s="1"/>
      <c r="O211" s="1"/>
      <c r="P211" s="1"/>
      <c r="Q211" s="1"/>
      <c r="R211" s="1"/>
      <c r="S211" s="1"/>
      <c r="T211" s="1"/>
      <c r="U211" s="1"/>
      <c r="V211" s="1"/>
      <c r="W211" s="1"/>
      <c r="X211" s="1"/>
      <c r="Y211" s="1"/>
      <c r="Z211" s="1"/>
    </row>
    <row r="212" spans="1:26" ht="15.75" customHeight="1" x14ac:dyDescent="0.3">
      <c r="A212" s="148"/>
      <c r="B212" s="6"/>
      <c r="C212" s="6"/>
      <c r="D212" s="82"/>
      <c r="E212" s="6"/>
      <c r="F212" s="6"/>
      <c r="G212" s="6"/>
      <c r="H212" s="82"/>
      <c r="I212" s="6"/>
      <c r="J212" s="6"/>
      <c r="K212" s="1"/>
      <c r="L212" s="1"/>
      <c r="M212" s="1"/>
      <c r="N212" s="1"/>
      <c r="O212" s="1"/>
      <c r="P212" s="1"/>
      <c r="Q212" s="1"/>
      <c r="R212" s="1"/>
      <c r="S212" s="1"/>
      <c r="T212" s="1"/>
      <c r="U212" s="1"/>
      <c r="V212" s="1"/>
      <c r="W212" s="1"/>
      <c r="X212" s="1"/>
      <c r="Y212" s="1"/>
      <c r="Z212" s="1"/>
    </row>
    <row r="213" spans="1:26" ht="15.75" customHeight="1" x14ac:dyDescent="0.3">
      <c r="A213" s="148"/>
      <c r="B213" s="6"/>
      <c r="C213" s="6"/>
      <c r="D213" s="82"/>
      <c r="E213" s="6"/>
      <c r="F213" s="6"/>
      <c r="G213" s="6"/>
      <c r="H213" s="82"/>
      <c r="I213" s="6"/>
      <c r="J213" s="6"/>
      <c r="K213" s="1"/>
      <c r="L213" s="1"/>
      <c r="M213" s="1"/>
      <c r="N213" s="1"/>
      <c r="O213" s="1"/>
      <c r="P213" s="1"/>
      <c r="Q213" s="1"/>
      <c r="R213" s="1"/>
      <c r="S213" s="1"/>
      <c r="T213" s="1"/>
      <c r="U213" s="1"/>
      <c r="V213" s="1"/>
      <c r="W213" s="1"/>
      <c r="X213" s="1"/>
      <c r="Y213" s="1"/>
      <c r="Z213" s="1"/>
    </row>
    <row r="214" spans="1:26" ht="15.75" customHeight="1" x14ac:dyDescent="0.3">
      <c r="A214" s="148"/>
      <c r="B214" s="6"/>
      <c r="C214" s="6"/>
      <c r="D214" s="82"/>
      <c r="E214" s="6"/>
      <c r="F214" s="6"/>
      <c r="G214" s="6"/>
      <c r="H214" s="82"/>
      <c r="I214" s="6"/>
      <c r="J214" s="6"/>
      <c r="K214" s="1"/>
      <c r="L214" s="1"/>
      <c r="M214" s="1"/>
      <c r="N214" s="1"/>
      <c r="O214" s="1"/>
      <c r="P214" s="1"/>
      <c r="Q214" s="1"/>
      <c r="R214" s="1"/>
      <c r="S214" s="1"/>
      <c r="T214" s="1"/>
      <c r="U214" s="1"/>
      <c r="V214" s="1"/>
      <c r="W214" s="1"/>
      <c r="X214" s="1"/>
      <c r="Y214" s="1"/>
      <c r="Z214" s="1"/>
    </row>
    <row r="215" spans="1:26" ht="15.75" customHeight="1" x14ac:dyDescent="0.3">
      <c r="A215" s="148"/>
      <c r="B215" s="6"/>
      <c r="C215" s="6"/>
      <c r="D215" s="82"/>
      <c r="E215" s="6"/>
      <c r="F215" s="6"/>
      <c r="G215" s="6"/>
      <c r="H215" s="82"/>
      <c r="I215" s="6"/>
      <c r="J215" s="6"/>
      <c r="K215" s="1"/>
      <c r="L215" s="1"/>
      <c r="M215" s="1"/>
      <c r="N215" s="1"/>
      <c r="O215" s="1"/>
      <c r="P215" s="1"/>
      <c r="Q215" s="1"/>
      <c r="R215" s="1"/>
      <c r="S215" s="1"/>
      <c r="T215" s="1"/>
      <c r="U215" s="1"/>
      <c r="V215" s="1"/>
      <c r="W215" s="1"/>
      <c r="X215" s="1"/>
      <c r="Y215" s="1"/>
      <c r="Z215" s="1"/>
    </row>
    <row r="216" spans="1:26" ht="15.75" customHeight="1" x14ac:dyDescent="0.3">
      <c r="A216" s="148"/>
      <c r="B216" s="6"/>
      <c r="C216" s="6"/>
      <c r="D216" s="82"/>
      <c r="E216" s="6"/>
      <c r="F216" s="6"/>
      <c r="G216" s="6"/>
      <c r="H216" s="82"/>
      <c r="I216" s="6"/>
      <c r="J216" s="6"/>
      <c r="K216" s="1"/>
      <c r="L216" s="1"/>
      <c r="M216" s="1"/>
      <c r="N216" s="1"/>
      <c r="O216" s="1"/>
      <c r="P216" s="1"/>
      <c r="Q216" s="1"/>
      <c r="R216" s="1"/>
      <c r="S216" s="1"/>
      <c r="T216" s="1"/>
      <c r="U216" s="1"/>
      <c r="V216" s="1"/>
      <c r="W216" s="1"/>
      <c r="X216" s="1"/>
      <c r="Y216" s="1"/>
      <c r="Z216" s="1"/>
    </row>
    <row r="217" spans="1:26" ht="15.75" customHeight="1" x14ac:dyDescent="0.3">
      <c r="A217" s="148"/>
      <c r="B217" s="6"/>
      <c r="C217" s="6"/>
      <c r="D217" s="82"/>
      <c r="E217" s="6"/>
      <c r="F217" s="6"/>
      <c r="G217" s="6"/>
      <c r="H217" s="82"/>
      <c r="I217" s="6"/>
      <c r="J217" s="6"/>
      <c r="K217" s="1"/>
      <c r="L217" s="1"/>
      <c r="M217" s="1"/>
      <c r="N217" s="1"/>
      <c r="O217" s="1"/>
      <c r="P217" s="1"/>
      <c r="Q217" s="1"/>
      <c r="R217" s="1"/>
      <c r="S217" s="1"/>
      <c r="T217" s="1"/>
      <c r="U217" s="1"/>
      <c r="V217" s="1"/>
      <c r="W217" s="1"/>
      <c r="X217" s="1"/>
      <c r="Y217" s="1"/>
      <c r="Z217" s="1"/>
    </row>
    <row r="218" spans="1:26" ht="15.75" customHeight="1" x14ac:dyDescent="0.3">
      <c r="A218" s="148"/>
      <c r="B218" s="6"/>
      <c r="C218" s="6"/>
      <c r="D218" s="82"/>
      <c r="E218" s="6"/>
      <c r="F218" s="6"/>
      <c r="G218" s="6"/>
      <c r="H218" s="82"/>
      <c r="I218" s="6"/>
      <c r="J218" s="6"/>
      <c r="K218" s="1"/>
      <c r="L218" s="1"/>
      <c r="M218" s="1"/>
      <c r="N218" s="1"/>
      <c r="O218" s="1"/>
      <c r="P218" s="1"/>
      <c r="Q218" s="1"/>
      <c r="R218" s="1"/>
      <c r="S218" s="1"/>
      <c r="T218" s="1"/>
      <c r="U218" s="1"/>
      <c r="V218" s="1"/>
      <c r="W218" s="1"/>
      <c r="X218" s="1"/>
      <c r="Y218" s="1"/>
      <c r="Z218" s="1"/>
    </row>
    <row r="219" spans="1:26" ht="15.75" customHeight="1" x14ac:dyDescent="0.3">
      <c r="A219" s="148"/>
      <c r="B219" s="6"/>
      <c r="C219" s="6"/>
      <c r="D219" s="82"/>
      <c r="E219" s="6"/>
      <c r="F219" s="6"/>
      <c r="G219" s="6"/>
      <c r="H219" s="82"/>
      <c r="I219" s="6"/>
      <c r="J219" s="6"/>
      <c r="K219" s="1"/>
      <c r="L219" s="1"/>
      <c r="M219" s="1"/>
      <c r="N219" s="1"/>
      <c r="O219" s="1"/>
      <c r="P219" s="1"/>
      <c r="Q219" s="1"/>
      <c r="R219" s="1"/>
      <c r="S219" s="1"/>
      <c r="T219" s="1"/>
      <c r="U219" s="1"/>
      <c r="V219" s="1"/>
      <c r="W219" s="1"/>
      <c r="X219" s="1"/>
      <c r="Y219" s="1"/>
      <c r="Z219" s="1"/>
    </row>
    <row r="220" spans="1:26" ht="15.75" customHeight="1" x14ac:dyDescent="0.3">
      <c r="A220" s="148"/>
      <c r="B220" s="6"/>
      <c r="C220" s="6"/>
      <c r="D220" s="82"/>
      <c r="E220" s="6"/>
      <c r="F220" s="6"/>
      <c r="G220" s="6"/>
      <c r="H220" s="82"/>
      <c r="I220" s="6"/>
      <c r="J220" s="6"/>
      <c r="K220" s="1"/>
      <c r="L220" s="1"/>
      <c r="M220" s="1"/>
      <c r="N220" s="1"/>
      <c r="O220" s="1"/>
      <c r="P220" s="1"/>
      <c r="Q220" s="1"/>
      <c r="R220" s="1"/>
      <c r="S220" s="1"/>
      <c r="T220" s="1"/>
      <c r="U220" s="1"/>
      <c r="V220" s="1"/>
      <c r="W220" s="1"/>
      <c r="X220" s="1"/>
      <c r="Y220" s="1"/>
      <c r="Z220" s="1"/>
    </row>
    <row r="221" spans="1:26" ht="15.75" customHeight="1" x14ac:dyDescent="0.3">
      <c r="A221" s="148"/>
      <c r="B221" s="6"/>
      <c r="C221" s="6"/>
      <c r="D221" s="82"/>
      <c r="E221" s="6"/>
      <c r="F221" s="6"/>
      <c r="G221" s="6"/>
      <c r="H221" s="82"/>
      <c r="I221" s="6"/>
      <c r="J221" s="6"/>
      <c r="K221" s="1"/>
      <c r="L221" s="1"/>
      <c r="M221" s="1"/>
      <c r="N221" s="1"/>
      <c r="O221" s="1"/>
      <c r="P221" s="1"/>
      <c r="Q221" s="1"/>
      <c r="R221" s="1"/>
      <c r="S221" s="1"/>
      <c r="T221" s="1"/>
      <c r="U221" s="1"/>
      <c r="V221" s="1"/>
      <c r="W221" s="1"/>
      <c r="X221" s="1"/>
      <c r="Y221" s="1"/>
      <c r="Z221" s="1"/>
    </row>
    <row r="222" spans="1:26" ht="15.75" customHeight="1" x14ac:dyDescent="0.3">
      <c r="A222" s="148"/>
      <c r="B222" s="6"/>
      <c r="C222" s="6"/>
      <c r="D222" s="82"/>
      <c r="E222" s="6"/>
      <c r="F222" s="6"/>
      <c r="G222" s="6"/>
      <c r="H222" s="82"/>
      <c r="I222" s="6"/>
      <c r="J222" s="6"/>
      <c r="K222" s="1"/>
      <c r="L222" s="1"/>
      <c r="M222" s="1"/>
      <c r="N222" s="1"/>
      <c r="O222" s="1"/>
      <c r="P222" s="1"/>
      <c r="Q222" s="1"/>
      <c r="R222" s="1"/>
      <c r="S222" s="1"/>
      <c r="T222" s="1"/>
      <c r="U222" s="1"/>
      <c r="V222" s="1"/>
      <c r="W222" s="1"/>
      <c r="X222" s="1"/>
      <c r="Y222" s="1"/>
      <c r="Z222" s="1"/>
    </row>
    <row r="223" spans="1:26" ht="15.75" customHeight="1" x14ac:dyDescent="0.3">
      <c r="A223" s="148"/>
      <c r="B223" s="6"/>
      <c r="C223" s="6"/>
      <c r="D223" s="82"/>
      <c r="E223" s="6"/>
      <c r="F223" s="6"/>
      <c r="G223" s="6"/>
      <c r="H223" s="82"/>
      <c r="I223" s="6"/>
      <c r="J223" s="6"/>
      <c r="K223" s="1"/>
      <c r="L223" s="1"/>
      <c r="M223" s="1"/>
      <c r="N223" s="1"/>
      <c r="O223" s="1"/>
      <c r="P223" s="1"/>
      <c r="Q223" s="1"/>
      <c r="R223" s="1"/>
      <c r="S223" s="1"/>
      <c r="T223" s="1"/>
      <c r="U223" s="1"/>
      <c r="V223" s="1"/>
      <c r="W223" s="1"/>
      <c r="X223" s="1"/>
      <c r="Y223" s="1"/>
      <c r="Z223" s="1"/>
    </row>
    <row r="224" spans="1:26" ht="15.75" customHeight="1" x14ac:dyDescent="0.3">
      <c r="A224" s="148"/>
      <c r="B224" s="6"/>
      <c r="C224" s="6"/>
      <c r="D224" s="82"/>
      <c r="E224" s="6"/>
      <c r="F224" s="6"/>
      <c r="G224" s="6"/>
      <c r="H224" s="82"/>
      <c r="I224" s="6"/>
      <c r="J224" s="6"/>
      <c r="K224" s="1"/>
      <c r="L224" s="1"/>
      <c r="M224" s="1"/>
      <c r="N224" s="1"/>
      <c r="O224" s="1"/>
      <c r="P224" s="1"/>
      <c r="Q224" s="1"/>
      <c r="R224" s="1"/>
      <c r="S224" s="1"/>
      <c r="T224" s="1"/>
      <c r="U224" s="1"/>
      <c r="V224" s="1"/>
      <c r="W224" s="1"/>
      <c r="X224" s="1"/>
      <c r="Y224" s="1"/>
      <c r="Z224" s="1"/>
    </row>
    <row r="225" spans="1:26" ht="15.75" customHeight="1" x14ac:dyDescent="0.3">
      <c r="A225" s="148"/>
      <c r="B225" s="6"/>
      <c r="C225" s="6"/>
      <c r="D225" s="82"/>
      <c r="E225" s="6"/>
      <c r="F225" s="6"/>
      <c r="G225" s="6"/>
      <c r="H225" s="82"/>
      <c r="I225" s="6"/>
      <c r="J225" s="6"/>
      <c r="K225" s="1"/>
      <c r="L225" s="1"/>
      <c r="M225" s="1"/>
      <c r="N225" s="1"/>
      <c r="O225" s="1"/>
      <c r="P225" s="1"/>
      <c r="Q225" s="1"/>
      <c r="R225" s="1"/>
      <c r="S225" s="1"/>
      <c r="T225" s="1"/>
      <c r="U225" s="1"/>
      <c r="V225" s="1"/>
      <c r="W225" s="1"/>
      <c r="X225" s="1"/>
      <c r="Y225" s="1"/>
      <c r="Z225" s="1"/>
    </row>
    <row r="226" spans="1:26" ht="15.75" customHeight="1" x14ac:dyDescent="0.3">
      <c r="A226" s="148"/>
      <c r="B226" s="6"/>
      <c r="C226" s="6"/>
      <c r="D226" s="82"/>
      <c r="E226" s="6"/>
      <c r="F226" s="6"/>
      <c r="G226" s="6"/>
      <c r="H226" s="82"/>
      <c r="I226" s="6"/>
      <c r="J226" s="6"/>
      <c r="K226" s="1"/>
      <c r="L226" s="1"/>
      <c r="M226" s="1"/>
      <c r="N226" s="1"/>
      <c r="O226" s="1"/>
      <c r="P226" s="1"/>
      <c r="Q226" s="1"/>
      <c r="R226" s="1"/>
      <c r="S226" s="1"/>
      <c r="T226" s="1"/>
      <c r="U226" s="1"/>
      <c r="V226" s="1"/>
      <c r="W226" s="1"/>
      <c r="X226" s="1"/>
      <c r="Y226" s="1"/>
      <c r="Z226" s="1"/>
    </row>
    <row r="227" spans="1:26" ht="15.75" customHeight="1" x14ac:dyDescent="0.3">
      <c r="A227" s="148"/>
      <c r="B227" s="6"/>
      <c r="C227" s="6"/>
      <c r="D227" s="82"/>
      <c r="E227" s="6"/>
      <c r="F227" s="6"/>
      <c r="G227" s="6"/>
      <c r="H227" s="82"/>
      <c r="I227" s="6"/>
      <c r="J227" s="6"/>
      <c r="K227" s="1"/>
      <c r="L227" s="1"/>
      <c r="M227" s="1"/>
      <c r="N227" s="1"/>
      <c r="O227" s="1"/>
      <c r="P227" s="1"/>
      <c r="Q227" s="1"/>
      <c r="R227" s="1"/>
      <c r="S227" s="1"/>
      <c r="T227" s="1"/>
      <c r="U227" s="1"/>
      <c r="V227" s="1"/>
      <c r="W227" s="1"/>
      <c r="X227" s="1"/>
      <c r="Y227" s="1"/>
      <c r="Z227" s="1"/>
    </row>
    <row r="228" spans="1:26" ht="15.75" customHeight="1" x14ac:dyDescent="0.3">
      <c r="A228" s="148"/>
      <c r="B228" s="6"/>
      <c r="C228" s="6"/>
      <c r="D228" s="82"/>
      <c r="E228" s="6"/>
      <c r="F228" s="6"/>
      <c r="G228" s="6"/>
      <c r="H228" s="82"/>
      <c r="I228" s="6"/>
      <c r="J228" s="6"/>
      <c r="K228" s="1"/>
      <c r="L228" s="1"/>
      <c r="M228" s="1"/>
      <c r="N228" s="1"/>
      <c r="O228" s="1"/>
      <c r="P228" s="1"/>
      <c r="Q228" s="1"/>
      <c r="R228" s="1"/>
      <c r="S228" s="1"/>
      <c r="T228" s="1"/>
      <c r="U228" s="1"/>
      <c r="V228" s="1"/>
      <c r="W228" s="1"/>
      <c r="X228" s="1"/>
      <c r="Y228" s="1"/>
      <c r="Z228" s="1"/>
    </row>
    <row r="229" spans="1:26" ht="15.75" customHeight="1" x14ac:dyDescent="0.3">
      <c r="A229" s="148"/>
      <c r="B229" s="6"/>
      <c r="C229" s="6"/>
      <c r="D229" s="82"/>
      <c r="E229" s="6"/>
      <c r="F229" s="6"/>
      <c r="G229" s="6"/>
      <c r="H229" s="82"/>
      <c r="I229" s="6"/>
      <c r="J229" s="6"/>
      <c r="K229" s="1"/>
      <c r="L229" s="1"/>
      <c r="M229" s="1"/>
      <c r="N229" s="1"/>
      <c r="O229" s="1"/>
      <c r="P229" s="1"/>
      <c r="Q229" s="1"/>
      <c r="R229" s="1"/>
      <c r="S229" s="1"/>
      <c r="T229" s="1"/>
      <c r="U229" s="1"/>
      <c r="V229" s="1"/>
      <c r="W229" s="1"/>
      <c r="X229" s="1"/>
      <c r="Y229" s="1"/>
      <c r="Z229" s="1"/>
    </row>
    <row r="230" spans="1:26" ht="15.75" customHeight="1" x14ac:dyDescent="0.3">
      <c r="A230" s="148"/>
      <c r="B230" s="6"/>
      <c r="C230" s="6"/>
      <c r="D230" s="82"/>
      <c r="E230" s="6"/>
      <c r="F230" s="6"/>
      <c r="G230" s="6"/>
      <c r="H230" s="82"/>
      <c r="I230" s="6"/>
      <c r="J230" s="6"/>
      <c r="K230" s="1"/>
      <c r="L230" s="1"/>
      <c r="M230" s="1"/>
      <c r="N230" s="1"/>
      <c r="O230" s="1"/>
      <c r="P230" s="1"/>
      <c r="Q230" s="1"/>
      <c r="R230" s="1"/>
      <c r="S230" s="1"/>
      <c r="T230" s="1"/>
      <c r="U230" s="1"/>
      <c r="V230" s="1"/>
      <c r="W230" s="1"/>
      <c r="X230" s="1"/>
      <c r="Y230" s="1"/>
      <c r="Z230" s="1"/>
    </row>
    <row r="231" spans="1:26" ht="15.75" customHeight="1" x14ac:dyDescent="0.3">
      <c r="A231" s="148"/>
      <c r="B231" s="6"/>
      <c r="C231" s="6"/>
      <c r="D231" s="82"/>
      <c r="E231" s="6"/>
      <c r="F231" s="6"/>
      <c r="G231" s="6"/>
      <c r="H231" s="82"/>
      <c r="I231" s="6"/>
      <c r="J231" s="6"/>
      <c r="K231" s="1"/>
      <c r="L231" s="1"/>
      <c r="M231" s="1"/>
      <c r="N231" s="1"/>
      <c r="O231" s="1"/>
      <c r="P231" s="1"/>
      <c r="Q231" s="1"/>
      <c r="R231" s="1"/>
      <c r="S231" s="1"/>
      <c r="T231" s="1"/>
      <c r="U231" s="1"/>
      <c r="V231" s="1"/>
      <c r="W231" s="1"/>
      <c r="X231" s="1"/>
      <c r="Y231" s="1"/>
      <c r="Z231" s="1"/>
    </row>
    <row r="232" spans="1:26" ht="15.75" customHeight="1" x14ac:dyDescent="0.3">
      <c r="A232" s="148"/>
      <c r="B232" s="6"/>
      <c r="C232" s="6"/>
      <c r="D232" s="82"/>
      <c r="E232" s="6"/>
      <c r="F232" s="6"/>
      <c r="G232" s="6"/>
      <c r="H232" s="82"/>
      <c r="I232" s="6"/>
      <c r="J232" s="6"/>
      <c r="K232" s="1"/>
      <c r="L232" s="1"/>
      <c r="M232" s="1"/>
      <c r="N232" s="1"/>
      <c r="O232" s="1"/>
      <c r="P232" s="1"/>
      <c r="Q232" s="1"/>
      <c r="R232" s="1"/>
      <c r="S232" s="1"/>
      <c r="T232" s="1"/>
      <c r="U232" s="1"/>
      <c r="V232" s="1"/>
      <c r="W232" s="1"/>
      <c r="X232" s="1"/>
      <c r="Y232" s="1"/>
      <c r="Z232" s="1"/>
    </row>
    <row r="233" spans="1:26" ht="15.75" customHeight="1" x14ac:dyDescent="0.3">
      <c r="A233" s="148"/>
      <c r="B233" s="6"/>
      <c r="C233" s="6"/>
      <c r="D233" s="82"/>
      <c r="E233" s="6"/>
      <c r="F233" s="6"/>
      <c r="G233" s="6"/>
      <c r="H233" s="82"/>
      <c r="I233" s="6"/>
      <c r="J233" s="6"/>
      <c r="K233" s="1"/>
      <c r="L233" s="1"/>
      <c r="M233" s="1"/>
      <c r="N233" s="1"/>
      <c r="O233" s="1"/>
      <c r="P233" s="1"/>
      <c r="Q233" s="1"/>
      <c r="R233" s="1"/>
      <c r="S233" s="1"/>
      <c r="T233" s="1"/>
      <c r="U233" s="1"/>
      <c r="V233" s="1"/>
      <c r="W233" s="1"/>
      <c r="X233" s="1"/>
      <c r="Y233" s="1"/>
      <c r="Z233" s="1"/>
    </row>
    <row r="234" spans="1:26" ht="15.75" customHeight="1" x14ac:dyDescent="0.3">
      <c r="A234" s="148"/>
      <c r="B234" s="6"/>
      <c r="C234" s="6"/>
      <c r="D234" s="82"/>
      <c r="E234" s="6"/>
      <c r="F234" s="6"/>
      <c r="G234" s="6"/>
      <c r="H234" s="82"/>
      <c r="I234" s="6"/>
      <c r="J234" s="6"/>
      <c r="K234" s="1"/>
      <c r="L234" s="1"/>
      <c r="M234" s="1"/>
      <c r="N234" s="1"/>
      <c r="O234" s="1"/>
      <c r="P234" s="1"/>
      <c r="Q234" s="1"/>
      <c r="R234" s="1"/>
      <c r="S234" s="1"/>
      <c r="T234" s="1"/>
      <c r="U234" s="1"/>
      <c r="V234" s="1"/>
      <c r="W234" s="1"/>
      <c r="X234" s="1"/>
      <c r="Y234" s="1"/>
      <c r="Z234" s="1"/>
    </row>
    <row r="235" spans="1:26" ht="15.75" customHeight="1" x14ac:dyDescent="0.3">
      <c r="A235" s="148"/>
      <c r="B235" s="6"/>
      <c r="C235" s="6"/>
      <c r="D235" s="82"/>
      <c r="E235" s="6"/>
      <c r="F235" s="6"/>
      <c r="G235" s="6"/>
      <c r="H235" s="82"/>
      <c r="I235" s="6"/>
      <c r="J235" s="6"/>
      <c r="K235" s="1"/>
      <c r="L235" s="1"/>
      <c r="M235" s="1"/>
      <c r="N235" s="1"/>
      <c r="O235" s="1"/>
      <c r="P235" s="1"/>
      <c r="Q235" s="1"/>
      <c r="R235" s="1"/>
      <c r="S235" s="1"/>
      <c r="T235" s="1"/>
      <c r="U235" s="1"/>
      <c r="V235" s="1"/>
      <c r="W235" s="1"/>
      <c r="X235" s="1"/>
      <c r="Y235" s="1"/>
      <c r="Z235" s="1"/>
    </row>
    <row r="236" spans="1:26" ht="15.75" customHeight="1" x14ac:dyDescent="0.3">
      <c r="A236" s="148"/>
      <c r="B236" s="6"/>
      <c r="C236" s="6"/>
      <c r="D236" s="82"/>
      <c r="E236" s="6"/>
      <c r="F236" s="6"/>
      <c r="G236" s="6"/>
      <c r="H236" s="82"/>
      <c r="I236" s="6"/>
      <c r="J236" s="6"/>
      <c r="K236" s="1"/>
      <c r="L236" s="1"/>
      <c r="M236" s="1"/>
      <c r="N236" s="1"/>
      <c r="O236" s="1"/>
      <c r="P236" s="1"/>
      <c r="Q236" s="1"/>
      <c r="R236" s="1"/>
      <c r="S236" s="1"/>
      <c r="T236" s="1"/>
      <c r="U236" s="1"/>
      <c r="V236" s="1"/>
      <c r="W236" s="1"/>
      <c r="X236" s="1"/>
      <c r="Y236" s="1"/>
      <c r="Z236" s="1"/>
    </row>
    <row r="237" spans="1:26" ht="15.75" customHeight="1" x14ac:dyDescent="0.3">
      <c r="A237" s="148"/>
      <c r="B237" s="6"/>
      <c r="C237" s="6"/>
      <c r="D237" s="82"/>
      <c r="E237" s="6"/>
      <c r="F237" s="6"/>
      <c r="G237" s="6"/>
      <c r="H237" s="82"/>
      <c r="I237" s="6"/>
      <c r="J237" s="6"/>
      <c r="K237" s="1"/>
      <c r="L237" s="1"/>
      <c r="M237" s="1"/>
      <c r="N237" s="1"/>
      <c r="O237" s="1"/>
      <c r="P237" s="1"/>
      <c r="Q237" s="1"/>
      <c r="R237" s="1"/>
      <c r="S237" s="1"/>
      <c r="T237" s="1"/>
      <c r="U237" s="1"/>
      <c r="V237" s="1"/>
      <c r="W237" s="1"/>
      <c r="X237" s="1"/>
      <c r="Y237" s="1"/>
      <c r="Z237" s="1"/>
    </row>
    <row r="238" spans="1:26" ht="15.75" customHeight="1" x14ac:dyDescent="0.3">
      <c r="A238" s="148"/>
      <c r="B238" s="6"/>
      <c r="C238" s="6"/>
      <c r="D238" s="82"/>
      <c r="E238" s="6"/>
      <c r="F238" s="6"/>
      <c r="G238" s="6"/>
      <c r="H238" s="82"/>
      <c r="I238" s="6"/>
      <c r="J238" s="6"/>
      <c r="K238" s="1"/>
      <c r="L238" s="1"/>
      <c r="M238" s="1"/>
      <c r="N238" s="1"/>
      <c r="O238" s="1"/>
      <c r="P238" s="1"/>
      <c r="Q238" s="1"/>
      <c r="R238" s="1"/>
      <c r="S238" s="1"/>
      <c r="T238" s="1"/>
      <c r="U238" s="1"/>
      <c r="V238" s="1"/>
      <c r="W238" s="1"/>
      <c r="X238" s="1"/>
      <c r="Y238" s="1"/>
      <c r="Z238" s="1"/>
    </row>
    <row r="239" spans="1:26" ht="15.75" customHeight="1" x14ac:dyDescent="0.3">
      <c r="A239" s="148"/>
      <c r="B239" s="6"/>
      <c r="C239" s="6"/>
      <c r="D239" s="82"/>
      <c r="E239" s="6"/>
      <c r="F239" s="6"/>
      <c r="G239" s="6"/>
      <c r="H239" s="82"/>
      <c r="I239" s="6"/>
      <c r="J239" s="6"/>
      <c r="K239" s="1"/>
      <c r="L239" s="1"/>
      <c r="M239" s="1"/>
      <c r="N239" s="1"/>
      <c r="O239" s="1"/>
      <c r="P239" s="1"/>
      <c r="Q239" s="1"/>
      <c r="R239" s="1"/>
      <c r="S239" s="1"/>
      <c r="T239" s="1"/>
      <c r="U239" s="1"/>
      <c r="V239" s="1"/>
      <c r="W239" s="1"/>
      <c r="X239" s="1"/>
      <c r="Y239" s="1"/>
      <c r="Z239" s="1"/>
    </row>
    <row r="240" spans="1:26" ht="15.75" customHeight="1" x14ac:dyDescent="0.3">
      <c r="A240" s="148"/>
      <c r="B240" s="6"/>
      <c r="C240" s="6"/>
      <c r="D240" s="82"/>
      <c r="E240" s="6"/>
      <c r="F240" s="6"/>
      <c r="G240" s="6"/>
      <c r="H240" s="82"/>
      <c r="I240" s="6"/>
      <c r="J240" s="6"/>
      <c r="K240" s="1"/>
      <c r="L240" s="1"/>
      <c r="M240" s="1"/>
      <c r="N240" s="1"/>
      <c r="O240" s="1"/>
      <c r="P240" s="1"/>
      <c r="Q240" s="1"/>
      <c r="R240" s="1"/>
      <c r="S240" s="1"/>
      <c r="T240" s="1"/>
      <c r="U240" s="1"/>
      <c r="V240" s="1"/>
      <c r="W240" s="1"/>
      <c r="X240" s="1"/>
      <c r="Y240" s="1"/>
      <c r="Z240" s="1"/>
    </row>
    <row r="241" spans="1:26" ht="15.75" customHeight="1" x14ac:dyDescent="0.3">
      <c r="A241" s="148"/>
      <c r="B241" s="6"/>
      <c r="C241" s="6"/>
      <c r="D241" s="82"/>
      <c r="E241" s="6"/>
      <c r="F241" s="6"/>
      <c r="G241" s="6"/>
      <c r="H241" s="82"/>
      <c r="I241" s="6"/>
      <c r="J241" s="6"/>
      <c r="K241" s="1"/>
      <c r="L241" s="1"/>
      <c r="M241" s="1"/>
      <c r="N241" s="1"/>
      <c r="O241" s="1"/>
      <c r="P241" s="1"/>
      <c r="Q241" s="1"/>
      <c r="R241" s="1"/>
      <c r="S241" s="1"/>
      <c r="T241" s="1"/>
      <c r="U241" s="1"/>
      <c r="V241" s="1"/>
      <c r="W241" s="1"/>
      <c r="X241" s="1"/>
      <c r="Y241" s="1"/>
      <c r="Z241" s="1"/>
    </row>
    <row r="242" spans="1:26" ht="15.75" customHeight="1" x14ac:dyDescent="0.3">
      <c r="A242" s="148"/>
      <c r="B242" s="6"/>
      <c r="C242" s="6"/>
      <c r="D242" s="82"/>
      <c r="E242" s="6"/>
      <c r="F242" s="6"/>
      <c r="G242" s="6"/>
      <c r="H242" s="82"/>
      <c r="I242" s="6"/>
      <c r="J242" s="6"/>
      <c r="K242" s="1"/>
      <c r="L242" s="1"/>
      <c r="M242" s="1"/>
      <c r="N242" s="1"/>
      <c r="O242" s="1"/>
      <c r="P242" s="1"/>
      <c r="Q242" s="1"/>
      <c r="R242" s="1"/>
      <c r="S242" s="1"/>
      <c r="T242" s="1"/>
      <c r="U242" s="1"/>
      <c r="V242" s="1"/>
      <c r="W242" s="1"/>
      <c r="X242" s="1"/>
      <c r="Y242" s="1"/>
      <c r="Z242" s="1"/>
    </row>
    <row r="243" spans="1:26" ht="15.75" customHeight="1" x14ac:dyDescent="0.3">
      <c r="A243" s="148"/>
      <c r="B243" s="6"/>
      <c r="C243" s="6"/>
      <c r="D243" s="82"/>
      <c r="E243" s="6"/>
      <c r="F243" s="6"/>
      <c r="G243" s="6"/>
      <c r="H243" s="82"/>
      <c r="I243" s="6"/>
      <c r="J243" s="6"/>
      <c r="K243" s="1"/>
      <c r="L243" s="1"/>
      <c r="M243" s="1"/>
      <c r="N243" s="1"/>
      <c r="O243" s="1"/>
      <c r="P243" s="1"/>
      <c r="Q243" s="1"/>
      <c r="R243" s="1"/>
      <c r="S243" s="1"/>
      <c r="T243" s="1"/>
      <c r="U243" s="1"/>
      <c r="V243" s="1"/>
      <c r="W243" s="1"/>
      <c r="X243" s="1"/>
      <c r="Y243" s="1"/>
      <c r="Z243" s="1"/>
    </row>
    <row r="244" spans="1:26" ht="15.75" customHeight="1" x14ac:dyDescent="0.3">
      <c r="A244" s="148"/>
      <c r="B244" s="6"/>
      <c r="C244" s="6"/>
      <c r="D244" s="82"/>
      <c r="E244" s="6"/>
      <c r="F244" s="6"/>
      <c r="G244" s="6"/>
      <c r="H244" s="82"/>
      <c r="I244" s="6"/>
      <c r="J244" s="6"/>
      <c r="K244" s="1"/>
      <c r="L244" s="1"/>
      <c r="M244" s="1"/>
      <c r="N244" s="1"/>
      <c r="O244" s="1"/>
      <c r="P244" s="1"/>
      <c r="Q244" s="1"/>
      <c r="R244" s="1"/>
      <c r="S244" s="1"/>
      <c r="T244" s="1"/>
      <c r="U244" s="1"/>
      <c r="V244" s="1"/>
      <c r="W244" s="1"/>
      <c r="X244" s="1"/>
      <c r="Y244" s="1"/>
      <c r="Z244" s="1"/>
    </row>
    <row r="245" spans="1:26" ht="15.75" customHeight="1" x14ac:dyDescent="0.3">
      <c r="A245" s="148"/>
      <c r="B245" s="6"/>
      <c r="C245" s="6"/>
      <c r="D245" s="82"/>
      <c r="E245" s="6"/>
      <c r="F245" s="6"/>
      <c r="G245" s="6"/>
      <c r="H245" s="82"/>
      <c r="I245" s="6"/>
      <c r="J245" s="6"/>
      <c r="K245" s="1"/>
      <c r="L245" s="1"/>
      <c r="M245" s="1"/>
      <c r="N245" s="1"/>
      <c r="O245" s="1"/>
      <c r="P245" s="1"/>
      <c r="Q245" s="1"/>
      <c r="R245" s="1"/>
      <c r="S245" s="1"/>
      <c r="T245" s="1"/>
      <c r="U245" s="1"/>
      <c r="V245" s="1"/>
      <c r="W245" s="1"/>
      <c r="X245" s="1"/>
      <c r="Y245" s="1"/>
      <c r="Z245" s="1"/>
    </row>
    <row r="246" spans="1:26" ht="15.75" customHeight="1" x14ac:dyDescent="0.3">
      <c r="A246" s="148"/>
      <c r="B246" s="6"/>
      <c r="C246" s="6"/>
      <c r="D246" s="82"/>
      <c r="E246" s="6"/>
      <c r="F246" s="6"/>
      <c r="G246" s="6"/>
      <c r="H246" s="82"/>
      <c r="I246" s="6"/>
      <c r="J246" s="6"/>
      <c r="K246" s="1"/>
      <c r="L246" s="1"/>
      <c r="M246" s="1"/>
      <c r="N246" s="1"/>
      <c r="O246" s="1"/>
      <c r="P246" s="1"/>
      <c r="Q246" s="1"/>
      <c r="R246" s="1"/>
      <c r="S246" s="1"/>
      <c r="T246" s="1"/>
      <c r="U246" s="1"/>
      <c r="V246" s="1"/>
      <c r="W246" s="1"/>
      <c r="X246" s="1"/>
      <c r="Y246" s="1"/>
      <c r="Z246" s="1"/>
    </row>
    <row r="247" spans="1:26" ht="15.75" customHeight="1" x14ac:dyDescent="0.3">
      <c r="A247" s="148"/>
      <c r="B247" s="6"/>
      <c r="C247" s="6"/>
      <c r="D247" s="82"/>
      <c r="E247" s="6"/>
      <c r="F247" s="6"/>
      <c r="G247" s="6"/>
      <c r="H247" s="82"/>
      <c r="I247" s="6"/>
      <c r="J247" s="6"/>
      <c r="K247" s="1"/>
      <c r="L247" s="1"/>
      <c r="M247" s="1"/>
      <c r="N247" s="1"/>
      <c r="O247" s="1"/>
      <c r="P247" s="1"/>
      <c r="Q247" s="1"/>
      <c r="R247" s="1"/>
      <c r="S247" s="1"/>
      <c r="T247" s="1"/>
      <c r="U247" s="1"/>
      <c r="V247" s="1"/>
      <c r="W247" s="1"/>
      <c r="X247" s="1"/>
      <c r="Y247" s="1"/>
      <c r="Z247" s="1"/>
    </row>
    <row r="248" spans="1:26" ht="15.75" customHeight="1" x14ac:dyDescent="0.3">
      <c r="A248" s="148"/>
      <c r="B248" s="6"/>
      <c r="C248" s="6"/>
      <c r="D248" s="82"/>
      <c r="E248" s="6"/>
      <c r="F248" s="6"/>
      <c r="G248" s="6"/>
      <c r="H248" s="82"/>
      <c r="I248" s="6"/>
      <c r="J248" s="6"/>
      <c r="K248" s="1"/>
      <c r="L248" s="1"/>
      <c r="M248" s="1"/>
      <c r="N248" s="1"/>
      <c r="O248" s="1"/>
      <c r="P248" s="1"/>
      <c r="Q248" s="1"/>
      <c r="R248" s="1"/>
      <c r="S248" s="1"/>
      <c r="T248" s="1"/>
      <c r="U248" s="1"/>
      <c r="V248" s="1"/>
      <c r="W248" s="1"/>
      <c r="X248" s="1"/>
      <c r="Y248" s="1"/>
      <c r="Z248" s="1"/>
    </row>
    <row r="249" spans="1:26" ht="15.75" customHeight="1" x14ac:dyDescent="0.3">
      <c r="A249" s="148"/>
      <c r="B249" s="6"/>
      <c r="C249" s="6"/>
      <c r="D249" s="82"/>
      <c r="E249" s="6"/>
      <c r="F249" s="6"/>
      <c r="G249" s="6"/>
      <c r="H249" s="82"/>
      <c r="I249" s="6"/>
      <c r="J249" s="6"/>
      <c r="K249" s="1"/>
      <c r="L249" s="1"/>
      <c r="M249" s="1"/>
      <c r="N249" s="1"/>
      <c r="O249" s="1"/>
      <c r="P249" s="1"/>
      <c r="Q249" s="1"/>
      <c r="R249" s="1"/>
      <c r="S249" s="1"/>
      <c r="T249" s="1"/>
      <c r="U249" s="1"/>
      <c r="V249" s="1"/>
      <c r="W249" s="1"/>
      <c r="X249" s="1"/>
      <c r="Y249" s="1"/>
      <c r="Z249" s="1"/>
    </row>
    <row r="250" spans="1:26" ht="15.75" customHeight="1" x14ac:dyDescent="0.3">
      <c r="A250" s="148"/>
      <c r="B250" s="6"/>
      <c r="C250" s="6"/>
      <c r="D250" s="82"/>
      <c r="E250" s="6"/>
      <c r="F250" s="6"/>
      <c r="G250" s="6"/>
      <c r="H250" s="82"/>
      <c r="I250" s="6"/>
      <c r="J250" s="6"/>
      <c r="K250" s="1"/>
      <c r="L250" s="1"/>
      <c r="M250" s="1"/>
      <c r="N250" s="1"/>
      <c r="O250" s="1"/>
      <c r="P250" s="1"/>
      <c r="Q250" s="1"/>
      <c r="R250" s="1"/>
      <c r="S250" s="1"/>
      <c r="T250" s="1"/>
      <c r="U250" s="1"/>
      <c r="V250" s="1"/>
      <c r="W250" s="1"/>
      <c r="X250" s="1"/>
      <c r="Y250" s="1"/>
      <c r="Z250" s="1"/>
    </row>
    <row r="251" spans="1:26" ht="15.75" customHeight="1" x14ac:dyDescent="0.3">
      <c r="A251" s="148"/>
      <c r="B251" s="6"/>
      <c r="C251" s="6"/>
      <c r="D251" s="82"/>
      <c r="E251" s="6"/>
      <c r="F251" s="6"/>
      <c r="G251" s="6"/>
      <c r="H251" s="82"/>
      <c r="I251" s="6"/>
      <c r="J251" s="6"/>
      <c r="K251" s="1"/>
      <c r="L251" s="1"/>
      <c r="M251" s="1"/>
      <c r="N251" s="1"/>
      <c r="O251" s="1"/>
      <c r="P251" s="1"/>
      <c r="Q251" s="1"/>
      <c r="R251" s="1"/>
      <c r="S251" s="1"/>
      <c r="T251" s="1"/>
      <c r="U251" s="1"/>
      <c r="V251" s="1"/>
      <c r="W251" s="1"/>
      <c r="X251" s="1"/>
      <c r="Y251" s="1"/>
      <c r="Z251" s="1"/>
    </row>
    <row r="252" spans="1:26" ht="15.75" customHeight="1" x14ac:dyDescent="0.3">
      <c r="A252" s="148"/>
      <c r="B252" s="6"/>
      <c r="C252" s="6"/>
      <c r="D252" s="82"/>
      <c r="E252" s="6"/>
      <c r="F252" s="6"/>
      <c r="G252" s="6"/>
      <c r="H252" s="82"/>
      <c r="I252" s="6"/>
      <c r="J252" s="6"/>
      <c r="K252" s="1"/>
      <c r="L252" s="1"/>
      <c r="M252" s="1"/>
      <c r="N252" s="1"/>
      <c r="O252" s="1"/>
      <c r="P252" s="1"/>
      <c r="Q252" s="1"/>
      <c r="R252" s="1"/>
      <c r="S252" s="1"/>
      <c r="T252" s="1"/>
      <c r="U252" s="1"/>
      <c r="V252" s="1"/>
      <c r="W252" s="1"/>
      <c r="X252" s="1"/>
      <c r="Y252" s="1"/>
      <c r="Z252" s="1"/>
    </row>
    <row r="253" spans="1:26" ht="15.75" customHeight="1" x14ac:dyDescent="0.3">
      <c r="A253" s="148"/>
      <c r="B253" s="6"/>
      <c r="C253" s="6"/>
      <c r="D253" s="82"/>
      <c r="E253" s="6"/>
      <c r="F253" s="6"/>
      <c r="G253" s="6"/>
      <c r="H253" s="82"/>
      <c r="I253" s="6"/>
      <c r="J253" s="6"/>
      <c r="K253" s="1"/>
      <c r="L253" s="1"/>
      <c r="M253" s="1"/>
      <c r="N253" s="1"/>
      <c r="O253" s="1"/>
      <c r="P253" s="1"/>
      <c r="Q253" s="1"/>
      <c r="R253" s="1"/>
      <c r="S253" s="1"/>
      <c r="T253" s="1"/>
      <c r="U253" s="1"/>
      <c r="V253" s="1"/>
      <c r="W253" s="1"/>
      <c r="X253" s="1"/>
      <c r="Y253" s="1"/>
      <c r="Z253" s="1"/>
    </row>
    <row r="254" spans="1:26" ht="15.75" customHeight="1" x14ac:dyDescent="0.3">
      <c r="A254" s="148"/>
      <c r="B254" s="6"/>
      <c r="C254" s="6"/>
      <c r="D254" s="82"/>
      <c r="E254" s="6"/>
      <c r="F254" s="6"/>
      <c r="G254" s="6"/>
      <c r="H254" s="82"/>
      <c r="I254" s="6"/>
      <c r="J254" s="6"/>
      <c r="K254" s="1"/>
      <c r="L254" s="1"/>
      <c r="M254" s="1"/>
      <c r="N254" s="1"/>
      <c r="O254" s="1"/>
      <c r="P254" s="1"/>
      <c r="Q254" s="1"/>
      <c r="R254" s="1"/>
      <c r="S254" s="1"/>
      <c r="T254" s="1"/>
      <c r="U254" s="1"/>
      <c r="V254" s="1"/>
      <c r="W254" s="1"/>
      <c r="X254" s="1"/>
      <c r="Y254" s="1"/>
      <c r="Z254" s="1"/>
    </row>
    <row r="255" spans="1:26" ht="15.75" customHeight="1" x14ac:dyDescent="0.3">
      <c r="A255" s="148"/>
      <c r="B255" s="6"/>
      <c r="C255" s="6"/>
      <c r="D255" s="82"/>
      <c r="E255" s="6"/>
      <c r="F255" s="6"/>
      <c r="G255" s="6"/>
      <c r="H255" s="82"/>
      <c r="I255" s="6"/>
      <c r="J255" s="6"/>
      <c r="K255" s="1"/>
      <c r="L255" s="1"/>
      <c r="M255" s="1"/>
      <c r="N255" s="1"/>
      <c r="O255" s="1"/>
      <c r="P255" s="1"/>
      <c r="Q255" s="1"/>
      <c r="R255" s="1"/>
      <c r="S255" s="1"/>
      <c r="T255" s="1"/>
      <c r="U255" s="1"/>
      <c r="V255" s="1"/>
      <c r="W255" s="1"/>
      <c r="X255" s="1"/>
      <c r="Y255" s="1"/>
      <c r="Z255" s="1"/>
    </row>
    <row r="256" spans="1:26" ht="15.75" customHeight="1" x14ac:dyDescent="0.3">
      <c r="A256" s="148"/>
      <c r="B256" s="6"/>
      <c r="C256" s="6"/>
      <c r="D256" s="82"/>
      <c r="E256" s="6"/>
      <c r="F256" s="6"/>
      <c r="G256" s="6"/>
      <c r="H256" s="82"/>
      <c r="I256" s="6"/>
      <c r="J256" s="6"/>
      <c r="K256" s="1"/>
      <c r="L256" s="1"/>
      <c r="M256" s="1"/>
      <c r="N256" s="1"/>
      <c r="O256" s="1"/>
      <c r="P256" s="1"/>
      <c r="Q256" s="1"/>
      <c r="R256" s="1"/>
      <c r="S256" s="1"/>
      <c r="T256" s="1"/>
      <c r="U256" s="1"/>
      <c r="V256" s="1"/>
      <c r="W256" s="1"/>
      <c r="X256" s="1"/>
      <c r="Y256" s="1"/>
      <c r="Z256" s="1"/>
    </row>
    <row r="257" spans="1:26" ht="15.75" customHeight="1" x14ac:dyDescent="0.3">
      <c r="A257" s="148"/>
      <c r="B257" s="6"/>
      <c r="C257" s="6"/>
      <c r="D257" s="82"/>
      <c r="E257" s="6"/>
      <c r="F257" s="6"/>
      <c r="G257" s="6"/>
      <c r="H257" s="82"/>
      <c r="I257" s="6"/>
      <c r="J257" s="6"/>
      <c r="K257" s="1"/>
      <c r="L257" s="1"/>
      <c r="M257" s="1"/>
      <c r="N257" s="1"/>
      <c r="O257" s="1"/>
      <c r="P257" s="1"/>
      <c r="Q257" s="1"/>
      <c r="R257" s="1"/>
      <c r="S257" s="1"/>
      <c r="T257" s="1"/>
      <c r="U257" s="1"/>
      <c r="V257" s="1"/>
      <c r="W257" s="1"/>
      <c r="X257" s="1"/>
      <c r="Y257" s="1"/>
      <c r="Z257" s="1"/>
    </row>
    <row r="258" spans="1:26" ht="15.75" customHeight="1" x14ac:dyDescent="0.3">
      <c r="A258" s="148"/>
      <c r="B258" s="6"/>
      <c r="C258" s="6"/>
      <c r="D258" s="82"/>
      <c r="E258" s="6"/>
      <c r="F258" s="6"/>
      <c r="G258" s="6"/>
      <c r="H258" s="82"/>
      <c r="I258" s="6"/>
      <c r="J258" s="6"/>
      <c r="K258" s="1"/>
      <c r="L258" s="1"/>
      <c r="M258" s="1"/>
      <c r="N258" s="1"/>
      <c r="O258" s="1"/>
      <c r="P258" s="1"/>
      <c r="Q258" s="1"/>
      <c r="R258" s="1"/>
      <c r="S258" s="1"/>
      <c r="T258" s="1"/>
      <c r="U258" s="1"/>
      <c r="V258" s="1"/>
      <c r="W258" s="1"/>
      <c r="X258" s="1"/>
      <c r="Y258" s="1"/>
      <c r="Z258" s="1"/>
    </row>
    <row r="259" spans="1:26" ht="15.75" customHeight="1" x14ac:dyDescent="0.3">
      <c r="A259" s="148"/>
      <c r="B259" s="6"/>
      <c r="C259" s="6"/>
      <c r="D259" s="82"/>
      <c r="E259" s="6"/>
      <c r="F259" s="6"/>
      <c r="G259" s="6"/>
      <c r="H259" s="82"/>
      <c r="I259" s="6"/>
      <c r="J259" s="6"/>
      <c r="K259" s="1"/>
      <c r="L259" s="1"/>
      <c r="M259" s="1"/>
      <c r="N259" s="1"/>
      <c r="O259" s="1"/>
      <c r="P259" s="1"/>
      <c r="Q259" s="1"/>
      <c r="R259" s="1"/>
      <c r="S259" s="1"/>
      <c r="T259" s="1"/>
      <c r="U259" s="1"/>
      <c r="V259" s="1"/>
      <c r="W259" s="1"/>
      <c r="X259" s="1"/>
      <c r="Y259" s="1"/>
      <c r="Z259" s="1"/>
    </row>
    <row r="260" spans="1:26" ht="15.75" customHeight="1" x14ac:dyDescent="0.3">
      <c r="A260" s="148"/>
      <c r="B260" s="6"/>
      <c r="C260" s="6"/>
      <c r="D260" s="82"/>
      <c r="E260" s="6"/>
      <c r="F260" s="6"/>
      <c r="G260" s="6"/>
      <c r="H260" s="82"/>
      <c r="I260" s="6"/>
      <c r="J260" s="6"/>
      <c r="K260" s="1"/>
      <c r="L260" s="1"/>
      <c r="M260" s="1"/>
      <c r="N260" s="1"/>
      <c r="O260" s="1"/>
      <c r="P260" s="1"/>
      <c r="Q260" s="1"/>
      <c r="R260" s="1"/>
      <c r="S260" s="1"/>
      <c r="T260" s="1"/>
      <c r="U260" s="1"/>
      <c r="V260" s="1"/>
      <c r="W260" s="1"/>
      <c r="X260" s="1"/>
      <c r="Y260" s="1"/>
      <c r="Z260" s="1"/>
    </row>
    <row r="261" spans="1:26" ht="15.75" customHeight="1" x14ac:dyDescent="0.3">
      <c r="A261" s="148"/>
      <c r="B261" s="6"/>
      <c r="C261" s="6"/>
      <c r="D261" s="82"/>
      <c r="E261" s="6"/>
      <c r="F261" s="6"/>
      <c r="G261" s="6"/>
      <c r="H261" s="82"/>
      <c r="I261" s="6"/>
      <c r="J261" s="6"/>
      <c r="K261" s="1"/>
      <c r="L261" s="1"/>
      <c r="M261" s="1"/>
      <c r="N261" s="1"/>
      <c r="O261" s="1"/>
      <c r="P261" s="1"/>
      <c r="Q261" s="1"/>
      <c r="R261" s="1"/>
      <c r="S261" s="1"/>
      <c r="T261" s="1"/>
      <c r="U261" s="1"/>
      <c r="V261" s="1"/>
      <c r="W261" s="1"/>
      <c r="X261" s="1"/>
      <c r="Y261" s="1"/>
      <c r="Z261" s="1"/>
    </row>
    <row r="262" spans="1:26" ht="15.75" customHeight="1" x14ac:dyDescent="0.3">
      <c r="A262" s="148"/>
      <c r="B262" s="6"/>
      <c r="C262" s="6"/>
      <c r="D262" s="82"/>
      <c r="E262" s="6"/>
      <c r="F262" s="6"/>
      <c r="G262" s="6"/>
      <c r="H262" s="82"/>
      <c r="I262" s="6"/>
      <c r="J262" s="6"/>
      <c r="K262" s="1"/>
      <c r="L262" s="1"/>
      <c r="M262" s="1"/>
      <c r="N262" s="1"/>
      <c r="O262" s="1"/>
      <c r="P262" s="1"/>
      <c r="Q262" s="1"/>
      <c r="R262" s="1"/>
      <c r="S262" s="1"/>
      <c r="T262" s="1"/>
      <c r="U262" s="1"/>
      <c r="V262" s="1"/>
      <c r="W262" s="1"/>
      <c r="X262" s="1"/>
      <c r="Y262" s="1"/>
      <c r="Z262" s="1"/>
    </row>
    <row r="263" spans="1:26" ht="15.75" customHeight="1" x14ac:dyDescent="0.3">
      <c r="A263" s="148"/>
      <c r="B263" s="6"/>
      <c r="C263" s="6"/>
      <c r="D263" s="82"/>
      <c r="E263" s="6"/>
      <c r="F263" s="6"/>
      <c r="G263" s="6"/>
      <c r="H263" s="82"/>
      <c r="I263" s="6"/>
      <c r="J263" s="6"/>
      <c r="K263" s="1"/>
      <c r="L263" s="1"/>
      <c r="M263" s="1"/>
      <c r="N263" s="1"/>
      <c r="O263" s="1"/>
      <c r="P263" s="1"/>
      <c r="Q263" s="1"/>
      <c r="R263" s="1"/>
      <c r="S263" s="1"/>
      <c r="T263" s="1"/>
      <c r="U263" s="1"/>
      <c r="V263" s="1"/>
      <c r="W263" s="1"/>
      <c r="X263" s="1"/>
      <c r="Y263" s="1"/>
      <c r="Z263" s="1"/>
    </row>
    <row r="264" spans="1:26" ht="15.75" customHeight="1" x14ac:dyDescent="0.3">
      <c r="A264" s="148"/>
      <c r="B264" s="6"/>
      <c r="C264" s="6"/>
      <c r="D264" s="82"/>
      <c r="E264" s="6"/>
      <c r="F264" s="6"/>
      <c r="G264" s="6"/>
      <c r="H264" s="82"/>
      <c r="I264" s="6"/>
      <c r="J264" s="6"/>
      <c r="K264" s="1"/>
      <c r="L264" s="1"/>
      <c r="M264" s="1"/>
      <c r="N264" s="1"/>
      <c r="O264" s="1"/>
      <c r="P264" s="1"/>
      <c r="Q264" s="1"/>
      <c r="R264" s="1"/>
      <c r="S264" s="1"/>
      <c r="T264" s="1"/>
      <c r="U264" s="1"/>
      <c r="V264" s="1"/>
      <c r="W264" s="1"/>
      <c r="X264" s="1"/>
      <c r="Y264" s="1"/>
      <c r="Z264" s="1"/>
    </row>
    <row r="265" spans="1:26" ht="15.75" customHeight="1" x14ac:dyDescent="0.3">
      <c r="A265" s="148"/>
      <c r="B265" s="6"/>
      <c r="C265" s="6"/>
      <c r="D265" s="82"/>
      <c r="E265" s="6"/>
      <c r="F265" s="6"/>
      <c r="G265" s="6"/>
      <c r="H265" s="82"/>
      <c r="I265" s="6"/>
      <c r="J265" s="6"/>
      <c r="K265" s="1"/>
      <c r="L265" s="1"/>
      <c r="M265" s="1"/>
      <c r="N265" s="1"/>
      <c r="O265" s="1"/>
      <c r="P265" s="1"/>
      <c r="Q265" s="1"/>
      <c r="R265" s="1"/>
      <c r="S265" s="1"/>
      <c r="T265" s="1"/>
      <c r="U265" s="1"/>
      <c r="V265" s="1"/>
      <c r="W265" s="1"/>
      <c r="X265" s="1"/>
      <c r="Y265" s="1"/>
      <c r="Z265" s="1"/>
    </row>
    <row r="266" spans="1:26" ht="15.75" customHeight="1" x14ac:dyDescent="0.3">
      <c r="A266" s="148"/>
      <c r="B266" s="6"/>
      <c r="C266" s="6"/>
      <c r="D266" s="82"/>
      <c r="E266" s="6"/>
      <c r="F266" s="6"/>
      <c r="G266" s="6"/>
      <c r="H266" s="82"/>
      <c r="I266" s="6"/>
      <c r="J266" s="6"/>
      <c r="K266" s="1"/>
      <c r="L266" s="1"/>
      <c r="M266" s="1"/>
      <c r="N266" s="1"/>
      <c r="O266" s="1"/>
      <c r="P266" s="1"/>
      <c r="Q266" s="1"/>
      <c r="R266" s="1"/>
      <c r="S266" s="1"/>
      <c r="T266" s="1"/>
      <c r="U266" s="1"/>
      <c r="V266" s="1"/>
      <c r="W266" s="1"/>
      <c r="X266" s="1"/>
      <c r="Y266" s="1"/>
      <c r="Z266" s="1"/>
    </row>
    <row r="267" spans="1:26" ht="15.75" customHeight="1" x14ac:dyDescent="0.3">
      <c r="A267" s="148"/>
      <c r="B267" s="6"/>
      <c r="C267" s="6"/>
      <c r="D267" s="82"/>
      <c r="E267" s="6"/>
      <c r="F267" s="6"/>
      <c r="G267" s="6"/>
      <c r="H267" s="82"/>
      <c r="I267" s="6"/>
      <c r="J267" s="6"/>
      <c r="K267" s="1"/>
      <c r="L267" s="1"/>
      <c r="M267" s="1"/>
      <c r="N267" s="1"/>
      <c r="O267" s="1"/>
      <c r="P267" s="1"/>
      <c r="Q267" s="1"/>
      <c r="R267" s="1"/>
      <c r="S267" s="1"/>
      <c r="T267" s="1"/>
      <c r="U267" s="1"/>
      <c r="V267" s="1"/>
      <c r="W267" s="1"/>
      <c r="X267" s="1"/>
      <c r="Y267" s="1"/>
      <c r="Z267" s="1"/>
    </row>
    <row r="268" spans="1:26" ht="15.75" customHeight="1" x14ac:dyDescent="0.3">
      <c r="A268" s="148"/>
      <c r="B268" s="6"/>
      <c r="C268" s="6"/>
      <c r="D268" s="82"/>
      <c r="E268" s="6"/>
      <c r="F268" s="6"/>
      <c r="G268" s="6"/>
      <c r="H268" s="82"/>
      <c r="I268" s="6"/>
      <c r="J268" s="6"/>
      <c r="K268" s="1"/>
      <c r="L268" s="1"/>
      <c r="M268" s="1"/>
      <c r="N268" s="1"/>
      <c r="O268" s="1"/>
      <c r="P268" s="1"/>
      <c r="Q268" s="1"/>
      <c r="R268" s="1"/>
      <c r="S268" s="1"/>
      <c r="T268" s="1"/>
      <c r="U268" s="1"/>
      <c r="V268" s="1"/>
      <c r="W268" s="1"/>
      <c r="X268" s="1"/>
      <c r="Y268" s="1"/>
      <c r="Z268" s="1"/>
    </row>
    <row r="269" spans="1:26" ht="15.75" customHeight="1" x14ac:dyDescent="0.3">
      <c r="A269" s="148"/>
      <c r="B269" s="6"/>
      <c r="C269" s="6"/>
      <c r="D269" s="82"/>
      <c r="E269" s="6"/>
      <c r="F269" s="6"/>
      <c r="G269" s="6"/>
      <c r="H269" s="82"/>
      <c r="I269" s="6"/>
      <c r="J269" s="6"/>
      <c r="K269" s="1"/>
      <c r="L269" s="1"/>
      <c r="M269" s="1"/>
      <c r="N269" s="1"/>
      <c r="O269" s="1"/>
      <c r="P269" s="1"/>
      <c r="Q269" s="1"/>
      <c r="R269" s="1"/>
      <c r="S269" s="1"/>
      <c r="T269" s="1"/>
      <c r="U269" s="1"/>
      <c r="V269" s="1"/>
      <c r="W269" s="1"/>
      <c r="X269" s="1"/>
      <c r="Y269" s="1"/>
      <c r="Z269" s="1"/>
    </row>
    <row r="270" spans="1:26" ht="15.75" customHeight="1" x14ac:dyDescent="0.3">
      <c r="A270" s="148"/>
      <c r="B270" s="6"/>
      <c r="C270" s="6"/>
      <c r="D270" s="82"/>
      <c r="E270" s="6"/>
      <c r="F270" s="6"/>
      <c r="G270" s="6"/>
      <c r="H270" s="82"/>
      <c r="I270" s="6"/>
      <c r="J270" s="6"/>
      <c r="K270" s="1"/>
      <c r="L270" s="1"/>
      <c r="M270" s="1"/>
      <c r="N270" s="1"/>
      <c r="O270" s="1"/>
      <c r="P270" s="1"/>
      <c r="Q270" s="1"/>
      <c r="R270" s="1"/>
      <c r="S270" s="1"/>
      <c r="T270" s="1"/>
      <c r="U270" s="1"/>
      <c r="V270" s="1"/>
      <c r="W270" s="1"/>
      <c r="X270" s="1"/>
      <c r="Y270" s="1"/>
      <c r="Z270" s="1"/>
    </row>
    <row r="271" spans="1:26" ht="15.75" customHeight="1" x14ac:dyDescent="0.3">
      <c r="A271" s="148"/>
      <c r="B271" s="6"/>
      <c r="C271" s="6"/>
      <c r="D271" s="82"/>
      <c r="E271" s="6"/>
      <c r="F271" s="6"/>
      <c r="G271" s="6"/>
      <c r="H271" s="82"/>
      <c r="I271" s="6"/>
      <c r="J271" s="6"/>
      <c r="K271" s="1"/>
      <c r="L271" s="1"/>
      <c r="M271" s="1"/>
      <c r="N271" s="1"/>
      <c r="O271" s="1"/>
      <c r="P271" s="1"/>
      <c r="Q271" s="1"/>
      <c r="R271" s="1"/>
      <c r="S271" s="1"/>
      <c r="T271" s="1"/>
      <c r="U271" s="1"/>
      <c r="V271" s="1"/>
      <c r="W271" s="1"/>
      <c r="X271" s="1"/>
      <c r="Y271" s="1"/>
      <c r="Z271" s="1"/>
    </row>
    <row r="272" spans="1:26" ht="15.75" customHeight="1" x14ac:dyDescent="0.3">
      <c r="A272" s="148"/>
      <c r="B272" s="6"/>
      <c r="C272" s="6"/>
      <c r="D272" s="82"/>
      <c r="E272" s="6"/>
      <c r="F272" s="6"/>
      <c r="G272" s="6"/>
      <c r="H272" s="82"/>
      <c r="I272" s="6"/>
      <c r="J272" s="6"/>
      <c r="K272" s="1"/>
      <c r="L272" s="1"/>
      <c r="M272" s="1"/>
      <c r="N272" s="1"/>
      <c r="O272" s="1"/>
      <c r="P272" s="1"/>
      <c r="Q272" s="1"/>
      <c r="R272" s="1"/>
      <c r="S272" s="1"/>
      <c r="T272" s="1"/>
      <c r="U272" s="1"/>
      <c r="V272" s="1"/>
      <c r="W272" s="1"/>
      <c r="X272" s="1"/>
      <c r="Y272" s="1"/>
      <c r="Z272" s="1"/>
    </row>
    <row r="273" spans="1:26" ht="15.75" customHeight="1" x14ac:dyDescent="0.3">
      <c r="A273" s="148"/>
      <c r="B273" s="6"/>
      <c r="C273" s="6"/>
      <c r="D273" s="82"/>
      <c r="E273" s="6"/>
      <c r="F273" s="6"/>
      <c r="G273" s="6"/>
      <c r="H273" s="82"/>
      <c r="I273" s="6"/>
      <c r="J273" s="6"/>
      <c r="K273" s="1"/>
      <c r="L273" s="1"/>
      <c r="M273" s="1"/>
      <c r="N273" s="1"/>
      <c r="O273" s="1"/>
      <c r="P273" s="1"/>
      <c r="Q273" s="1"/>
      <c r="R273" s="1"/>
      <c r="S273" s="1"/>
      <c r="T273" s="1"/>
      <c r="U273" s="1"/>
      <c r="V273" s="1"/>
      <c r="W273" s="1"/>
      <c r="X273" s="1"/>
      <c r="Y273" s="1"/>
      <c r="Z273" s="1"/>
    </row>
    <row r="274" spans="1:26" ht="15.75" customHeight="1" x14ac:dyDescent="0.3">
      <c r="A274" s="148"/>
      <c r="B274" s="6"/>
      <c r="C274" s="6"/>
      <c r="D274" s="82"/>
      <c r="E274" s="6"/>
      <c r="F274" s="6"/>
      <c r="G274" s="6"/>
      <c r="H274" s="82"/>
      <c r="I274" s="6"/>
      <c r="J274" s="6"/>
      <c r="K274" s="1"/>
      <c r="L274" s="1"/>
      <c r="M274" s="1"/>
      <c r="N274" s="1"/>
      <c r="O274" s="1"/>
      <c r="P274" s="1"/>
      <c r="Q274" s="1"/>
      <c r="R274" s="1"/>
      <c r="S274" s="1"/>
      <c r="T274" s="1"/>
      <c r="U274" s="1"/>
      <c r="V274" s="1"/>
      <c r="W274" s="1"/>
      <c r="X274" s="1"/>
      <c r="Y274" s="1"/>
      <c r="Z274" s="1"/>
    </row>
    <row r="275" spans="1:26" ht="15.75" customHeight="1" x14ac:dyDescent="0.3">
      <c r="A275" s="148"/>
      <c r="B275" s="6"/>
      <c r="C275" s="6"/>
      <c r="D275" s="82"/>
      <c r="E275" s="6"/>
      <c r="F275" s="6"/>
      <c r="G275" s="6"/>
      <c r="H275" s="82"/>
      <c r="I275" s="6"/>
      <c r="J275" s="6"/>
      <c r="K275" s="1"/>
      <c r="L275" s="1"/>
      <c r="M275" s="1"/>
      <c r="N275" s="1"/>
      <c r="O275" s="1"/>
      <c r="P275" s="1"/>
      <c r="Q275" s="1"/>
      <c r="R275" s="1"/>
      <c r="S275" s="1"/>
      <c r="T275" s="1"/>
      <c r="U275" s="1"/>
      <c r="V275" s="1"/>
      <c r="W275" s="1"/>
      <c r="X275" s="1"/>
      <c r="Y275" s="1"/>
      <c r="Z275" s="1"/>
    </row>
    <row r="276" spans="1:26" ht="15.75" customHeight="1" x14ac:dyDescent="0.3">
      <c r="A276" s="148"/>
      <c r="B276" s="6"/>
      <c r="C276" s="6"/>
      <c r="D276" s="82"/>
      <c r="E276" s="6"/>
      <c r="F276" s="6"/>
      <c r="G276" s="6"/>
      <c r="H276" s="82"/>
      <c r="I276" s="6"/>
      <c r="J276" s="6"/>
      <c r="K276" s="1"/>
      <c r="L276" s="1"/>
      <c r="M276" s="1"/>
      <c r="N276" s="1"/>
      <c r="O276" s="1"/>
      <c r="P276" s="1"/>
      <c r="Q276" s="1"/>
      <c r="R276" s="1"/>
      <c r="S276" s="1"/>
      <c r="T276" s="1"/>
      <c r="U276" s="1"/>
      <c r="V276" s="1"/>
      <c r="W276" s="1"/>
      <c r="X276" s="1"/>
      <c r="Y276" s="1"/>
      <c r="Z276" s="1"/>
    </row>
    <row r="277" spans="1:26" ht="15.75" customHeight="1" x14ac:dyDescent="0.3">
      <c r="A277" s="148"/>
      <c r="B277" s="6"/>
      <c r="C277" s="6"/>
      <c r="D277" s="82"/>
      <c r="E277" s="6"/>
      <c r="F277" s="6"/>
      <c r="G277" s="6"/>
      <c r="H277" s="82"/>
      <c r="I277" s="6"/>
      <c r="J277" s="6"/>
      <c r="K277" s="1"/>
      <c r="L277" s="1"/>
      <c r="M277" s="1"/>
      <c r="N277" s="1"/>
      <c r="O277" s="1"/>
      <c r="P277" s="1"/>
      <c r="Q277" s="1"/>
      <c r="R277" s="1"/>
      <c r="S277" s="1"/>
      <c r="T277" s="1"/>
      <c r="U277" s="1"/>
      <c r="V277" s="1"/>
      <c r="W277" s="1"/>
      <c r="X277" s="1"/>
      <c r="Y277" s="1"/>
      <c r="Z277" s="1"/>
    </row>
    <row r="278" spans="1:26" ht="15.75" customHeight="1" x14ac:dyDescent="0.3">
      <c r="A278" s="148"/>
      <c r="B278" s="6"/>
      <c r="C278" s="6"/>
      <c r="D278" s="82"/>
      <c r="E278" s="6"/>
      <c r="F278" s="6"/>
      <c r="G278" s="6"/>
      <c r="H278" s="82"/>
      <c r="I278" s="6"/>
      <c r="J278" s="6"/>
      <c r="K278" s="1"/>
      <c r="L278" s="1"/>
      <c r="M278" s="1"/>
      <c r="N278" s="1"/>
      <c r="O278" s="1"/>
      <c r="P278" s="1"/>
      <c r="Q278" s="1"/>
      <c r="R278" s="1"/>
      <c r="S278" s="1"/>
      <c r="T278" s="1"/>
      <c r="U278" s="1"/>
      <c r="V278" s="1"/>
      <c r="W278" s="1"/>
      <c r="X278" s="1"/>
      <c r="Y278" s="1"/>
      <c r="Z278" s="1"/>
    </row>
    <row r="279" spans="1:26" ht="15.75" customHeight="1" x14ac:dyDescent="0.3">
      <c r="A279" s="148"/>
      <c r="B279" s="6"/>
      <c r="C279" s="6"/>
      <c r="D279" s="82"/>
      <c r="E279" s="6"/>
      <c r="F279" s="6"/>
      <c r="G279" s="6"/>
      <c r="H279" s="82"/>
      <c r="I279" s="6"/>
      <c r="J279" s="6"/>
      <c r="K279" s="1"/>
      <c r="L279" s="1"/>
      <c r="M279" s="1"/>
      <c r="N279" s="1"/>
      <c r="O279" s="1"/>
      <c r="P279" s="1"/>
      <c r="Q279" s="1"/>
      <c r="R279" s="1"/>
      <c r="S279" s="1"/>
      <c r="T279" s="1"/>
      <c r="U279" s="1"/>
      <c r="V279" s="1"/>
      <c r="W279" s="1"/>
      <c r="X279" s="1"/>
      <c r="Y279" s="1"/>
      <c r="Z279" s="1"/>
    </row>
    <row r="280" spans="1:26" ht="15.75" customHeight="1" x14ac:dyDescent="0.3">
      <c r="A280" s="148"/>
      <c r="B280" s="6"/>
      <c r="C280" s="6"/>
      <c r="D280" s="82"/>
      <c r="E280" s="6"/>
      <c r="F280" s="6"/>
      <c r="G280" s="6"/>
      <c r="H280" s="82"/>
      <c r="I280" s="6"/>
      <c r="J280" s="6"/>
      <c r="K280" s="1"/>
      <c r="L280" s="1"/>
      <c r="M280" s="1"/>
      <c r="N280" s="1"/>
      <c r="O280" s="1"/>
      <c r="P280" s="1"/>
      <c r="Q280" s="1"/>
      <c r="R280" s="1"/>
      <c r="S280" s="1"/>
      <c r="T280" s="1"/>
      <c r="U280" s="1"/>
      <c r="V280" s="1"/>
      <c r="W280" s="1"/>
      <c r="X280" s="1"/>
      <c r="Y280" s="1"/>
      <c r="Z280" s="1"/>
    </row>
    <row r="281" spans="1:26" ht="15.75" customHeight="1" x14ac:dyDescent="0.3">
      <c r="A281" s="148"/>
      <c r="B281" s="6"/>
      <c r="C281" s="6"/>
      <c r="D281" s="82"/>
      <c r="E281" s="6"/>
      <c r="F281" s="6"/>
      <c r="G281" s="6"/>
      <c r="H281" s="82"/>
      <c r="I281" s="6"/>
      <c r="J281" s="6"/>
      <c r="K281" s="1"/>
      <c r="L281" s="1"/>
      <c r="M281" s="1"/>
      <c r="N281" s="1"/>
      <c r="O281" s="1"/>
      <c r="P281" s="1"/>
      <c r="Q281" s="1"/>
      <c r="R281" s="1"/>
      <c r="S281" s="1"/>
      <c r="T281" s="1"/>
      <c r="U281" s="1"/>
      <c r="V281" s="1"/>
      <c r="W281" s="1"/>
      <c r="X281" s="1"/>
      <c r="Y281" s="1"/>
      <c r="Z281" s="1"/>
    </row>
    <row r="282" spans="1:26" ht="15.75" customHeight="1" x14ac:dyDescent="0.3">
      <c r="A282" s="148"/>
      <c r="B282" s="6"/>
      <c r="C282" s="6"/>
      <c r="D282" s="82"/>
      <c r="E282" s="6"/>
      <c r="F282" s="6"/>
      <c r="G282" s="6"/>
      <c r="H282" s="82"/>
      <c r="I282" s="6"/>
      <c r="J282" s="6"/>
      <c r="K282" s="1"/>
      <c r="L282" s="1"/>
      <c r="M282" s="1"/>
      <c r="N282" s="1"/>
      <c r="O282" s="1"/>
      <c r="P282" s="1"/>
      <c r="Q282" s="1"/>
      <c r="R282" s="1"/>
      <c r="S282" s="1"/>
      <c r="T282" s="1"/>
      <c r="U282" s="1"/>
      <c r="V282" s="1"/>
      <c r="W282" s="1"/>
      <c r="X282" s="1"/>
      <c r="Y282" s="1"/>
      <c r="Z282" s="1"/>
    </row>
    <row r="283" spans="1:26" ht="15.75" customHeight="1" x14ac:dyDescent="0.3">
      <c r="A283" s="148"/>
      <c r="B283" s="6"/>
      <c r="C283" s="6"/>
      <c r="D283" s="82"/>
      <c r="E283" s="6"/>
      <c r="F283" s="6"/>
      <c r="G283" s="6"/>
      <c r="H283" s="82"/>
      <c r="I283" s="6"/>
      <c r="J283" s="6"/>
      <c r="K283" s="1"/>
      <c r="L283" s="1"/>
      <c r="M283" s="1"/>
      <c r="N283" s="1"/>
      <c r="O283" s="1"/>
      <c r="P283" s="1"/>
      <c r="Q283" s="1"/>
      <c r="R283" s="1"/>
      <c r="S283" s="1"/>
      <c r="T283" s="1"/>
      <c r="U283" s="1"/>
      <c r="V283" s="1"/>
      <c r="W283" s="1"/>
      <c r="X283" s="1"/>
      <c r="Y283" s="1"/>
      <c r="Z283" s="1"/>
    </row>
    <row r="284" spans="1:26" ht="15.75" customHeight="1" x14ac:dyDescent="0.3">
      <c r="A284" s="148"/>
      <c r="B284" s="6"/>
      <c r="C284" s="6"/>
      <c r="D284" s="82"/>
      <c r="E284" s="6"/>
      <c r="F284" s="6"/>
      <c r="G284" s="6"/>
      <c r="H284" s="82"/>
      <c r="I284" s="6"/>
      <c r="J284" s="6"/>
      <c r="K284" s="1"/>
      <c r="L284" s="1"/>
      <c r="M284" s="1"/>
      <c r="N284" s="1"/>
      <c r="O284" s="1"/>
      <c r="P284" s="1"/>
      <c r="Q284" s="1"/>
      <c r="R284" s="1"/>
      <c r="S284" s="1"/>
      <c r="T284" s="1"/>
      <c r="U284" s="1"/>
      <c r="V284" s="1"/>
      <c r="W284" s="1"/>
      <c r="X284" s="1"/>
      <c r="Y284" s="1"/>
      <c r="Z284" s="1"/>
    </row>
    <row r="285" spans="1:26" ht="15.75" customHeight="1" x14ac:dyDescent="0.3">
      <c r="A285" s="148"/>
      <c r="B285" s="6"/>
      <c r="C285" s="6"/>
      <c r="D285" s="82"/>
      <c r="E285" s="6"/>
      <c r="F285" s="6"/>
      <c r="G285" s="6"/>
      <c r="H285" s="82"/>
      <c r="I285" s="6"/>
      <c r="J285" s="6"/>
      <c r="K285" s="1"/>
      <c r="L285" s="1"/>
      <c r="M285" s="1"/>
      <c r="N285" s="1"/>
      <c r="O285" s="1"/>
      <c r="P285" s="1"/>
      <c r="Q285" s="1"/>
      <c r="R285" s="1"/>
      <c r="S285" s="1"/>
      <c r="T285" s="1"/>
      <c r="U285" s="1"/>
      <c r="V285" s="1"/>
      <c r="W285" s="1"/>
      <c r="X285" s="1"/>
      <c r="Y285" s="1"/>
      <c r="Z285" s="1"/>
    </row>
    <row r="286" spans="1:26" ht="15.75" customHeight="1" x14ac:dyDescent="0.3">
      <c r="A286" s="148"/>
      <c r="B286" s="6"/>
      <c r="C286" s="6"/>
      <c r="D286" s="82"/>
      <c r="E286" s="6"/>
      <c r="F286" s="6"/>
      <c r="G286" s="6"/>
      <c r="H286" s="82"/>
      <c r="I286" s="6"/>
      <c r="J286" s="6"/>
      <c r="K286" s="1"/>
      <c r="L286" s="1"/>
      <c r="M286" s="1"/>
      <c r="N286" s="1"/>
      <c r="O286" s="1"/>
      <c r="P286" s="1"/>
      <c r="Q286" s="1"/>
      <c r="R286" s="1"/>
      <c r="S286" s="1"/>
      <c r="T286" s="1"/>
      <c r="U286" s="1"/>
      <c r="V286" s="1"/>
      <c r="W286" s="1"/>
      <c r="X286" s="1"/>
      <c r="Y286" s="1"/>
      <c r="Z286" s="1"/>
    </row>
    <row r="287" spans="1:26" ht="15.75" customHeight="1" x14ac:dyDescent="0.3">
      <c r="A287" s="148"/>
      <c r="B287" s="6"/>
      <c r="C287" s="6"/>
      <c r="D287" s="82"/>
      <c r="E287" s="6"/>
      <c r="F287" s="6"/>
      <c r="G287" s="6"/>
      <c r="H287" s="82"/>
      <c r="I287" s="6"/>
      <c r="J287" s="6"/>
      <c r="K287" s="1"/>
      <c r="L287" s="1"/>
      <c r="M287" s="1"/>
      <c r="N287" s="1"/>
      <c r="O287" s="1"/>
      <c r="P287" s="1"/>
      <c r="Q287" s="1"/>
      <c r="R287" s="1"/>
      <c r="S287" s="1"/>
      <c r="T287" s="1"/>
      <c r="U287" s="1"/>
      <c r="V287" s="1"/>
      <c r="W287" s="1"/>
      <c r="X287" s="1"/>
      <c r="Y287" s="1"/>
      <c r="Z287" s="1"/>
    </row>
    <row r="288" spans="1:26" ht="15.75" customHeight="1" x14ac:dyDescent="0.3">
      <c r="A288" s="148"/>
      <c r="B288" s="6"/>
      <c r="C288" s="6"/>
      <c r="D288" s="82"/>
      <c r="E288" s="6"/>
      <c r="F288" s="6"/>
      <c r="G288" s="6"/>
      <c r="H288" s="82"/>
      <c r="I288" s="6"/>
      <c r="J288" s="6"/>
      <c r="K288" s="1"/>
      <c r="L288" s="1"/>
      <c r="M288" s="1"/>
      <c r="N288" s="1"/>
      <c r="O288" s="1"/>
      <c r="P288" s="1"/>
      <c r="Q288" s="1"/>
      <c r="R288" s="1"/>
      <c r="S288" s="1"/>
      <c r="T288" s="1"/>
      <c r="U288" s="1"/>
      <c r="V288" s="1"/>
      <c r="W288" s="1"/>
      <c r="X288" s="1"/>
      <c r="Y288" s="1"/>
      <c r="Z288" s="1"/>
    </row>
    <row r="289" spans="1:26" ht="15.75" customHeight="1" x14ac:dyDescent="0.3">
      <c r="A289" s="148"/>
      <c r="B289" s="6"/>
      <c r="C289" s="6"/>
      <c r="D289" s="82"/>
      <c r="E289" s="6"/>
      <c r="F289" s="6"/>
      <c r="G289" s="6"/>
      <c r="H289" s="82"/>
      <c r="I289" s="6"/>
      <c r="J289" s="6"/>
      <c r="K289" s="1"/>
      <c r="L289" s="1"/>
      <c r="M289" s="1"/>
      <c r="N289" s="1"/>
      <c r="O289" s="1"/>
      <c r="P289" s="1"/>
      <c r="Q289" s="1"/>
      <c r="R289" s="1"/>
      <c r="S289" s="1"/>
      <c r="T289" s="1"/>
      <c r="U289" s="1"/>
      <c r="V289" s="1"/>
      <c r="W289" s="1"/>
      <c r="X289" s="1"/>
      <c r="Y289" s="1"/>
      <c r="Z289" s="1"/>
    </row>
    <row r="290" spans="1:26" ht="15.75" customHeight="1" x14ac:dyDescent="0.3">
      <c r="A290" s="148"/>
      <c r="B290" s="6"/>
      <c r="C290" s="6"/>
      <c r="D290" s="82"/>
      <c r="E290" s="6"/>
      <c r="F290" s="6"/>
      <c r="G290" s="6"/>
      <c r="H290" s="82"/>
      <c r="I290" s="6"/>
      <c r="J290" s="6"/>
      <c r="K290" s="1"/>
      <c r="L290" s="1"/>
      <c r="M290" s="1"/>
      <c r="N290" s="1"/>
      <c r="O290" s="1"/>
      <c r="P290" s="1"/>
      <c r="Q290" s="1"/>
      <c r="R290" s="1"/>
      <c r="S290" s="1"/>
      <c r="T290" s="1"/>
      <c r="U290" s="1"/>
      <c r="V290" s="1"/>
      <c r="W290" s="1"/>
      <c r="X290" s="1"/>
      <c r="Y290" s="1"/>
      <c r="Z290" s="1"/>
    </row>
    <row r="291" spans="1:26" ht="15.75" customHeight="1" x14ac:dyDescent="0.3">
      <c r="A291" s="148"/>
      <c r="B291" s="6"/>
      <c r="C291" s="6"/>
      <c r="D291" s="82"/>
      <c r="E291" s="6"/>
      <c r="F291" s="6"/>
      <c r="G291" s="6"/>
      <c r="H291" s="82"/>
      <c r="I291" s="6"/>
      <c r="J291" s="6"/>
      <c r="K291" s="1"/>
      <c r="L291" s="1"/>
      <c r="M291" s="1"/>
      <c r="N291" s="1"/>
      <c r="O291" s="1"/>
      <c r="P291" s="1"/>
      <c r="Q291" s="1"/>
      <c r="R291" s="1"/>
      <c r="S291" s="1"/>
      <c r="T291" s="1"/>
      <c r="U291" s="1"/>
      <c r="V291" s="1"/>
      <c r="W291" s="1"/>
      <c r="X291" s="1"/>
      <c r="Y291" s="1"/>
      <c r="Z291" s="1"/>
    </row>
    <row r="292" spans="1:26" ht="15.75" customHeight="1" x14ac:dyDescent="0.3">
      <c r="A292" s="148"/>
      <c r="B292" s="6"/>
      <c r="C292" s="6"/>
      <c r="D292" s="82"/>
      <c r="E292" s="6"/>
      <c r="F292" s="6"/>
      <c r="G292" s="6"/>
      <c r="H292" s="82"/>
      <c r="I292" s="6"/>
      <c r="J292" s="6"/>
      <c r="K292" s="1"/>
      <c r="L292" s="1"/>
      <c r="M292" s="1"/>
      <c r="N292" s="1"/>
      <c r="O292" s="1"/>
      <c r="P292" s="1"/>
      <c r="Q292" s="1"/>
      <c r="R292" s="1"/>
      <c r="S292" s="1"/>
      <c r="T292" s="1"/>
      <c r="U292" s="1"/>
      <c r="V292" s="1"/>
      <c r="W292" s="1"/>
      <c r="X292" s="1"/>
      <c r="Y292" s="1"/>
      <c r="Z292" s="1"/>
    </row>
    <row r="293" spans="1:26" ht="15.75" customHeight="1" x14ac:dyDescent="0.3">
      <c r="A293" s="148"/>
      <c r="B293" s="6"/>
      <c r="C293" s="6"/>
      <c r="D293" s="82"/>
      <c r="E293" s="6"/>
      <c r="F293" s="6"/>
      <c r="G293" s="6"/>
      <c r="H293" s="82"/>
      <c r="I293" s="6"/>
      <c r="J293" s="6"/>
      <c r="K293" s="1"/>
      <c r="L293" s="1"/>
      <c r="M293" s="1"/>
      <c r="N293" s="1"/>
      <c r="O293" s="1"/>
      <c r="P293" s="1"/>
      <c r="Q293" s="1"/>
      <c r="R293" s="1"/>
      <c r="S293" s="1"/>
      <c r="T293" s="1"/>
      <c r="U293" s="1"/>
      <c r="V293" s="1"/>
      <c r="W293" s="1"/>
      <c r="X293" s="1"/>
      <c r="Y293" s="1"/>
      <c r="Z293" s="1"/>
    </row>
    <row r="294" spans="1:26" ht="15.75" customHeight="1" x14ac:dyDescent="0.3">
      <c r="A294" s="148"/>
      <c r="B294" s="6"/>
      <c r="C294" s="6"/>
      <c r="D294" s="82"/>
      <c r="E294" s="6"/>
      <c r="F294" s="6"/>
      <c r="G294" s="6"/>
      <c r="H294" s="82"/>
      <c r="I294" s="6"/>
      <c r="J294" s="6"/>
      <c r="K294" s="1"/>
      <c r="L294" s="1"/>
      <c r="M294" s="1"/>
      <c r="N294" s="1"/>
      <c r="O294" s="1"/>
      <c r="P294" s="1"/>
      <c r="Q294" s="1"/>
      <c r="R294" s="1"/>
      <c r="S294" s="1"/>
      <c r="T294" s="1"/>
      <c r="U294" s="1"/>
      <c r="V294" s="1"/>
      <c r="W294" s="1"/>
      <c r="X294" s="1"/>
      <c r="Y294" s="1"/>
      <c r="Z294" s="1"/>
    </row>
    <row r="295" spans="1:26" ht="15.75" customHeight="1" x14ac:dyDescent="0.3">
      <c r="A295" s="148"/>
      <c r="B295" s="6"/>
      <c r="C295" s="6"/>
      <c r="D295" s="82"/>
      <c r="E295" s="6"/>
      <c r="F295" s="6"/>
      <c r="G295" s="6"/>
      <c r="H295" s="82"/>
      <c r="I295" s="6"/>
      <c r="J295" s="6"/>
      <c r="K295" s="1"/>
      <c r="L295" s="1"/>
      <c r="M295" s="1"/>
      <c r="N295" s="1"/>
      <c r="O295" s="1"/>
      <c r="P295" s="1"/>
      <c r="Q295" s="1"/>
      <c r="R295" s="1"/>
      <c r="S295" s="1"/>
      <c r="T295" s="1"/>
      <c r="U295" s="1"/>
      <c r="V295" s="1"/>
      <c r="W295" s="1"/>
      <c r="X295" s="1"/>
      <c r="Y295" s="1"/>
      <c r="Z295" s="1"/>
    </row>
    <row r="296" spans="1:26" ht="15.75" customHeight="1" x14ac:dyDescent="0.3">
      <c r="A296" s="148"/>
      <c r="B296" s="6"/>
      <c r="C296" s="6"/>
      <c r="D296" s="82"/>
      <c r="E296" s="6"/>
      <c r="F296" s="6"/>
      <c r="G296" s="6"/>
      <c r="H296" s="82"/>
      <c r="I296" s="6"/>
      <c r="J296" s="6"/>
      <c r="K296" s="1"/>
      <c r="L296" s="1"/>
      <c r="M296" s="1"/>
      <c r="N296" s="1"/>
      <c r="O296" s="1"/>
      <c r="P296" s="1"/>
      <c r="Q296" s="1"/>
      <c r="R296" s="1"/>
      <c r="S296" s="1"/>
      <c r="T296" s="1"/>
      <c r="U296" s="1"/>
      <c r="V296" s="1"/>
      <c r="W296" s="1"/>
      <c r="X296" s="1"/>
      <c r="Y296" s="1"/>
      <c r="Z296" s="1"/>
    </row>
    <row r="297" spans="1:26" ht="15.75" customHeight="1" x14ac:dyDescent="0.3">
      <c r="A297" s="148"/>
      <c r="B297" s="6"/>
      <c r="C297" s="6"/>
      <c r="D297" s="82"/>
      <c r="E297" s="6"/>
      <c r="F297" s="6"/>
      <c r="G297" s="6"/>
      <c r="H297" s="82"/>
      <c r="I297" s="6"/>
      <c r="J297" s="6"/>
      <c r="K297" s="1"/>
      <c r="L297" s="1"/>
      <c r="M297" s="1"/>
      <c r="N297" s="1"/>
      <c r="O297" s="1"/>
      <c r="P297" s="1"/>
      <c r="Q297" s="1"/>
      <c r="R297" s="1"/>
      <c r="S297" s="1"/>
      <c r="T297" s="1"/>
      <c r="U297" s="1"/>
      <c r="V297" s="1"/>
      <c r="W297" s="1"/>
      <c r="X297" s="1"/>
      <c r="Y297" s="1"/>
      <c r="Z297" s="1"/>
    </row>
    <row r="298" spans="1:26" ht="15.75" customHeight="1" x14ac:dyDescent="0.3">
      <c r="A298" s="148"/>
      <c r="B298" s="6"/>
      <c r="C298" s="6"/>
      <c r="D298" s="82"/>
      <c r="E298" s="6"/>
      <c r="F298" s="6"/>
      <c r="G298" s="6"/>
      <c r="H298" s="82"/>
      <c r="I298" s="6"/>
      <c r="J298" s="6"/>
      <c r="K298" s="1"/>
      <c r="L298" s="1"/>
      <c r="M298" s="1"/>
      <c r="N298" s="1"/>
      <c r="O298" s="1"/>
      <c r="P298" s="1"/>
      <c r="Q298" s="1"/>
      <c r="R298" s="1"/>
      <c r="S298" s="1"/>
      <c r="T298" s="1"/>
      <c r="U298" s="1"/>
      <c r="V298" s="1"/>
      <c r="W298" s="1"/>
      <c r="X298" s="1"/>
      <c r="Y298" s="1"/>
      <c r="Z298" s="1"/>
    </row>
    <row r="299" spans="1:26" ht="15.75" customHeight="1" x14ac:dyDescent="0.3">
      <c r="A299" s="148"/>
      <c r="B299" s="6"/>
      <c r="C299" s="6"/>
      <c r="D299" s="82"/>
      <c r="E299" s="6"/>
      <c r="F299" s="6"/>
      <c r="G299" s="6"/>
      <c r="H299" s="82"/>
      <c r="I299" s="6"/>
      <c r="J299" s="6"/>
      <c r="K299" s="1"/>
      <c r="L299" s="1"/>
      <c r="M299" s="1"/>
      <c r="N299" s="1"/>
      <c r="O299" s="1"/>
      <c r="P299" s="1"/>
      <c r="Q299" s="1"/>
      <c r="R299" s="1"/>
      <c r="S299" s="1"/>
      <c r="T299" s="1"/>
      <c r="U299" s="1"/>
      <c r="V299" s="1"/>
      <c r="W299" s="1"/>
      <c r="X299" s="1"/>
      <c r="Y299" s="1"/>
      <c r="Z299" s="1"/>
    </row>
    <row r="300" spans="1:26" ht="15.75" customHeight="1" x14ac:dyDescent="0.3">
      <c r="A300" s="148"/>
      <c r="B300" s="6"/>
      <c r="C300" s="6"/>
      <c r="D300" s="82"/>
      <c r="E300" s="6"/>
      <c r="F300" s="6"/>
      <c r="G300" s="6"/>
      <c r="H300" s="82"/>
      <c r="I300" s="6"/>
      <c r="J300" s="6"/>
      <c r="K300" s="1"/>
      <c r="L300" s="1"/>
      <c r="M300" s="1"/>
      <c r="N300" s="1"/>
      <c r="O300" s="1"/>
      <c r="P300" s="1"/>
      <c r="Q300" s="1"/>
      <c r="R300" s="1"/>
      <c r="S300" s="1"/>
      <c r="T300" s="1"/>
      <c r="U300" s="1"/>
      <c r="V300" s="1"/>
      <c r="W300" s="1"/>
      <c r="X300" s="1"/>
      <c r="Y300" s="1"/>
      <c r="Z300" s="1"/>
    </row>
    <row r="301" spans="1:26" ht="15.75" customHeight="1" x14ac:dyDescent="0.3">
      <c r="A301" s="148"/>
      <c r="B301" s="6"/>
      <c r="C301" s="6"/>
      <c r="D301" s="82"/>
      <c r="E301" s="6"/>
      <c r="F301" s="6"/>
      <c r="G301" s="6"/>
      <c r="H301" s="82"/>
      <c r="I301" s="6"/>
      <c r="J301" s="6"/>
      <c r="K301" s="1"/>
      <c r="L301" s="1"/>
      <c r="M301" s="1"/>
      <c r="N301" s="1"/>
      <c r="O301" s="1"/>
      <c r="P301" s="1"/>
      <c r="Q301" s="1"/>
      <c r="R301" s="1"/>
      <c r="S301" s="1"/>
      <c r="T301" s="1"/>
      <c r="U301" s="1"/>
      <c r="V301" s="1"/>
      <c r="W301" s="1"/>
      <c r="X301" s="1"/>
      <c r="Y301" s="1"/>
      <c r="Z301" s="1"/>
    </row>
    <row r="302" spans="1:26" ht="15.75" customHeight="1" x14ac:dyDescent="0.3">
      <c r="A302" s="148"/>
      <c r="B302" s="6"/>
      <c r="C302" s="6"/>
      <c r="D302" s="82"/>
      <c r="E302" s="6"/>
      <c r="F302" s="6"/>
      <c r="G302" s="6"/>
      <c r="H302" s="82"/>
      <c r="I302" s="6"/>
      <c r="J302" s="6"/>
      <c r="K302" s="1"/>
      <c r="L302" s="1"/>
      <c r="M302" s="1"/>
      <c r="N302" s="1"/>
      <c r="O302" s="1"/>
      <c r="P302" s="1"/>
      <c r="Q302" s="1"/>
      <c r="R302" s="1"/>
      <c r="S302" s="1"/>
      <c r="T302" s="1"/>
      <c r="U302" s="1"/>
      <c r="V302" s="1"/>
      <c r="W302" s="1"/>
      <c r="X302" s="1"/>
      <c r="Y302" s="1"/>
      <c r="Z302" s="1"/>
    </row>
    <row r="303" spans="1:26" ht="15.75" customHeight="1" x14ac:dyDescent="0.3">
      <c r="A303" s="148"/>
      <c r="B303" s="6"/>
      <c r="C303" s="6"/>
      <c r="D303" s="82"/>
      <c r="E303" s="6"/>
      <c r="F303" s="6"/>
      <c r="G303" s="6"/>
      <c r="H303" s="82"/>
      <c r="I303" s="6"/>
      <c r="J303" s="6"/>
      <c r="K303" s="1"/>
      <c r="L303" s="1"/>
      <c r="M303" s="1"/>
      <c r="N303" s="1"/>
      <c r="O303" s="1"/>
      <c r="P303" s="1"/>
      <c r="Q303" s="1"/>
      <c r="R303" s="1"/>
      <c r="S303" s="1"/>
      <c r="T303" s="1"/>
      <c r="U303" s="1"/>
      <c r="V303" s="1"/>
      <c r="W303" s="1"/>
      <c r="X303" s="1"/>
      <c r="Y303" s="1"/>
      <c r="Z303" s="1"/>
    </row>
    <row r="304" spans="1:26" ht="15.75" customHeight="1" x14ac:dyDescent="0.3">
      <c r="A304" s="148"/>
      <c r="B304" s="6"/>
      <c r="C304" s="6"/>
      <c r="D304" s="82"/>
      <c r="E304" s="6"/>
      <c r="F304" s="6"/>
      <c r="G304" s="6"/>
      <c r="H304" s="82"/>
      <c r="I304" s="6"/>
      <c r="J304" s="6"/>
      <c r="K304" s="1"/>
      <c r="L304" s="1"/>
      <c r="M304" s="1"/>
      <c r="N304" s="1"/>
      <c r="O304" s="1"/>
      <c r="P304" s="1"/>
      <c r="Q304" s="1"/>
      <c r="R304" s="1"/>
      <c r="S304" s="1"/>
      <c r="T304" s="1"/>
      <c r="U304" s="1"/>
      <c r="V304" s="1"/>
      <c r="W304" s="1"/>
      <c r="X304" s="1"/>
      <c r="Y304" s="1"/>
      <c r="Z304" s="1"/>
    </row>
    <row r="305" spans="1:26" ht="15.75" customHeight="1" x14ac:dyDescent="0.3">
      <c r="A305" s="148"/>
      <c r="B305" s="6"/>
      <c r="C305" s="6"/>
      <c r="D305" s="82"/>
      <c r="E305" s="6"/>
      <c r="F305" s="6"/>
      <c r="G305" s="6"/>
      <c r="H305" s="82"/>
      <c r="I305" s="6"/>
      <c r="J305" s="6"/>
      <c r="K305" s="1"/>
      <c r="L305" s="1"/>
      <c r="M305" s="1"/>
      <c r="N305" s="1"/>
      <c r="O305" s="1"/>
      <c r="P305" s="1"/>
      <c r="Q305" s="1"/>
      <c r="R305" s="1"/>
      <c r="S305" s="1"/>
      <c r="T305" s="1"/>
      <c r="U305" s="1"/>
      <c r="V305" s="1"/>
      <c r="W305" s="1"/>
      <c r="X305" s="1"/>
      <c r="Y305" s="1"/>
      <c r="Z305" s="1"/>
    </row>
    <row r="306" spans="1:26" ht="15.75" customHeight="1" x14ac:dyDescent="0.3">
      <c r="A306" s="148"/>
      <c r="B306" s="6"/>
      <c r="C306" s="6"/>
      <c r="D306" s="82"/>
      <c r="E306" s="6"/>
      <c r="F306" s="6"/>
      <c r="G306" s="6"/>
      <c r="H306" s="82"/>
      <c r="I306" s="6"/>
      <c r="J306" s="6"/>
      <c r="K306" s="1"/>
      <c r="L306" s="1"/>
      <c r="M306" s="1"/>
      <c r="N306" s="1"/>
      <c r="O306" s="1"/>
      <c r="P306" s="1"/>
      <c r="Q306" s="1"/>
      <c r="R306" s="1"/>
      <c r="S306" s="1"/>
      <c r="T306" s="1"/>
      <c r="U306" s="1"/>
      <c r="V306" s="1"/>
      <c r="W306" s="1"/>
      <c r="X306" s="1"/>
      <c r="Y306" s="1"/>
      <c r="Z306" s="1"/>
    </row>
    <row r="307" spans="1:26" ht="15.75" customHeight="1" x14ac:dyDescent="0.3">
      <c r="A307" s="148"/>
      <c r="B307" s="6"/>
      <c r="C307" s="6"/>
      <c r="D307" s="82"/>
      <c r="E307" s="6"/>
      <c r="F307" s="6"/>
      <c r="G307" s="6"/>
      <c r="H307" s="82"/>
      <c r="I307" s="6"/>
      <c r="J307" s="6"/>
      <c r="K307" s="1"/>
      <c r="L307" s="1"/>
      <c r="M307" s="1"/>
      <c r="N307" s="1"/>
      <c r="O307" s="1"/>
      <c r="P307" s="1"/>
      <c r="Q307" s="1"/>
      <c r="R307" s="1"/>
      <c r="S307" s="1"/>
      <c r="T307" s="1"/>
      <c r="U307" s="1"/>
      <c r="V307" s="1"/>
      <c r="W307" s="1"/>
      <c r="X307" s="1"/>
      <c r="Y307" s="1"/>
      <c r="Z307" s="1"/>
    </row>
    <row r="308" spans="1:26" ht="15.75" customHeight="1" x14ac:dyDescent="0.3">
      <c r="A308" s="148"/>
      <c r="B308" s="6"/>
      <c r="C308" s="6"/>
      <c r="D308" s="82"/>
      <c r="E308" s="6"/>
      <c r="F308" s="6"/>
      <c r="G308" s="6"/>
      <c r="H308" s="82"/>
      <c r="I308" s="6"/>
      <c r="J308" s="6"/>
      <c r="K308" s="1"/>
      <c r="L308" s="1"/>
      <c r="M308" s="1"/>
      <c r="N308" s="1"/>
      <c r="O308" s="1"/>
      <c r="P308" s="1"/>
      <c r="Q308" s="1"/>
      <c r="R308" s="1"/>
      <c r="S308" s="1"/>
      <c r="T308" s="1"/>
      <c r="U308" s="1"/>
      <c r="V308" s="1"/>
      <c r="W308" s="1"/>
      <c r="X308" s="1"/>
      <c r="Y308" s="1"/>
      <c r="Z308" s="1"/>
    </row>
    <row r="309" spans="1:26" ht="15.75" customHeight="1" x14ac:dyDescent="0.3">
      <c r="A309" s="148"/>
      <c r="B309" s="6"/>
      <c r="C309" s="6"/>
      <c r="D309" s="82"/>
      <c r="E309" s="6"/>
      <c r="F309" s="6"/>
      <c r="G309" s="6"/>
      <c r="H309" s="82"/>
      <c r="I309" s="6"/>
      <c r="J309" s="6"/>
      <c r="K309" s="1"/>
      <c r="L309" s="1"/>
      <c r="M309" s="1"/>
      <c r="N309" s="1"/>
      <c r="O309" s="1"/>
      <c r="P309" s="1"/>
      <c r="Q309" s="1"/>
      <c r="R309" s="1"/>
      <c r="S309" s="1"/>
      <c r="T309" s="1"/>
      <c r="U309" s="1"/>
      <c r="V309" s="1"/>
      <c r="W309" s="1"/>
      <c r="X309" s="1"/>
      <c r="Y309" s="1"/>
      <c r="Z309" s="1"/>
    </row>
    <row r="310" spans="1:26" ht="15.75" customHeight="1" x14ac:dyDescent="0.3">
      <c r="A310" s="148"/>
      <c r="B310" s="6"/>
      <c r="C310" s="6"/>
      <c r="D310" s="82"/>
      <c r="E310" s="6"/>
      <c r="F310" s="6"/>
      <c r="G310" s="6"/>
      <c r="H310" s="82"/>
      <c r="I310" s="6"/>
      <c r="J310" s="6"/>
      <c r="K310" s="1"/>
      <c r="L310" s="1"/>
      <c r="M310" s="1"/>
      <c r="N310" s="1"/>
      <c r="O310" s="1"/>
      <c r="P310" s="1"/>
      <c r="Q310" s="1"/>
      <c r="R310" s="1"/>
      <c r="S310" s="1"/>
      <c r="T310" s="1"/>
      <c r="U310" s="1"/>
      <c r="V310" s="1"/>
      <c r="W310" s="1"/>
      <c r="X310" s="1"/>
      <c r="Y310" s="1"/>
      <c r="Z310" s="1"/>
    </row>
    <row r="311" spans="1:26" ht="15.75" customHeight="1" x14ac:dyDescent="0.3">
      <c r="A311" s="148"/>
      <c r="B311" s="6"/>
      <c r="C311" s="6"/>
      <c r="D311" s="82"/>
      <c r="E311" s="6"/>
      <c r="F311" s="6"/>
      <c r="G311" s="6"/>
      <c r="H311" s="82"/>
      <c r="I311" s="6"/>
      <c r="J311" s="6"/>
      <c r="K311" s="1"/>
      <c r="L311" s="1"/>
      <c r="M311" s="1"/>
      <c r="N311" s="1"/>
      <c r="O311" s="1"/>
      <c r="P311" s="1"/>
      <c r="Q311" s="1"/>
      <c r="R311" s="1"/>
      <c r="S311" s="1"/>
      <c r="T311" s="1"/>
      <c r="U311" s="1"/>
      <c r="V311" s="1"/>
      <c r="W311" s="1"/>
      <c r="X311" s="1"/>
      <c r="Y311" s="1"/>
      <c r="Z311" s="1"/>
    </row>
    <row r="312" spans="1:26" ht="15.75" customHeight="1" x14ac:dyDescent="0.3">
      <c r="A312" s="148"/>
      <c r="B312" s="6"/>
      <c r="C312" s="6"/>
      <c r="D312" s="82"/>
      <c r="E312" s="6"/>
      <c r="F312" s="6"/>
      <c r="G312" s="6"/>
      <c r="H312" s="82"/>
      <c r="I312" s="6"/>
      <c r="J312" s="6"/>
      <c r="K312" s="1"/>
      <c r="L312" s="1"/>
      <c r="M312" s="1"/>
      <c r="N312" s="1"/>
      <c r="O312" s="1"/>
      <c r="P312" s="1"/>
      <c r="Q312" s="1"/>
      <c r="R312" s="1"/>
      <c r="S312" s="1"/>
      <c r="T312" s="1"/>
      <c r="U312" s="1"/>
      <c r="V312" s="1"/>
      <c r="W312" s="1"/>
      <c r="X312" s="1"/>
      <c r="Y312" s="1"/>
      <c r="Z312" s="1"/>
    </row>
    <row r="313" spans="1:26" ht="15.75" customHeight="1" x14ac:dyDescent="0.3">
      <c r="A313" s="148"/>
      <c r="B313" s="6"/>
      <c r="C313" s="6"/>
      <c r="D313" s="82"/>
      <c r="E313" s="6"/>
      <c r="F313" s="6"/>
      <c r="G313" s="6"/>
      <c r="H313" s="82"/>
      <c r="I313" s="6"/>
      <c r="J313" s="6"/>
      <c r="K313" s="1"/>
      <c r="L313" s="1"/>
      <c r="M313" s="1"/>
      <c r="N313" s="1"/>
      <c r="O313" s="1"/>
      <c r="P313" s="1"/>
      <c r="Q313" s="1"/>
      <c r="R313" s="1"/>
      <c r="S313" s="1"/>
      <c r="T313" s="1"/>
      <c r="U313" s="1"/>
      <c r="V313" s="1"/>
      <c r="W313" s="1"/>
      <c r="X313" s="1"/>
      <c r="Y313" s="1"/>
      <c r="Z313" s="1"/>
    </row>
    <row r="314" spans="1:26" ht="15.75" customHeight="1" x14ac:dyDescent="0.3">
      <c r="A314" s="148"/>
      <c r="B314" s="6"/>
      <c r="C314" s="6"/>
      <c r="D314" s="82"/>
      <c r="E314" s="6"/>
      <c r="F314" s="6"/>
      <c r="G314" s="6"/>
      <c r="H314" s="82"/>
      <c r="I314" s="6"/>
      <c r="J314" s="6"/>
      <c r="K314" s="1"/>
      <c r="L314" s="1"/>
      <c r="M314" s="1"/>
      <c r="N314" s="1"/>
      <c r="O314" s="1"/>
      <c r="P314" s="1"/>
      <c r="Q314" s="1"/>
      <c r="R314" s="1"/>
      <c r="S314" s="1"/>
      <c r="T314" s="1"/>
      <c r="U314" s="1"/>
      <c r="V314" s="1"/>
      <c r="W314" s="1"/>
      <c r="X314" s="1"/>
      <c r="Y314" s="1"/>
      <c r="Z314" s="1"/>
    </row>
    <row r="315" spans="1:26" ht="15.75" customHeight="1" x14ac:dyDescent="0.3">
      <c r="A315" s="148"/>
      <c r="B315" s="6"/>
      <c r="C315" s="6"/>
      <c r="D315" s="82"/>
      <c r="E315" s="6"/>
      <c r="F315" s="6"/>
      <c r="G315" s="6"/>
      <c r="H315" s="82"/>
      <c r="I315" s="6"/>
      <c r="J315" s="6"/>
      <c r="K315" s="1"/>
      <c r="L315" s="1"/>
      <c r="M315" s="1"/>
      <c r="N315" s="1"/>
      <c r="O315" s="1"/>
      <c r="P315" s="1"/>
      <c r="Q315" s="1"/>
      <c r="R315" s="1"/>
      <c r="S315" s="1"/>
      <c r="T315" s="1"/>
      <c r="U315" s="1"/>
      <c r="V315" s="1"/>
      <c r="W315" s="1"/>
      <c r="X315" s="1"/>
      <c r="Y315" s="1"/>
      <c r="Z315" s="1"/>
    </row>
    <row r="316" spans="1:26" ht="15.75" customHeight="1" x14ac:dyDescent="0.3">
      <c r="A316" s="148"/>
      <c r="B316" s="6"/>
      <c r="C316" s="6"/>
      <c r="D316" s="82"/>
      <c r="E316" s="6"/>
      <c r="F316" s="6"/>
      <c r="G316" s="6"/>
      <c r="H316" s="82"/>
      <c r="I316" s="6"/>
      <c r="J316" s="6"/>
      <c r="K316" s="1"/>
      <c r="L316" s="1"/>
      <c r="M316" s="1"/>
      <c r="N316" s="1"/>
      <c r="O316" s="1"/>
      <c r="P316" s="1"/>
      <c r="Q316" s="1"/>
      <c r="R316" s="1"/>
      <c r="S316" s="1"/>
      <c r="T316" s="1"/>
      <c r="U316" s="1"/>
      <c r="V316" s="1"/>
      <c r="W316" s="1"/>
      <c r="X316" s="1"/>
      <c r="Y316" s="1"/>
      <c r="Z316" s="1"/>
    </row>
    <row r="317" spans="1:26" ht="15.75" customHeight="1" x14ac:dyDescent="0.3">
      <c r="A317" s="148"/>
      <c r="B317" s="6"/>
      <c r="C317" s="6"/>
      <c r="D317" s="82"/>
      <c r="E317" s="6"/>
      <c r="F317" s="6"/>
      <c r="G317" s="6"/>
      <c r="H317" s="82"/>
      <c r="I317" s="6"/>
      <c r="J317" s="6"/>
      <c r="K317" s="1"/>
      <c r="L317" s="1"/>
      <c r="M317" s="1"/>
      <c r="N317" s="1"/>
      <c r="O317" s="1"/>
      <c r="P317" s="1"/>
      <c r="Q317" s="1"/>
      <c r="R317" s="1"/>
      <c r="S317" s="1"/>
      <c r="T317" s="1"/>
      <c r="U317" s="1"/>
      <c r="V317" s="1"/>
      <c r="W317" s="1"/>
      <c r="X317" s="1"/>
      <c r="Y317" s="1"/>
      <c r="Z317" s="1"/>
    </row>
    <row r="318" spans="1:26" ht="15.75" customHeight="1" x14ac:dyDescent="0.3">
      <c r="A318" s="148"/>
      <c r="B318" s="6"/>
      <c r="C318" s="6"/>
      <c r="D318" s="82"/>
      <c r="E318" s="6"/>
      <c r="F318" s="6"/>
      <c r="G318" s="6"/>
      <c r="H318" s="82"/>
      <c r="I318" s="6"/>
      <c r="J318" s="6"/>
      <c r="K318" s="1"/>
      <c r="L318" s="1"/>
      <c r="M318" s="1"/>
      <c r="N318" s="1"/>
      <c r="O318" s="1"/>
      <c r="P318" s="1"/>
      <c r="Q318" s="1"/>
      <c r="R318" s="1"/>
      <c r="S318" s="1"/>
      <c r="T318" s="1"/>
      <c r="U318" s="1"/>
      <c r="V318" s="1"/>
      <c r="W318" s="1"/>
      <c r="X318" s="1"/>
      <c r="Y318" s="1"/>
      <c r="Z318" s="1"/>
    </row>
    <row r="319" spans="1:26" ht="15.75" customHeight="1" x14ac:dyDescent="0.3">
      <c r="A319" s="148"/>
      <c r="B319" s="6"/>
      <c r="C319" s="6"/>
      <c r="D319" s="82"/>
      <c r="E319" s="6"/>
      <c r="F319" s="6"/>
      <c r="G319" s="6"/>
      <c r="H319" s="82"/>
      <c r="I319" s="6"/>
      <c r="J319" s="6"/>
      <c r="K319" s="1"/>
      <c r="L319" s="1"/>
      <c r="M319" s="1"/>
      <c r="N319" s="1"/>
      <c r="O319" s="1"/>
      <c r="P319" s="1"/>
      <c r="Q319" s="1"/>
      <c r="R319" s="1"/>
      <c r="S319" s="1"/>
      <c r="T319" s="1"/>
      <c r="U319" s="1"/>
      <c r="V319" s="1"/>
      <c r="W319" s="1"/>
      <c r="X319" s="1"/>
      <c r="Y319" s="1"/>
      <c r="Z319" s="1"/>
    </row>
    <row r="320" spans="1:26" ht="15.75" customHeight="1" x14ac:dyDescent="0.3">
      <c r="A320" s="148"/>
      <c r="B320" s="6"/>
      <c r="C320" s="6"/>
      <c r="D320" s="82"/>
      <c r="E320" s="6"/>
      <c r="F320" s="6"/>
      <c r="G320" s="6"/>
      <c r="H320" s="82"/>
      <c r="I320" s="6"/>
      <c r="J320" s="6"/>
      <c r="K320" s="1"/>
      <c r="L320" s="1"/>
      <c r="M320" s="1"/>
      <c r="N320" s="1"/>
      <c r="O320" s="1"/>
      <c r="P320" s="1"/>
      <c r="Q320" s="1"/>
      <c r="R320" s="1"/>
      <c r="S320" s="1"/>
      <c r="T320" s="1"/>
      <c r="U320" s="1"/>
      <c r="V320" s="1"/>
      <c r="W320" s="1"/>
      <c r="X320" s="1"/>
      <c r="Y320" s="1"/>
      <c r="Z320" s="1"/>
    </row>
    <row r="321" spans="1:26" ht="15.75" customHeight="1" x14ac:dyDescent="0.3">
      <c r="A321" s="148"/>
      <c r="B321" s="6"/>
      <c r="C321" s="6"/>
      <c r="D321" s="82"/>
      <c r="E321" s="6"/>
      <c r="F321" s="6"/>
      <c r="G321" s="6"/>
      <c r="H321" s="82"/>
      <c r="I321" s="6"/>
      <c r="J321" s="6"/>
      <c r="K321" s="1"/>
      <c r="L321" s="1"/>
      <c r="M321" s="1"/>
      <c r="N321" s="1"/>
      <c r="O321" s="1"/>
      <c r="P321" s="1"/>
      <c r="Q321" s="1"/>
      <c r="R321" s="1"/>
      <c r="S321" s="1"/>
      <c r="T321" s="1"/>
      <c r="U321" s="1"/>
      <c r="V321" s="1"/>
      <c r="W321" s="1"/>
      <c r="X321" s="1"/>
      <c r="Y321" s="1"/>
      <c r="Z321" s="1"/>
    </row>
    <row r="322" spans="1:26" ht="15.75" customHeight="1" x14ac:dyDescent="0.3">
      <c r="A322" s="148"/>
      <c r="B322" s="6"/>
      <c r="C322" s="6"/>
      <c r="D322" s="82"/>
      <c r="E322" s="6"/>
      <c r="F322" s="6"/>
      <c r="G322" s="6"/>
      <c r="H322" s="82"/>
      <c r="I322" s="6"/>
      <c r="J322" s="6"/>
      <c r="K322" s="1"/>
      <c r="L322" s="1"/>
      <c r="M322" s="1"/>
      <c r="N322" s="1"/>
      <c r="O322" s="1"/>
      <c r="P322" s="1"/>
      <c r="Q322" s="1"/>
      <c r="R322" s="1"/>
      <c r="S322" s="1"/>
      <c r="T322" s="1"/>
      <c r="U322" s="1"/>
      <c r="V322" s="1"/>
      <c r="W322" s="1"/>
      <c r="X322" s="1"/>
      <c r="Y322" s="1"/>
      <c r="Z322" s="1"/>
    </row>
    <row r="323" spans="1:26" ht="15.75" customHeight="1" x14ac:dyDescent="0.3">
      <c r="A323" s="148"/>
      <c r="B323" s="6"/>
      <c r="C323" s="6"/>
      <c r="D323" s="82"/>
      <c r="E323" s="6"/>
      <c r="F323" s="6"/>
      <c r="G323" s="6"/>
      <c r="H323" s="82"/>
      <c r="I323" s="6"/>
      <c r="J323" s="6"/>
      <c r="K323" s="1"/>
      <c r="L323" s="1"/>
      <c r="M323" s="1"/>
      <c r="N323" s="1"/>
      <c r="O323" s="1"/>
      <c r="P323" s="1"/>
      <c r="Q323" s="1"/>
      <c r="R323" s="1"/>
      <c r="S323" s="1"/>
      <c r="T323" s="1"/>
      <c r="U323" s="1"/>
      <c r="V323" s="1"/>
      <c r="W323" s="1"/>
      <c r="X323" s="1"/>
      <c r="Y323" s="1"/>
      <c r="Z323" s="1"/>
    </row>
    <row r="324" spans="1:26" ht="15.75" customHeight="1" x14ac:dyDescent="0.3">
      <c r="A324" s="148"/>
      <c r="B324" s="6"/>
      <c r="C324" s="6"/>
      <c r="D324" s="82"/>
      <c r="E324" s="6"/>
      <c r="F324" s="6"/>
      <c r="G324" s="6"/>
      <c r="H324" s="82"/>
      <c r="I324" s="6"/>
      <c r="J324" s="6"/>
      <c r="K324" s="1"/>
      <c r="L324" s="1"/>
      <c r="M324" s="1"/>
      <c r="N324" s="1"/>
      <c r="O324" s="1"/>
      <c r="P324" s="1"/>
      <c r="Q324" s="1"/>
      <c r="R324" s="1"/>
      <c r="S324" s="1"/>
      <c r="T324" s="1"/>
      <c r="U324" s="1"/>
      <c r="V324" s="1"/>
      <c r="W324" s="1"/>
      <c r="X324" s="1"/>
      <c r="Y324" s="1"/>
      <c r="Z324" s="1"/>
    </row>
    <row r="325" spans="1:26" ht="15.75" customHeight="1" x14ac:dyDescent="0.3">
      <c r="A325" s="148"/>
      <c r="B325" s="6"/>
      <c r="C325" s="6"/>
      <c r="D325" s="82"/>
      <c r="E325" s="6"/>
      <c r="F325" s="6"/>
      <c r="G325" s="6"/>
      <c r="H325" s="82"/>
      <c r="I325" s="6"/>
      <c r="J325" s="6"/>
      <c r="K325" s="1"/>
      <c r="L325" s="1"/>
      <c r="M325" s="1"/>
      <c r="N325" s="1"/>
      <c r="O325" s="1"/>
      <c r="P325" s="1"/>
      <c r="Q325" s="1"/>
      <c r="R325" s="1"/>
      <c r="S325" s="1"/>
      <c r="T325" s="1"/>
      <c r="U325" s="1"/>
      <c r="V325" s="1"/>
      <c r="W325" s="1"/>
      <c r="X325" s="1"/>
      <c r="Y325" s="1"/>
      <c r="Z325" s="1"/>
    </row>
    <row r="326" spans="1:26" ht="15.75" customHeight="1" x14ac:dyDescent="0.3">
      <c r="A326" s="148"/>
      <c r="B326" s="6"/>
      <c r="C326" s="6"/>
      <c r="D326" s="82"/>
      <c r="E326" s="6"/>
      <c r="F326" s="6"/>
      <c r="G326" s="6"/>
      <c r="H326" s="82"/>
      <c r="I326" s="6"/>
      <c r="J326" s="6"/>
      <c r="K326" s="1"/>
      <c r="L326" s="1"/>
      <c r="M326" s="1"/>
      <c r="N326" s="1"/>
      <c r="O326" s="1"/>
      <c r="P326" s="1"/>
      <c r="Q326" s="1"/>
      <c r="R326" s="1"/>
      <c r="S326" s="1"/>
      <c r="T326" s="1"/>
      <c r="U326" s="1"/>
      <c r="V326" s="1"/>
      <c r="W326" s="1"/>
      <c r="X326" s="1"/>
      <c r="Y326" s="1"/>
      <c r="Z326" s="1"/>
    </row>
    <row r="327" spans="1:26" ht="15.75" customHeight="1" x14ac:dyDescent="0.3">
      <c r="A327" s="148"/>
      <c r="B327" s="6"/>
      <c r="C327" s="6"/>
      <c r="D327" s="82"/>
      <c r="E327" s="6"/>
      <c r="F327" s="6"/>
      <c r="G327" s="6"/>
      <c r="H327" s="82"/>
      <c r="I327" s="6"/>
      <c r="J327" s="6"/>
      <c r="K327" s="1"/>
      <c r="L327" s="1"/>
      <c r="M327" s="1"/>
      <c r="N327" s="1"/>
      <c r="O327" s="1"/>
      <c r="P327" s="1"/>
      <c r="Q327" s="1"/>
      <c r="R327" s="1"/>
      <c r="S327" s="1"/>
      <c r="T327" s="1"/>
      <c r="U327" s="1"/>
      <c r="V327" s="1"/>
      <c r="W327" s="1"/>
      <c r="X327" s="1"/>
      <c r="Y327" s="1"/>
      <c r="Z327" s="1"/>
    </row>
    <row r="328" spans="1:26" ht="15.75" customHeight="1" x14ac:dyDescent="0.3">
      <c r="A328" s="148"/>
      <c r="B328" s="6"/>
      <c r="C328" s="6"/>
      <c r="D328" s="82"/>
      <c r="E328" s="6"/>
      <c r="F328" s="6"/>
      <c r="G328" s="6"/>
      <c r="H328" s="82"/>
      <c r="I328" s="6"/>
      <c r="J328" s="6"/>
      <c r="K328" s="1"/>
      <c r="L328" s="1"/>
      <c r="M328" s="1"/>
      <c r="N328" s="1"/>
      <c r="O328" s="1"/>
      <c r="P328" s="1"/>
      <c r="Q328" s="1"/>
      <c r="R328" s="1"/>
      <c r="S328" s="1"/>
      <c r="T328" s="1"/>
      <c r="U328" s="1"/>
      <c r="V328" s="1"/>
      <c r="W328" s="1"/>
      <c r="X328" s="1"/>
      <c r="Y328" s="1"/>
      <c r="Z328" s="1"/>
    </row>
    <row r="329" spans="1:26" ht="15.75" customHeight="1" x14ac:dyDescent="0.3">
      <c r="A329" s="148"/>
      <c r="B329" s="6"/>
      <c r="C329" s="6"/>
      <c r="D329" s="82"/>
      <c r="E329" s="6"/>
      <c r="F329" s="6"/>
      <c r="G329" s="6"/>
      <c r="H329" s="82"/>
      <c r="I329" s="6"/>
      <c r="J329" s="6"/>
      <c r="K329" s="1"/>
      <c r="L329" s="1"/>
      <c r="M329" s="1"/>
      <c r="N329" s="1"/>
      <c r="O329" s="1"/>
      <c r="P329" s="1"/>
      <c r="Q329" s="1"/>
      <c r="R329" s="1"/>
      <c r="S329" s="1"/>
      <c r="T329" s="1"/>
      <c r="U329" s="1"/>
      <c r="V329" s="1"/>
      <c r="W329" s="1"/>
      <c r="X329" s="1"/>
      <c r="Y329" s="1"/>
      <c r="Z329" s="1"/>
    </row>
    <row r="330" spans="1:26" ht="15.75" customHeight="1" x14ac:dyDescent="0.3">
      <c r="A330" s="148"/>
      <c r="B330" s="6"/>
      <c r="C330" s="6"/>
      <c r="D330" s="82"/>
      <c r="E330" s="6"/>
      <c r="F330" s="6"/>
      <c r="G330" s="6"/>
      <c r="H330" s="82"/>
      <c r="I330" s="6"/>
      <c r="J330" s="6"/>
      <c r="K330" s="1"/>
      <c r="L330" s="1"/>
      <c r="M330" s="1"/>
      <c r="N330" s="1"/>
      <c r="O330" s="1"/>
      <c r="P330" s="1"/>
      <c r="Q330" s="1"/>
      <c r="R330" s="1"/>
      <c r="S330" s="1"/>
      <c r="T330" s="1"/>
      <c r="U330" s="1"/>
      <c r="V330" s="1"/>
      <c r="W330" s="1"/>
      <c r="X330" s="1"/>
      <c r="Y330" s="1"/>
      <c r="Z330" s="1"/>
    </row>
    <row r="331" spans="1:26" ht="15.75" customHeight="1" x14ac:dyDescent="0.3">
      <c r="A331" s="148"/>
      <c r="B331" s="6"/>
      <c r="C331" s="6"/>
      <c r="D331" s="82"/>
      <c r="E331" s="6"/>
      <c r="F331" s="6"/>
      <c r="G331" s="6"/>
      <c r="H331" s="82"/>
      <c r="I331" s="6"/>
      <c r="J331" s="6"/>
      <c r="K331" s="1"/>
      <c r="L331" s="1"/>
      <c r="M331" s="1"/>
      <c r="N331" s="1"/>
      <c r="O331" s="1"/>
      <c r="P331" s="1"/>
      <c r="Q331" s="1"/>
      <c r="R331" s="1"/>
      <c r="S331" s="1"/>
      <c r="T331" s="1"/>
      <c r="U331" s="1"/>
      <c r="V331" s="1"/>
      <c r="W331" s="1"/>
      <c r="X331" s="1"/>
      <c r="Y331" s="1"/>
      <c r="Z331" s="1"/>
    </row>
    <row r="332" spans="1:26" ht="15.75" customHeight="1" x14ac:dyDescent="0.3">
      <c r="A332" s="148"/>
      <c r="B332" s="6"/>
      <c r="C332" s="6"/>
      <c r="D332" s="82"/>
      <c r="E332" s="6"/>
      <c r="F332" s="6"/>
      <c r="G332" s="6"/>
      <c r="H332" s="82"/>
      <c r="I332" s="6"/>
      <c r="J332" s="6"/>
      <c r="K332" s="1"/>
      <c r="L332" s="1"/>
      <c r="M332" s="1"/>
      <c r="N332" s="1"/>
      <c r="O332" s="1"/>
      <c r="P332" s="1"/>
      <c r="Q332" s="1"/>
      <c r="R332" s="1"/>
      <c r="S332" s="1"/>
      <c r="T332" s="1"/>
      <c r="U332" s="1"/>
      <c r="V332" s="1"/>
      <c r="W332" s="1"/>
      <c r="X332" s="1"/>
      <c r="Y332" s="1"/>
      <c r="Z332" s="1"/>
    </row>
    <row r="333" spans="1:26" ht="15.75" customHeight="1" x14ac:dyDescent="0.3">
      <c r="A333" s="148"/>
      <c r="B333" s="6"/>
      <c r="C333" s="6"/>
      <c r="D333" s="82"/>
      <c r="E333" s="6"/>
      <c r="F333" s="6"/>
      <c r="G333" s="6"/>
      <c r="H333" s="82"/>
      <c r="I333" s="6"/>
      <c r="J333" s="6"/>
      <c r="K333" s="1"/>
      <c r="L333" s="1"/>
      <c r="M333" s="1"/>
      <c r="N333" s="1"/>
      <c r="O333" s="1"/>
      <c r="P333" s="1"/>
      <c r="Q333" s="1"/>
      <c r="R333" s="1"/>
      <c r="S333" s="1"/>
      <c r="T333" s="1"/>
      <c r="U333" s="1"/>
      <c r="V333" s="1"/>
      <c r="W333" s="1"/>
      <c r="X333" s="1"/>
      <c r="Y333" s="1"/>
      <c r="Z333" s="1"/>
    </row>
    <row r="334" spans="1:26" ht="15.75" customHeight="1" x14ac:dyDescent="0.3">
      <c r="A334" s="148"/>
      <c r="B334" s="6"/>
      <c r="C334" s="6"/>
      <c r="D334" s="82"/>
      <c r="E334" s="6"/>
      <c r="F334" s="6"/>
      <c r="G334" s="6"/>
      <c r="H334" s="82"/>
      <c r="I334" s="6"/>
      <c r="J334" s="6"/>
      <c r="K334" s="1"/>
      <c r="L334" s="1"/>
      <c r="M334" s="1"/>
      <c r="N334" s="1"/>
      <c r="O334" s="1"/>
      <c r="P334" s="1"/>
      <c r="Q334" s="1"/>
      <c r="R334" s="1"/>
      <c r="S334" s="1"/>
      <c r="T334" s="1"/>
      <c r="U334" s="1"/>
      <c r="V334" s="1"/>
      <c r="W334" s="1"/>
      <c r="X334" s="1"/>
      <c r="Y334" s="1"/>
      <c r="Z334" s="1"/>
    </row>
    <row r="335" spans="1:26" ht="15.75" customHeight="1" x14ac:dyDescent="0.3">
      <c r="A335" s="148"/>
      <c r="B335" s="6"/>
      <c r="C335" s="6"/>
      <c r="D335" s="82"/>
      <c r="E335" s="6"/>
      <c r="F335" s="6"/>
      <c r="G335" s="6"/>
      <c r="H335" s="82"/>
      <c r="I335" s="6"/>
      <c r="J335" s="6"/>
      <c r="K335" s="1"/>
      <c r="L335" s="1"/>
      <c r="M335" s="1"/>
      <c r="N335" s="1"/>
      <c r="O335" s="1"/>
      <c r="P335" s="1"/>
      <c r="Q335" s="1"/>
      <c r="R335" s="1"/>
      <c r="S335" s="1"/>
      <c r="T335" s="1"/>
      <c r="U335" s="1"/>
      <c r="V335" s="1"/>
      <c r="W335" s="1"/>
      <c r="X335" s="1"/>
      <c r="Y335" s="1"/>
      <c r="Z335" s="1"/>
    </row>
    <row r="336" spans="1:26" ht="15.75" customHeight="1" x14ac:dyDescent="0.3">
      <c r="A336" s="148"/>
      <c r="B336" s="6"/>
      <c r="C336" s="6"/>
      <c r="D336" s="82"/>
      <c r="E336" s="6"/>
      <c r="F336" s="6"/>
      <c r="G336" s="6"/>
      <c r="H336" s="82"/>
      <c r="I336" s="6"/>
      <c r="J336" s="6"/>
      <c r="K336" s="1"/>
      <c r="L336" s="1"/>
      <c r="M336" s="1"/>
      <c r="N336" s="1"/>
      <c r="O336" s="1"/>
      <c r="P336" s="1"/>
      <c r="Q336" s="1"/>
      <c r="R336" s="1"/>
      <c r="S336" s="1"/>
      <c r="T336" s="1"/>
      <c r="U336" s="1"/>
      <c r="V336" s="1"/>
      <c r="W336" s="1"/>
      <c r="X336" s="1"/>
      <c r="Y336" s="1"/>
      <c r="Z336" s="1"/>
    </row>
    <row r="337" spans="1:26" ht="15.75" customHeight="1" x14ac:dyDescent="0.3">
      <c r="A337" s="148"/>
      <c r="B337" s="6"/>
      <c r="C337" s="6"/>
      <c r="D337" s="82"/>
      <c r="E337" s="6"/>
      <c r="F337" s="6"/>
      <c r="G337" s="6"/>
      <c r="H337" s="82"/>
      <c r="I337" s="6"/>
      <c r="J337" s="6"/>
      <c r="K337" s="1"/>
      <c r="L337" s="1"/>
      <c r="M337" s="1"/>
      <c r="N337" s="1"/>
      <c r="O337" s="1"/>
      <c r="P337" s="1"/>
      <c r="Q337" s="1"/>
      <c r="R337" s="1"/>
      <c r="S337" s="1"/>
      <c r="T337" s="1"/>
      <c r="U337" s="1"/>
      <c r="V337" s="1"/>
      <c r="W337" s="1"/>
      <c r="X337" s="1"/>
      <c r="Y337" s="1"/>
      <c r="Z337" s="1"/>
    </row>
    <row r="338" spans="1:26" ht="15.75" customHeight="1" x14ac:dyDescent="0.3">
      <c r="A338" s="148"/>
      <c r="B338" s="6"/>
      <c r="C338" s="6"/>
      <c r="D338" s="82"/>
      <c r="E338" s="6"/>
      <c r="F338" s="6"/>
      <c r="G338" s="6"/>
      <c r="H338" s="82"/>
      <c r="I338" s="6"/>
      <c r="J338" s="6"/>
      <c r="K338" s="1"/>
      <c r="L338" s="1"/>
      <c r="M338" s="1"/>
      <c r="N338" s="1"/>
      <c r="O338" s="1"/>
      <c r="P338" s="1"/>
      <c r="Q338" s="1"/>
      <c r="R338" s="1"/>
      <c r="S338" s="1"/>
      <c r="T338" s="1"/>
      <c r="U338" s="1"/>
      <c r="V338" s="1"/>
      <c r="W338" s="1"/>
      <c r="X338" s="1"/>
      <c r="Y338" s="1"/>
      <c r="Z338" s="1"/>
    </row>
    <row r="339" spans="1:26" ht="15.75" customHeight="1" x14ac:dyDescent="0.3">
      <c r="A339" s="148"/>
      <c r="B339" s="6"/>
      <c r="C339" s="6"/>
      <c r="D339" s="82"/>
      <c r="E339" s="6"/>
      <c r="F339" s="6"/>
      <c r="G339" s="6"/>
      <c r="H339" s="82"/>
      <c r="I339" s="6"/>
      <c r="J339" s="6"/>
      <c r="K339" s="1"/>
      <c r="L339" s="1"/>
      <c r="M339" s="1"/>
      <c r="N339" s="1"/>
      <c r="O339" s="1"/>
      <c r="P339" s="1"/>
      <c r="Q339" s="1"/>
      <c r="R339" s="1"/>
      <c r="S339" s="1"/>
      <c r="T339" s="1"/>
      <c r="U339" s="1"/>
      <c r="V339" s="1"/>
      <c r="W339" s="1"/>
      <c r="X339" s="1"/>
      <c r="Y339" s="1"/>
      <c r="Z339" s="1"/>
    </row>
    <row r="340" spans="1:26" ht="15.75" customHeight="1" x14ac:dyDescent="0.3">
      <c r="A340" s="148"/>
      <c r="B340" s="6"/>
      <c r="C340" s="6"/>
      <c r="D340" s="82"/>
      <c r="E340" s="6"/>
      <c r="F340" s="6"/>
      <c r="G340" s="6"/>
      <c r="H340" s="82"/>
      <c r="I340" s="6"/>
      <c r="J340" s="6"/>
      <c r="K340" s="1"/>
      <c r="L340" s="1"/>
      <c r="M340" s="1"/>
      <c r="N340" s="1"/>
      <c r="O340" s="1"/>
      <c r="P340" s="1"/>
      <c r="Q340" s="1"/>
      <c r="R340" s="1"/>
      <c r="S340" s="1"/>
      <c r="T340" s="1"/>
      <c r="U340" s="1"/>
      <c r="V340" s="1"/>
      <c r="W340" s="1"/>
      <c r="X340" s="1"/>
      <c r="Y340" s="1"/>
      <c r="Z340" s="1"/>
    </row>
    <row r="341" spans="1:26" ht="15.75" customHeight="1" x14ac:dyDescent="0.3">
      <c r="A341" s="148"/>
      <c r="B341" s="6"/>
      <c r="C341" s="6"/>
      <c r="D341" s="82"/>
      <c r="E341" s="6"/>
      <c r="F341" s="6"/>
      <c r="G341" s="6"/>
      <c r="H341" s="82"/>
      <c r="I341" s="6"/>
      <c r="J341" s="6"/>
      <c r="K341" s="1"/>
      <c r="L341" s="1"/>
      <c r="M341" s="1"/>
      <c r="N341" s="1"/>
      <c r="O341" s="1"/>
      <c r="P341" s="1"/>
      <c r="Q341" s="1"/>
      <c r="R341" s="1"/>
      <c r="S341" s="1"/>
      <c r="T341" s="1"/>
      <c r="U341" s="1"/>
      <c r="V341" s="1"/>
      <c r="W341" s="1"/>
      <c r="X341" s="1"/>
      <c r="Y341" s="1"/>
      <c r="Z341" s="1"/>
    </row>
    <row r="342" spans="1:26" ht="15.75" customHeight="1" x14ac:dyDescent="0.3">
      <c r="A342" s="148"/>
      <c r="B342" s="6"/>
      <c r="C342" s="6"/>
      <c r="D342" s="82"/>
      <c r="E342" s="6"/>
      <c r="F342" s="6"/>
      <c r="G342" s="6"/>
      <c r="H342" s="82"/>
      <c r="I342" s="6"/>
      <c r="J342" s="6"/>
      <c r="K342" s="1"/>
      <c r="L342" s="1"/>
      <c r="M342" s="1"/>
      <c r="N342" s="1"/>
      <c r="O342" s="1"/>
      <c r="P342" s="1"/>
      <c r="Q342" s="1"/>
      <c r="R342" s="1"/>
      <c r="S342" s="1"/>
      <c r="T342" s="1"/>
      <c r="U342" s="1"/>
      <c r="V342" s="1"/>
      <c r="W342" s="1"/>
      <c r="X342" s="1"/>
      <c r="Y342" s="1"/>
      <c r="Z342" s="1"/>
    </row>
    <row r="343" spans="1:26" ht="15.75" customHeight="1" x14ac:dyDescent="0.3">
      <c r="A343" s="148"/>
      <c r="B343" s="6"/>
      <c r="C343" s="6"/>
      <c r="D343" s="82"/>
      <c r="E343" s="6"/>
      <c r="F343" s="6"/>
      <c r="G343" s="6"/>
      <c r="H343" s="82"/>
      <c r="I343" s="6"/>
      <c r="J343" s="6"/>
      <c r="K343" s="1"/>
      <c r="L343" s="1"/>
      <c r="M343" s="1"/>
      <c r="N343" s="1"/>
      <c r="O343" s="1"/>
      <c r="P343" s="1"/>
      <c r="Q343" s="1"/>
      <c r="R343" s="1"/>
      <c r="S343" s="1"/>
      <c r="T343" s="1"/>
      <c r="U343" s="1"/>
      <c r="V343" s="1"/>
      <c r="W343" s="1"/>
      <c r="X343" s="1"/>
      <c r="Y343" s="1"/>
      <c r="Z343" s="1"/>
    </row>
    <row r="344" spans="1:26" ht="15.75" customHeight="1" x14ac:dyDescent="0.3">
      <c r="A344" s="148"/>
      <c r="B344" s="6"/>
      <c r="C344" s="6"/>
      <c r="D344" s="82"/>
      <c r="E344" s="6"/>
      <c r="F344" s="6"/>
      <c r="G344" s="6"/>
      <c r="H344" s="82"/>
      <c r="I344" s="6"/>
      <c r="J344" s="6"/>
      <c r="K344" s="1"/>
      <c r="L344" s="1"/>
      <c r="M344" s="1"/>
      <c r="N344" s="1"/>
      <c r="O344" s="1"/>
      <c r="P344" s="1"/>
      <c r="Q344" s="1"/>
      <c r="R344" s="1"/>
      <c r="S344" s="1"/>
      <c r="T344" s="1"/>
      <c r="U344" s="1"/>
      <c r="V344" s="1"/>
      <c r="W344" s="1"/>
      <c r="X344" s="1"/>
      <c r="Y344" s="1"/>
      <c r="Z344" s="1"/>
    </row>
    <row r="345" spans="1:26" ht="15.75" customHeight="1" x14ac:dyDescent="0.3">
      <c r="A345" s="148"/>
      <c r="B345" s="6"/>
      <c r="C345" s="6"/>
      <c r="D345" s="82"/>
      <c r="E345" s="6"/>
      <c r="F345" s="6"/>
      <c r="G345" s="6"/>
      <c r="H345" s="82"/>
      <c r="I345" s="6"/>
      <c r="J345" s="6"/>
      <c r="K345" s="1"/>
      <c r="L345" s="1"/>
      <c r="M345" s="1"/>
      <c r="N345" s="1"/>
      <c r="O345" s="1"/>
      <c r="P345" s="1"/>
      <c r="Q345" s="1"/>
      <c r="R345" s="1"/>
      <c r="S345" s="1"/>
      <c r="T345" s="1"/>
      <c r="U345" s="1"/>
      <c r="V345" s="1"/>
      <c r="W345" s="1"/>
      <c r="X345" s="1"/>
      <c r="Y345" s="1"/>
      <c r="Z345" s="1"/>
    </row>
    <row r="346" spans="1:26" ht="15.75" customHeight="1" x14ac:dyDescent="0.3">
      <c r="A346" s="148"/>
      <c r="B346" s="6"/>
      <c r="C346" s="6"/>
      <c r="D346" s="82"/>
      <c r="E346" s="6"/>
      <c r="F346" s="6"/>
      <c r="G346" s="6"/>
      <c r="H346" s="82"/>
      <c r="I346" s="6"/>
      <c r="J346" s="6"/>
      <c r="K346" s="1"/>
      <c r="L346" s="1"/>
      <c r="M346" s="1"/>
      <c r="N346" s="1"/>
      <c r="O346" s="1"/>
      <c r="P346" s="1"/>
      <c r="Q346" s="1"/>
      <c r="R346" s="1"/>
      <c r="S346" s="1"/>
      <c r="T346" s="1"/>
      <c r="U346" s="1"/>
      <c r="V346" s="1"/>
      <c r="W346" s="1"/>
      <c r="X346" s="1"/>
      <c r="Y346" s="1"/>
      <c r="Z346" s="1"/>
    </row>
    <row r="347" spans="1:26" ht="15.75" customHeight="1" x14ac:dyDescent="0.3">
      <c r="A347" s="148"/>
      <c r="B347" s="6"/>
      <c r="C347" s="6"/>
      <c r="D347" s="82"/>
      <c r="E347" s="6"/>
      <c r="F347" s="6"/>
      <c r="G347" s="6"/>
      <c r="H347" s="82"/>
      <c r="I347" s="6"/>
      <c r="J347" s="6"/>
      <c r="K347" s="1"/>
      <c r="L347" s="1"/>
      <c r="M347" s="1"/>
      <c r="N347" s="1"/>
      <c r="O347" s="1"/>
      <c r="P347" s="1"/>
      <c r="Q347" s="1"/>
      <c r="R347" s="1"/>
      <c r="S347" s="1"/>
      <c r="T347" s="1"/>
      <c r="U347" s="1"/>
      <c r="V347" s="1"/>
      <c r="W347" s="1"/>
      <c r="X347" s="1"/>
      <c r="Y347" s="1"/>
      <c r="Z347" s="1"/>
    </row>
    <row r="348" spans="1:26" ht="15.75" customHeight="1" x14ac:dyDescent="0.3">
      <c r="A348" s="148"/>
      <c r="B348" s="6"/>
      <c r="C348" s="6"/>
      <c r="D348" s="82"/>
      <c r="E348" s="6"/>
      <c r="F348" s="6"/>
      <c r="G348" s="6"/>
      <c r="H348" s="82"/>
      <c r="I348" s="6"/>
      <c r="J348" s="6"/>
      <c r="K348" s="1"/>
      <c r="L348" s="1"/>
      <c r="M348" s="1"/>
      <c r="N348" s="1"/>
      <c r="O348" s="1"/>
      <c r="P348" s="1"/>
      <c r="Q348" s="1"/>
      <c r="R348" s="1"/>
      <c r="S348" s="1"/>
      <c r="T348" s="1"/>
      <c r="U348" s="1"/>
      <c r="V348" s="1"/>
      <c r="W348" s="1"/>
      <c r="X348" s="1"/>
      <c r="Y348" s="1"/>
      <c r="Z348" s="1"/>
    </row>
    <row r="349" spans="1:26" ht="15.75" customHeight="1" x14ac:dyDescent="0.3">
      <c r="A349" s="148"/>
      <c r="B349" s="6"/>
      <c r="C349" s="6"/>
      <c r="D349" s="82"/>
      <c r="E349" s="6"/>
      <c r="F349" s="6"/>
      <c r="G349" s="6"/>
      <c r="H349" s="82"/>
      <c r="I349" s="6"/>
      <c r="J349" s="6"/>
      <c r="K349" s="1"/>
      <c r="L349" s="1"/>
      <c r="M349" s="1"/>
      <c r="N349" s="1"/>
      <c r="O349" s="1"/>
      <c r="P349" s="1"/>
      <c r="Q349" s="1"/>
      <c r="R349" s="1"/>
      <c r="S349" s="1"/>
      <c r="T349" s="1"/>
      <c r="U349" s="1"/>
      <c r="V349" s="1"/>
      <c r="W349" s="1"/>
      <c r="X349" s="1"/>
      <c r="Y349" s="1"/>
      <c r="Z349" s="1"/>
    </row>
    <row r="350" spans="1:26" ht="15.75" customHeight="1" x14ac:dyDescent="0.3">
      <c r="A350" s="148"/>
      <c r="B350" s="6"/>
      <c r="C350" s="6"/>
      <c r="D350" s="82"/>
      <c r="E350" s="6"/>
      <c r="F350" s="6"/>
      <c r="G350" s="6"/>
      <c r="H350" s="82"/>
      <c r="I350" s="6"/>
      <c r="J350" s="6"/>
      <c r="K350" s="1"/>
      <c r="L350" s="1"/>
      <c r="M350" s="1"/>
      <c r="N350" s="1"/>
      <c r="O350" s="1"/>
      <c r="P350" s="1"/>
      <c r="Q350" s="1"/>
      <c r="R350" s="1"/>
      <c r="S350" s="1"/>
      <c r="T350" s="1"/>
      <c r="U350" s="1"/>
      <c r="V350" s="1"/>
      <c r="W350" s="1"/>
      <c r="X350" s="1"/>
      <c r="Y350" s="1"/>
      <c r="Z350" s="1"/>
    </row>
    <row r="351" spans="1:26" ht="15.75" customHeight="1" x14ac:dyDescent="0.3">
      <c r="A351" s="148"/>
      <c r="B351" s="6"/>
      <c r="C351" s="6"/>
      <c r="D351" s="82"/>
      <c r="E351" s="6"/>
      <c r="F351" s="6"/>
      <c r="G351" s="6"/>
      <c r="H351" s="82"/>
      <c r="I351" s="6"/>
      <c r="J351" s="6"/>
      <c r="K351" s="1"/>
      <c r="L351" s="1"/>
      <c r="M351" s="1"/>
      <c r="N351" s="1"/>
      <c r="O351" s="1"/>
      <c r="P351" s="1"/>
      <c r="Q351" s="1"/>
      <c r="R351" s="1"/>
      <c r="S351" s="1"/>
      <c r="T351" s="1"/>
      <c r="U351" s="1"/>
      <c r="V351" s="1"/>
      <c r="W351" s="1"/>
      <c r="X351" s="1"/>
      <c r="Y351" s="1"/>
      <c r="Z351" s="1"/>
    </row>
    <row r="352" spans="1:26" ht="15.75" customHeight="1" x14ac:dyDescent="0.3">
      <c r="A352" s="148"/>
      <c r="B352" s="6"/>
      <c r="C352" s="6"/>
      <c r="D352" s="82"/>
      <c r="E352" s="6"/>
      <c r="F352" s="6"/>
      <c r="G352" s="6"/>
      <c r="H352" s="82"/>
      <c r="I352" s="6"/>
      <c r="J352" s="6"/>
      <c r="K352" s="1"/>
      <c r="L352" s="1"/>
      <c r="M352" s="1"/>
      <c r="N352" s="1"/>
      <c r="O352" s="1"/>
      <c r="P352" s="1"/>
      <c r="Q352" s="1"/>
      <c r="R352" s="1"/>
      <c r="S352" s="1"/>
      <c r="T352" s="1"/>
      <c r="U352" s="1"/>
      <c r="V352" s="1"/>
      <c r="W352" s="1"/>
      <c r="X352" s="1"/>
      <c r="Y352" s="1"/>
      <c r="Z352" s="1"/>
    </row>
    <row r="353" spans="1:26" ht="15.75" customHeight="1" x14ac:dyDescent="0.3">
      <c r="A353" s="148"/>
      <c r="B353" s="6"/>
      <c r="C353" s="6"/>
      <c r="D353" s="82"/>
      <c r="E353" s="6"/>
      <c r="F353" s="6"/>
      <c r="G353" s="6"/>
      <c r="H353" s="82"/>
      <c r="I353" s="6"/>
      <c r="J353" s="6"/>
      <c r="K353" s="1"/>
      <c r="L353" s="1"/>
      <c r="M353" s="1"/>
      <c r="N353" s="1"/>
      <c r="O353" s="1"/>
      <c r="P353" s="1"/>
      <c r="Q353" s="1"/>
      <c r="R353" s="1"/>
      <c r="S353" s="1"/>
      <c r="T353" s="1"/>
      <c r="U353" s="1"/>
      <c r="V353" s="1"/>
      <c r="W353" s="1"/>
      <c r="X353" s="1"/>
      <c r="Y353" s="1"/>
      <c r="Z353" s="1"/>
    </row>
    <row r="354" spans="1:26" ht="15.75" customHeight="1" x14ac:dyDescent="0.3">
      <c r="A354" s="148"/>
      <c r="B354" s="6"/>
      <c r="C354" s="6"/>
      <c r="D354" s="82"/>
      <c r="E354" s="6"/>
      <c r="F354" s="6"/>
      <c r="G354" s="6"/>
      <c r="H354" s="82"/>
      <c r="I354" s="6"/>
      <c r="J354" s="6"/>
      <c r="K354" s="1"/>
      <c r="L354" s="1"/>
      <c r="M354" s="1"/>
      <c r="N354" s="1"/>
      <c r="O354" s="1"/>
      <c r="P354" s="1"/>
      <c r="Q354" s="1"/>
      <c r="R354" s="1"/>
      <c r="S354" s="1"/>
      <c r="T354" s="1"/>
      <c r="U354" s="1"/>
      <c r="V354" s="1"/>
      <c r="W354" s="1"/>
      <c r="X354" s="1"/>
      <c r="Y354" s="1"/>
      <c r="Z354" s="1"/>
    </row>
    <row r="355" spans="1:26" ht="15.75" customHeight="1" x14ac:dyDescent="0.3">
      <c r="A355" s="148"/>
      <c r="B355" s="6"/>
      <c r="C355" s="6"/>
      <c r="D355" s="82"/>
      <c r="E355" s="6"/>
      <c r="F355" s="6"/>
      <c r="G355" s="6"/>
      <c r="H355" s="82"/>
      <c r="I355" s="6"/>
      <c r="J355" s="6"/>
      <c r="K355" s="1"/>
      <c r="L355" s="1"/>
      <c r="M355" s="1"/>
      <c r="N355" s="1"/>
      <c r="O355" s="1"/>
      <c r="P355" s="1"/>
      <c r="Q355" s="1"/>
      <c r="R355" s="1"/>
      <c r="S355" s="1"/>
      <c r="T355" s="1"/>
      <c r="U355" s="1"/>
      <c r="V355" s="1"/>
      <c r="W355" s="1"/>
      <c r="X355" s="1"/>
      <c r="Y355" s="1"/>
      <c r="Z355" s="1"/>
    </row>
    <row r="356" spans="1:26" ht="15.75" customHeight="1" x14ac:dyDescent="0.3">
      <c r="A356" s="148"/>
      <c r="B356" s="6"/>
      <c r="C356" s="6"/>
      <c r="D356" s="82"/>
      <c r="E356" s="6"/>
      <c r="F356" s="6"/>
      <c r="G356" s="6"/>
      <c r="H356" s="82"/>
      <c r="I356" s="6"/>
      <c r="J356" s="6"/>
      <c r="K356" s="1"/>
      <c r="L356" s="1"/>
      <c r="M356" s="1"/>
      <c r="N356" s="1"/>
      <c r="O356" s="1"/>
      <c r="P356" s="1"/>
      <c r="Q356" s="1"/>
      <c r="R356" s="1"/>
      <c r="S356" s="1"/>
      <c r="T356" s="1"/>
      <c r="U356" s="1"/>
      <c r="V356" s="1"/>
      <c r="W356" s="1"/>
      <c r="X356" s="1"/>
      <c r="Y356" s="1"/>
      <c r="Z356" s="1"/>
    </row>
    <row r="357" spans="1:26" ht="15.75" customHeight="1" x14ac:dyDescent="0.3">
      <c r="A357" s="148"/>
      <c r="B357" s="6"/>
      <c r="C357" s="6"/>
      <c r="D357" s="82"/>
      <c r="E357" s="6"/>
      <c r="F357" s="6"/>
      <c r="G357" s="6"/>
      <c r="H357" s="82"/>
      <c r="I357" s="6"/>
      <c r="J357" s="6"/>
      <c r="K357" s="1"/>
      <c r="L357" s="1"/>
      <c r="M357" s="1"/>
      <c r="N357" s="1"/>
      <c r="O357" s="1"/>
      <c r="P357" s="1"/>
      <c r="Q357" s="1"/>
      <c r="R357" s="1"/>
      <c r="S357" s="1"/>
      <c r="T357" s="1"/>
      <c r="U357" s="1"/>
      <c r="V357" s="1"/>
      <c r="W357" s="1"/>
      <c r="X357" s="1"/>
      <c r="Y357" s="1"/>
      <c r="Z357" s="1"/>
    </row>
    <row r="358" spans="1:26" ht="15.75" customHeight="1" x14ac:dyDescent="0.3">
      <c r="A358" s="148"/>
      <c r="B358" s="6"/>
      <c r="C358" s="6"/>
      <c r="D358" s="82"/>
      <c r="E358" s="6"/>
      <c r="F358" s="6"/>
      <c r="G358" s="6"/>
      <c r="H358" s="82"/>
      <c r="I358" s="6"/>
      <c r="J358" s="6"/>
      <c r="K358" s="1"/>
      <c r="L358" s="1"/>
      <c r="M358" s="1"/>
      <c r="N358" s="1"/>
      <c r="O358" s="1"/>
      <c r="P358" s="1"/>
      <c r="Q358" s="1"/>
      <c r="R358" s="1"/>
      <c r="S358" s="1"/>
      <c r="T358" s="1"/>
      <c r="U358" s="1"/>
      <c r="V358" s="1"/>
      <c r="W358" s="1"/>
      <c r="X358" s="1"/>
      <c r="Y358" s="1"/>
      <c r="Z358" s="1"/>
    </row>
    <row r="359" spans="1:26" ht="15.75" customHeight="1" x14ac:dyDescent="0.3">
      <c r="A359" s="148"/>
      <c r="B359" s="6"/>
      <c r="C359" s="6"/>
      <c r="D359" s="82"/>
      <c r="E359" s="6"/>
      <c r="F359" s="6"/>
      <c r="G359" s="6"/>
      <c r="H359" s="82"/>
      <c r="I359" s="6"/>
      <c r="J359" s="6"/>
      <c r="K359" s="1"/>
      <c r="L359" s="1"/>
      <c r="M359" s="1"/>
      <c r="N359" s="1"/>
      <c r="O359" s="1"/>
      <c r="P359" s="1"/>
      <c r="Q359" s="1"/>
      <c r="R359" s="1"/>
      <c r="S359" s="1"/>
      <c r="T359" s="1"/>
      <c r="U359" s="1"/>
      <c r="V359" s="1"/>
      <c r="W359" s="1"/>
      <c r="X359" s="1"/>
      <c r="Y359" s="1"/>
      <c r="Z359" s="1"/>
    </row>
    <row r="360" spans="1:26" ht="15.75" customHeight="1" x14ac:dyDescent="0.3">
      <c r="A360" s="148"/>
      <c r="B360" s="6"/>
      <c r="C360" s="6"/>
      <c r="D360" s="82"/>
      <c r="E360" s="6"/>
      <c r="F360" s="6"/>
      <c r="G360" s="6"/>
      <c r="H360" s="82"/>
      <c r="I360" s="6"/>
      <c r="J360" s="6"/>
      <c r="K360" s="1"/>
      <c r="L360" s="1"/>
      <c r="M360" s="1"/>
      <c r="N360" s="1"/>
      <c r="O360" s="1"/>
      <c r="P360" s="1"/>
      <c r="Q360" s="1"/>
      <c r="R360" s="1"/>
      <c r="S360" s="1"/>
      <c r="T360" s="1"/>
      <c r="U360" s="1"/>
      <c r="V360" s="1"/>
      <c r="W360" s="1"/>
      <c r="X360" s="1"/>
      <c r="Y360" s="1"/>
      <c r="Z360" s="1"/>
    </row>
    <row r="361" spans="1:26" ht="15.75" customHeight="1" x14ac:dyDescent="0.3">
      <c r="A361" s="148"/>
      <c r="B361" s="6"/>
      <c r="C361" s="6"/>
      <c r="D361" s="82"/>
      <c r="E361" s="6"/>
      <c r="F361" s="6"/>
      <c r="G361" s="6"/>
      <c r="H361" s="82"/>
      <c r="I361" s="6"/>
      <c r="J361" s="6"/>
      <c r="K361" s="1"/>
      <c r="L361" s="1"/>
      <c r="M361" s="1"/>
      <c r="N361" s="1"/>
      <c r="O361" s="1"/>
      <c r="P361" s="1"/>
      <c r="Q361" s="1"/>
      <c r="R361" s="1"/>
      <c r="S361" s="1"/>
      <c r="T361" s="1"/>
      <c r="U361" s="1"/>
      <c r="V361" s="1"/>
      <c r="W361" s="1"/>
      <c r="X361" s="1"/>
      <c r="Y361" s="1"/>
      <c r="Z361" s="1"/>
    </row>
    <row r="362" spans="1:26" ht="15.75" customHeight="1" x14ac:dyDescent="0.3">
      <c r="A362" s="148"/>
      <c r="B362" s="6"/>
      <c r="C362" s="6"/>
      <c r="D362" s="82"/>
      <c r="E362" s="6"/>
      <c r="F362" s="6"/>
      <c r="G362" s="6"/>
      <c r="H362" s="82"/>
      <c r="I362" s="6"/>
      <c r="J362" s="6"/>
      <c r="K362" s="1"/>
      <c r="L362" s="1"/>
      <c r="M362" s="1"/>
      <c r="N362" s="1"/>
      <c r="O362" s="1"/>
      <c r="P362" s="1"/>
      <c r="Q362" s="1"/>
      <c r="R362" s="1"/>
      <c r="S362" s="1"/>
      <c r="T362" s="1"/>
      <c r="U362" s="1"/>
      <c r="V362" s="1"/>
      <c r="W362" s="1"/>
      <c r="X362" s="1"/>
      <c r="Y362" s="1"/>
      <c r="Z362" s="1"/>
    </row>
    <row r="363" spans="1:26" ht="15.75" customHeight="1" x14ac:dyDescent="0.3">
      <c r="A363" s="148"/>
      <c r="B363" s="6"/>
      <c r="C363" s="6"/>
      <c r="D363" s="82"/>
      <c r="E363" s="6"/>
      <c r="F363" s="6"/>
      <c r="G363" s="6"/>
      <c r="H363" s="82"/>
      <c r="I363" s="6"/>
      <c r="J363" s="6"/>
      <c r="K363" s="1"/>
      <c r="L363" s="1"/>
      <c r="M363" s="1"/>
      <c r="N363" s="1"/>
      <c r="O363" s="1"/>
      <c r="P363" s="1"/>
      <c r="Q363" s="1"/>
      <c r="R363" s="1"/>
      <c r="S363" s="1"/>
      <c r="T363" s="1"/>
      <c r="U363" s="1"/>
      <c r="V363" s="1"/>
      <c r="W363" s="1"/>
      <c r="X363" s="1"/>
      <c r="Y363" s="1"/>
      <c r="Z363" s="1"/>
    </row>
    <row r="364" spans="1:26" ht="15.75" customHeight="1" x14ac:dyDescent="0.3">
      <c r="A364" s="148"/>
      <c r="B364" s="6"/>
      <c r="C364" s="6"/>
      <c r="D364" s="82"/>
      <c r="E364" s="6"/>
      <c r="F364" s="6"/>
      <c r="G364" s="6"/>
      <c r="H364" s="82"/>
      <c r="I364" s="6"/>
      <c r="J364" s="6"/>
      <c r="K364" s="1"/>
      <c r="L364" s="1"/>
      <c r="M364" s="1"/>
      <c r="N364" s="1"/>
      <c r="O364" s="1"/>
      <c r="P364" s="1"/>
      <c r="Q364" s="1"/>
      <c r="R364" s="1"/>
      <c r="S364" s="1"/>
      <c r="T364" s="1"/>
      <c r="U364" s="1"/>
      <c r="V364" s="1"/>
      <c r="W364" s="1"/>
      <c r="X364" s="1"/>
      <c r="Y364" s="1"/>
      <c r="Z364" s="1"/>
    </row>
    <row r="365" spans="1:26" ht="15.75" customHeight="1" x14ac:dyDescent="0.3">
      <c r="A365" s="148"/>
      <c r="B365" s="6"/>
      <c r="C365" s="6"/>
      <c r="D365" s="82"/>
      <c r="E365" s="6"/>
      <c r="F365" s="6"/>
      <c r="G365" s="6"/>
      <c r="H365" s="82"/>
      <c r="I365" s="6"/>
      <c r="J365" s="6"/>
      <c r="K365" s="1"/>
      <c r="L365" s="1"/>
      <c r="M365" s="1"/>
      <c r="N365" s="1"/>
      <c r="O365" s="1"/>
      <c r="P365" s="1"/>
      <c r="Q365" s="1"/>
      <c r="R365" s="1"/>
      <c r="S365" s="1"/>
      <c r="T365" s="1"/>
      <c r="U365" s="1"/>
      <c r="V365" s="1"/>
      <c r="W365" s="1"/>
      <c r="X365" s="1"/>
      <c r="Y365" s="1"/>
      <c r="Z365" s="1"/>
    </row>
    <row r="366" spans="1:26" ht="15.75" customHeight="1" x14ac:dyDescent="0.3">
      <c r="A366" s="148"/>
      <c r="B366" s="6"/>
      <c r="C366" s="6"/>
      <c r="D366" s="82"/>
      <c r="E366" s="6"/>
      <c r="F366" s="6"/>
      <c r="G366" s="6"/>
      <c r="H366" s="82"/>
      <c r="I366" s="6"/>
      <c r="J366" s="6"/>
      <c r="K366" s="1"/>
      <c r="L366" s="1"/>
      <c r="M366" s="1"/>
      <c r="N366" s="1"/>
      <c r="O366" s="1"/>
      <c r="P366" s="1"/>
      <c r="Q366" s="1"/>
      <c r="R366" s="1"/>
      <c r="S366" s="1"/>
      <c r="T366" s="1"/>
      <c r="U366" s="1"/>
      <c r="V366" s="1"/>
      <c r="W366" s="1"/>
      <c r="X366" s="1"/>
      <c r="Y366" s="1"/>
      <c r="Z366" s="1"/>
    </row>
    <row r="367" spans="1:26" ht="15.75" customHeight="1" x14ac:dyDescent="0.3">
      <c r="A367" s="148"/>
      <c r="B367" s="6"/>
      <c r="C367" s="6"/>
      <c r="D367" s="82"/>
      <c r="E367" s="6"/>
      <c r="F367" s="6"/>
      <c r="G367" s="6"/>
      <c r="H367" s="82"/>
      <c r="I367" s="6"/>
      <c r="J367" s="6"/>
      <c r="K367" s="1"/>
      <c r="L367" s="1"/>
      <c r="M367" s="1"/>
      <c r="N367" s="1"/>
      <c r="O367" s="1"/>
      <c r="P367" s="1"/>
      <c r="Q367" s="1"/>
      <c r="R367" s="1"/>
      <c r="S367" s="1"/>
      <c r="T367" s="1"/>
      <c r="U367" s="1"/>
      <c r="V367" s="1"/>
      <c r="W367" s="1"/>
      <c r="X367" s="1"/>
      <c r="Y367" s="1"/>
      <c r="Z367" s="1"/>
    </row>
    <row r="368" spans="1:26" ht="15.75" customHeight="1" x14ac:dyDescent="0.3">
      <c r="A368" s="148"/>
      <c r="B368" s="6"/>
      <c r="C368" s="6"/>
      <c r="D368" s="82"/>
      <c r="E368" s="6"/>
      <c r="F368" s="6"/>
      <c r="G368" s="6"/>
      <c r="H368" s="82"/>
      <c r="I368" s="6"/>
      <c r="J368" s="6"/>
      <c r="K368" s="1"/>
      <c r="L368" s="1"/>
      <c r="M368" s="1"/>
      <c r="N368" s="1"/>
      <c r="O368" s="1"/>
      <c r="P368" s="1"/>
      <c r="Q368" s="1"/>
      <c r="R368" s="1"/>
      <c r="S368" s="1"/>
      <c r="T368" s="1"/>
      <c r="U368" s="1"/>
      <c r="V368" s="1"/>
      <c r="W368" s="1"/>
      <c r="X368" s="1"/>
      <c r="Y368" s="1"/>
      <c r="Z368" s="1"/>
    </row>
    <row r="369" spans="1:26" ht="15.75" customHeight="1" x14ac:dyDescent="0.3">
      <c r="A369" s="148"/>
      <c r="B369" s="6"/>
      <c r="C369" s="6"/>
      <c r="D369" s="82"/>
      <c r="E369" s="6"/>
      <c r="F369" s="6"/>
      <c r="G369" s="6"/>
      <c r="H369" s="82"/>
      <c r="I369" s="6"/>
      <c r="J369" s="6"/>
      <c r="K369" s="1"/>
      <c r="L369" s="1"/>
      <c r="M369" s="1"/>
      <c r="N369" s="1"/>
      <c r="O369" s="1"/>
      <c r="P369" s="1"/>
      <c r="Q369" s="1"/>
      <c r="R369" s="1"/>
      <c r="S369" s="1"/>
      <c r="T369" s="1"/>
      <c r="U369" s="1"/>
      <c r="V369" s="1"/>
      <c r="W369" s="1"/>
      <c r="X369" s="1"/>
      <c r="Y369" s="1"/>
      <c r="Z369" s="1"/>
    </row>
    <row r="370" spans="1:26" ht="15.75" customHeight="1" x14ac:dyDescent="0.3">
      <c r="A370" s="148"/>
      <c r="B370" s="6"/>
      <c r="C370" s="6"/>
      <c r="D370" s="82"/>
      <c r="E370" s="6"/>
      <c r="F370" s="6"/>
      <c r="G370" s="6"/>
      <c r="H370" s="82"/>
      <c r="I370" s="6"/>
      <c r="J370" s="6"/>
      <c r="K370" s="1"/>
      <c r="L370" s="1"/>
      <c r="M370" s="1"/>
      <c r="N370" s="1"/>
      <c r="O370" s="1"/>
      <c r="P370" s="1"/>
      <c r="Q370" s="1"/>
      <c r="R370" s="1"/>
      <c r="S370" s="1"/>
      <c r="T370" s="1"/>
      <c r="U370" s="1"/>
      <c r="V370" s="1"/>
      <c r="W370" s="1"/>
      <c r="X370" s="1"/>
      <c r="Y370" s="1"/>
      <c r="Z370" s="1"/>
    </row>
    <row r="371" spans="1:26" ht="15.75" customHeight="1" x14ac:dyDescent="0.3">
      <c r="A371" s="148"/>
      <c r="B371" s="6"/>
      <c r="C371" s="6"/>
      <c r="D371" s="82"/>
      <c r="E371" s="6"/>
      <c r="F371" s="6"/>
      <c r="G371" s="6"/>
      <c r="H371" s="82"/>
      <c r="I371" s="6"/>
      <c r="J371" s="6"/>
      <c r="K371" s="1"/>
      <c r="L371" s="1"/>
      <c r="M371" s="1"/>
      <c r="N371" s="1"/>
      <c r="O371" s="1"/>
      <c r="P371" s="1"/>
      <c r="Q371" s="1"/>
      <c r="R371" s="1"/>
      <c r="S371" s="1"/>
      <c r="T371" s="1"/>
      <c r="U371" s="1"/>
      <c r="V371" s="1"/>
      <c r="W371" s="1"/>
      <c r="X371" s="1"/>
      <c r="Y371" s="1"/>
      <c r="Z371" s="1"/>
    </row>
    <row r="372" spans="1:26" ht="15.75" customHeight="1" x14ac:dyDescent="0.3">
      <c r="A372" s="148"/>
      <c r="B372" s="6"/>
      <c r="C372" s="6"/>
      <c r="D372" s="82"/>
      <c r="E372" s="6"/>
      <c r="F372" s="6"/>
      <c r="G372" s="6"/>
      <c r="H372" s="82"/>
      <c r="I372" s="6"/>
      <c r="J372" s="6"/>
      <c r="K372" s="1"/>
      <c r="L372" s="1"/>
      <c r="M372" s="1"/>
      <c r="N372" s="1"/>
      <c r="O372" s="1"/>
      <c r="P372" s="1"/>
      <c r="Q372" s="1"/>
      <c r="R372" s="1"/>
      <c r="S372" s="1"/>
      <c r="T372" s="1"/>
      <c r="U372" s="1"/>
      <c r="V372" s="1"/>
      <c r="W372" s="1"/>
      <c r="X372" s="1"/>
      <c r="Y372" s="1"/>
      <c r="Z372" s="1"/>
    </row>
    <row r="373" spans="1:26" ht="15.75" customHeight="1" x14ac:dyDescent="0.3">
      <c r="A373" s="148"/>
      <c r="B373" s="6"/>
      <c r="C373" s="6"/>
      <c r="D373" s="82"/>
      <c r="E373" s="6"/>
      <c r="F373" s="6"/>
      <c r="G373" s="6"/>
      <c r="H373" s="82"/>
      <c r="I373" s="6"/>
      <c r="J373" s="6"/>
      <c r="K373" s="1"/>
      <c r="L373" s="1"/>
      <c r="M373" s="1"/>
      <c r="N373" s="1"/>
      <c r="O373" s="1"/>
      <c r="P373" s="1"/>
      <c r="Q373" s="1"/>
      <c r="R373" s="1"/>
      <c r="S373" s="1"/>
      <c r="T373" s="1"/>
      <c r="U373" s="1"/>
      <c r="V373" s="1"/>
      <c r="W373" s="1"/>
      <c r="X373" s="1"/>
      <c r="Y373" s="1"/>
      <c r="Z373" s="1"/>
    </row>
    <row r="374" spans="1:26" ht="15.75" customHeight="1" x14ac:dyDescent="0.3">
      <c r="A374" s="148"/>
      <c r="B374" s="6"/>
      <c r="C374" s="6"/>
      <c r="D374" s="82"/>
      <c r="E374" s="6"/>
      <c r="F374" s="6"/>
      <c r="G374" s="6"/>
      <c r="H374" s="82"/>
      <c r="I374" s="6"/>
      <c r="J374" s="6"/>
      <c r="K374" s="1"/>
      <c r="L374" s="1"/>
      <c r="M374" s="1"/>
      <c r="N374" s="1"/>
      <c r="O374" s="1"/>
      <c r="P374" s="1"/>
      <c r="Q374" s="1"/>
      <c r="R374" s="1"/>
      <c r="S374" s="1"/>
      <c r="T374" s="1"/>
      <c r="U374" s="1"/>
      <c r="V374" s="1"/>
      <c r="W374" s="1"/>
      <c r="X374" s="1"/>
      <c r="Y374" s="1"/>
      <c r="Z374" s="1"/>
    </row>
    <row r="375" spans="1:26" ht="15.75" customHeight="1" x14ac:dyDescent="0.3">
      <c r="A375" s="148"/>
      <c r="B375" s="6"/>
      <c r="C375" s="6"/>
      <c r="D375" s="82"/>
      <c r="E375" s="6"/>
      <c r="F375" s="6"/>
      <c r="G375" s="6"/>
      <c r="H375" s="82"/>
      <c r="I375" s="6"/>
      <c r="J375" s="6"/>
      <c r="K375" s="1"/>
      <c r="L375" s="1"/>
      <c r="M375" s="1"/>
      <c r="N375" s="1"/>
      <c r="O375" s="1"/>
      <c r="P375" s="1"/>
      <c r="Q375" s="1"/>
      <c r="R375" s="1"/>
      <c r="S375" s="1"/>
      <c r="T375" s="1"/>
      <c r="U375" s="1"/>
      <c r="V375" s="1"/>
      <c r="W375" s="1"/>
      <c r="X375" s="1"/>
      <c r="Y375" s="1"/>
      <c r="Z375" s="1"/>
    </row>
    <row r="376" spans="1:26" ht="15.75" customHeight="1" x14ac:dyDescent="0.3">
      <c r="A376" s="148"/>
      <c r="B376" s="6"/>
      <c r="C376" s="6"/>
      <c r="D376" s="82"/>
      <c r="E376" s="6"/>
      <c r="F376" s="6"/>
      <c r="G376" s="6"/>
      <c r="H376" s="82"/>
      <c r="I376" s="6"/>
      <c r="J376" s="6"/>
      <c r="K376" s="1"/>
      <c r="L376" s="1"/>
      <c r="M376" s="1"/>
      <c r="N376" s="1"/>
      <c r="O376" s="1"/>
      <c r="P376" s="1"/>
      <c r="Q376" s="1"/>
      <c r="R376" s="1"/>
      <c r="S376" s="1"/>
      <c r="T376" s="1"/>
      <c r="U376" s="1"/>
      <c r="V376" s="1"/>
      <c r="W376" s="1"/>
      <c r="X376" s="1"/>
      <c r="Y376" s="1"/>
      <c r="Z376" s="1"/>
    </row>
    <row r="377" spans="1:26" ht="15.75" customHeight="1" x14ac:dyDescent="0.3">
      <c r="A377" s="148"/>
      <c r="B377" s="6"/>
      <c r="C377" s="6"/>
      <c r="D377" s="82"/>
      <c r="E377" s="6"/>
      <c r="F377" s="6"/>
      <c r="G377" s="6"/>
      <c r="H377" s="82"/>
      <c r="I377" s="6"/>
      <c r="J377" s="6"/>
      <c r="K377" s="1"/>
      <c r="L377" s="1"/>
      <c r="M377" s="1"/>
      <c r="N377" s="1"/>
      <c r="O377" s="1"/>
      <c r="P377" s="1"/>
      <c r="Q377" s="1"/>
      <c r="R377" s="1"/>
      <c r="S377" s="1"/>
      <c r="T377" s="1"/>
      <c r="U377" s="1"/>
      <c r="V377" s="1"/>
      <c r="W377" s="1"/>
      <c r="X377" s="1"/>
      <c r="Y377" s="1"/>
      <c r="Z377" s="1"/>
    </row>
    <row r="378" spans="1:26" ht="15.75" customHeight="1" x14ac:dyDescent="0.3">
      <c r="A378" s="148"/>
      <c r="B378" s="6"/>
      <c r="C378" s="6"/>
      <c r="D378" s="82"/>
      <c r="E378" s="6"/>
      <c r="F378" s="6"/>
      <c r="G378" s="6"/>
      <c r="H378" s="82"/>
      <c r="I378" s="6"/>
      <c r="J378" s="6"/>
      <c r="K378" s="1"/>
      <c r="L378" s="1"/>
      <c r="M378" s="1"/>
      <c r="N378" s="1"/>
      <c r="O378" s="1"/>
      <c r="P378" s="1"/>
      <c r="Q378" s="1"/>
      <c r="R378" s="1"/>
      <c r="S378" s="1"/>
      <c r="T378" s="1"/>
      <c r="U378" s="1"/>
      <c r="V378" s="1"/>
      <c r="W378" s="1"/>
      <c r="X378" s="1"/>
      <c r="Y378" s="1"/>
      <c r="Z378" s="1"/>
    </row>
    <row r="379" spans="1:26" ht="15.75" customHeight="1" x14ac:dyDescent="0.3">
      <c r="A379" s="148"/>
      <c r="B379" s="6"/>
      <c r="C379" s="6"/>
      <c r="D379" s="82"/>
      <c r="E379" s="6"/>
      <c r="F379" s="6"/>
      <c r="G379" s="6"/>
      <c r="H379" s="82"/>
      <c r="I379" s="6"/>
      <c r="J379" s="6"/>
      <c r="K379" s="1"/>
      <c r="L379" s="1"/>
      <c r="M379" s="1"/>
      <c r="N379" s="1"/>
      <c r="O379" s="1"/>
      <c r="P379" s="1"/>
      <c r="Q379" s="1"/>
      <c r="R379" s="1"/>
      <c r="S379" s="1"/>
      <c r="T379" s="1"/>
      <c r="U379" s="1"/>
      <c r="V379" s="1"/>
      <c r="W379" s="1"/>
      <c r="X379" s="1"/>
      <c r="Y379" s="1"/>
      <c r="Z379" s="1"/>
    </row>
    <row r="380" spans="1:26" ht="15.75" customHeight="1" x14ac:dyDescent="0.3">
      <c r="A380" s="148"/>
      <c r="B380" s="6"/>
      <c r="C380" s="6"/>
      <c r="D380" s="82"/>
      <c r="E380" s="6"/>
      <c r="F380" s="6"/>
      <c r="G380" s="6"/>
      <c r="H380" s="82"/>
      <c r="I380" s="6"/>
      <c r="J380" s="6"/>
      <c r="K380" s="1"/>
      <c r="L380" s="1"/>
      <c r="M380" s="1"/>
      <c r="N380" s="1"/>
      <c r="O380" s="1"/>
      <c r="P380" s="1"/>
      <c r="Q380" s="1"/>
      <c r="R380" s="1"/>
      <c r="S380" s="1"/>
      <c r="T380" s="1"/>
      <c r="U380" s="1"/>
      <c r="V380" s="1"/>
      <c r="W380" s="1"/>
      <c r="X380" s="1"/>
      <c r="Y380" s="1"/>
      <c r="Z380" s="1"/>
    </row>
    <row r="381" spans="1:26" ht="15.75" customHeight="1" x14ac:dyDescent="0.3">
      <c r="A381" s="148"/>
      <c r="B381" s="6"/>
      <c r="C381" s="6"/>
      <c r="D381" s="82"/>
      <c r="E381" s="6"/>
      <c r="F381" s="6"/>
      <c r="G381" s="6"/>
      <c r="H381" s="82"/>
      <c r="I381" s="6"/>
      <c r="J381" s="6"/>
      <c r="K381" s="1"/>
      <c r="L381" s="1"/>
      <c r="M381" s="1"/>
      <c r="N381" s="1"/>
      <c r="O381" s="1"/>
      <c r="P381" s="1"/>
      <c r="Q381" s="1"/>
      <c r="R381" s="1"/>
      <c r="S381" s="1"/>
      <c r="T381" s="1"/>
      <c r="U381" s="1"/>
      <c r="V381" s="1"/>
      <c r="W381" s="1"/>
      <c r="X381" s="1"/>
      <c r="Y381" s="1"/>
      <c r="Z381" s="1"/>
    </row>
    <row r="382" spans="1:26" ht="15.75" customHeight="1" x14ac:dyDescent="0.3">
      <c r="A382" s="148"/>
      <c r="B382" s="6"/>
      <c r="C382" s="6"/>
      <c r="D382" s="82"/>
      <c r="E382" s="6"/>
      <c r="F382" s="6"/>
      <c r="G382" s="6"/>
      <c r="H382" s="82"/>
      <c r="I382" s="6"/>
      <c r="J382" s="6"/>
      <c r="K382" s="1"/>
      <c r="L382" s="1"/>
      <c r="M382" s="1"/>
      <c r="N382" s="1"/>
      <c r="O382" s="1"/>
      <c r="P382" s="1"/>
      <c r="Q382" s="1"/>
      <c r="R382" s="1"/>
      <c r="S382" s="1"/>
      <c r="T382" s="1"/>
      <c r="U382" s="1"/>
      <c r="V382" s="1"/>
      <c r="W382" s="1"/>
      <c r="X382" s="1"/>
      <c r="Y382" s="1"/>
      <c r="Z382" s="1"/>
    </row>
    <row r="383" spans="1:26" ht="15.75" customHeight="1" x14ac:dyDescent="0.3">
      <c r="A383" s="148"/>
      <c r="B383" s="6"/>
      <c r="C383" s="6"/>
      <c r="D383" s="82"/>
      <c r="E383" s="6"/>
      <c r="F383" s="6"/>
      <c r="G383" s="6"/>
      <c r="H383" s="82"/>
      <c r="I383" s="6"/>
      <c r="J383" s="6"/>
      <c r="K383" s="1"/>
      <c r="L383" s="1"/>
      <c r="M383" s="1"/>
      <c r="N383" s="1"/>
      <c r="O383" s="1"/>
      <c r="P383" s="1"/>
      <c r="Q383" s="1"/>
      <c r="R383" s="1"/>
      <c r="S383" s="1"/>
      <c r="T383" s="1"/>
      <c r="U383" s="1"/>
      <c r="V383" s="1"/>
      <c r="W383" s="1"/>
      <c r="X383" s="1"/>
      <c r="Y383" s="1"/>
      <c r="Z383" s="1"/>
    </row>
    <row r="384" spans="1:26" ht="15.75" customHeight="1" x14ac:dyDescent="0.3">
      <c r="A384" s="148"/>
      <c r="B384" s="6"/>
      <c r="C384" s="6"/>
      <c r="D384" s="82"/>
      <c r="E384" s="6"/>
      <c r="F384" s="6"/>
      <c r="G384" s="6"/>
      <c r="H384" s="82"/>
      <c r="I384" s="6"/>
      <c r="J384" s="6"/>
      <c r="K384" s="1"/>
      <c r="L384" s="1"/>
      <c r="M384" s="1"/>
      <c r="N384" s="1"/>
      <c r="O384" s="1"/>
      <c r="P384" s="1"/>
      <c r="Q384" s="1"/>
      <c r="R384" s="1"/>
      <c r="S384" s="1"/>
      <c r="T384" s="1"/>
      <c r="U384" s="1"/>
      <c r="V384" s="1"/>
      <c r="W384" s="1"/>
      <c r="X384" s="1"/>
      <c r="Y384" s="1"/>
      <c r="Z384" s="1"/>
    </row>
    <row r="385" spans="1:26" ht="15.75" customHeight="1" x14ac:dyDescent="0.3">
      <c r="A385" s="148"/>
      <c r="B385" s="6"/>
      <c r="C385" s="6"/>
      <c r="D385" s="82"/>
      <c r="E385" s="6"/>
      <c r="F385" s="6"/>
      <c r="G385" s="6"/>
      <c r="H385" s="82"/>
      <c r="I385" s="6"/>
      <c r="J385" s="6"/>
      <c r="K385" s="1"/>
      <c r="L385" s="1"/>
      <c r="M385" s="1"/>
      <c r="N385" s="1"/>
      <c r="O385" s="1"/>
      <c r="P385" s="1"/>
      <c r="Q385" s="1"/>
      <c r="R385" s="1"/>
      <c r="S385" s="1"/>
      <c r="T385" s="1"/>
      <c r="U385" s="1"/>
      <c r="V385" s="1"/>
      <c r="W385" s="1"/>
      <c r="X385" s="1"/>
      <c r="Y385" s="1"/>
      <c r="Z385" s="1"/>
    </row>
    <row r="386" spans="1:26" ht="15.75" customHeight="1" x14ac:dyDescent="0.3">
      <c r="A386" s="148"/>
      <c r="B386" s="6"/>
      <c r="C386" s="6"/>
      <c r="D386" s="82"/>
      <c r="E386" s="6"/>
      <c r="F386" s="6"/>
      <c r="G386" s="6"/>
      <c r="H386" s="82"/>
      <c r="I386" s="6"/>
      <c r="J386" s="6"/>
      <c r="K386" s="1"/>
      <c r="L386" s="1"/>
      <c r="M386" s="1"/>
      <c r="N386" s="1"/>
      <c r="O386" s="1"/>
      <c r="P386" s="1"/>
      <c r="Q386" s="1"/>
      <c r="R386" s="1"/>
      <c r="S386" s="1"/>
      <c r="T386" s="1"/>
      <c r="U386" s="1"/>
      <c r="V386" s="1"/>
      <c r="W386" s="1"/>
      <c r="X386" s="1"/>
      <c r="Y386" s="1"/>
      <c r="Z386" s="1"/>
    </row>
    <row r="387" spans="1:26" ht="15.75" customHeight="1" x14ac:dyDescent="0.3">
      <c r="A387" s="148"/>
      <c r="B387" s="6"/>
      <c r="C387" s="6"/>
      <c r="D387" s="82"/>
      <c r="E387" s="6"/>
      <c r="F387" s="6"/>
      <c r="G387" s="6"/>
      <c r="H387" s="82"/>
      <c r="I387" s="6"/>
      <c r="J387" s="6"/>
      <c r="K387" s="1"/>
      <c r="L387" s="1"/>
      <c r="M387" s="1"/>
      <c r="N387" s="1"/>
      <c r="O387" s="1"/>
      <c r="P387" s="1"/>
      <c r="Q387" s="1"/>
      <c r="R387" s="1"/>
      <c r="S387" s="1"/>
      <c r="T387" s="1"/>
      <c r="U387" s="1"/>
      <c r="V387" s="1"/>
      <c r="W387" s="1"/>
      <c r="X387" s="1"/>
      <c r="Y387" s="1"/>
      <c r="Z387" s="1"/>
    </row>
    <row r="388" spans="1:26" ht="15.75" customHeight="1" x14ac:dyDescent="0.3">
      <c r="A388" s="148"/>
      <c r="B388" s="6"/>
      <c r="C388" s="6"/>
      <c r="D388" s="82"/>
      <c r="E388" s="6"/>
      <c r="F388" s="6"/>
      <c r="G388" s="6"/>
      <c r="H388" s="82"/>
      <c r="I388" s="6"/>
      <c r="J388" s="6"/>
      <c r="K388" s="1"/>
      <c r="L388" s="1"/>
      <c r="M388" s="1"/>
      <c r="N388" s="1"/>
      <c r="O388" s="1"/>
      <c r="P388" s="1"/>
      <c r="Q388" s="1"/>
      <c r="R388" s="1"/>
      <c r="S388" s="1"/>
      <c r="T388" s="1"/>
      <c r="U388" s="1"/>
      <c r="V388" s="1"/>
      <c r="W388" s="1"/>
      <c r="X388" s="1"/>
      <c r="Y388" s="1"/>
      <c r="Z388" s="1"/>
    </row>
    <row r="389" spans="1:26" ht="15.75" customHeight="1" x14ac:dyDescent="0.3">
      <c r="A389" s="148"/>
      <c r="B389" s="6"/>
      <c r="C389" s="6"/>
      <c r="D389" s="82"/>
      <c r="E389" s="6"/>
      <c r="F389" s="6"/>
      <c r="G389" s="6"/>
      <c r="H389" s="82"/>
      <c r="I389" s="6"/>
      <c r="J389" s="6"/>
      <c r="K389" s="1"/>
      <c r="L389" s="1"/>
      <c r="M389" s="1"/>
      <c r="N389" s="1"/>
      <c r="O389" s="1"/>
      <c r="P389" s="1"/>
      <c r="Q389" s="1"/>
      <c r="R389" s="1"/>
      <c r="S389" s="1"/>
      <c r="T389" s="1"/>
      <c r="U389" s="1"/>
      <c r="V389" s="1"/>
      <c r="W389" s="1"/>
      <c r="X389" s="1"/>
      <c r="Y389" s="1"/>
      <c r="Z389" s="1"/>
    </row>
    <row r="390" spans="1:26" ht="15.75" customHeight="1" x14ac:dyDescent="0.3">
      <c r="A390" s="148"/>
      <c r="B390" s="6"/>
      <c r="C390" s="6"/>
      <c r="D390" s="82"/>
      <c r="E390" s="6"/>
      <c r="F390" s="6"/>
      <c r="G390" s="6"/>
      <c r="H390" s="82"/>
      <c r="I390" s="6"/>
      <c r="J390" s="6"/>
      <c r="K390" s="1"/>
      <c r="L390" s="1"/>
      <c r="M390" s="1"/>
      <c r="N390" s="1"/>
      <c r="O390" s="1"/>
      <c r="P390" s="1"/>
      <c r="Q390" s="1"/>
      <c r="R390" s="1"/>
      <c r="S390" s="1"/>
      <c r="T390" s="1"/>
      <c r="U390" s="1"/>
      <c r="V390" s="1"/>
      <c r="W390" s="1"/>
      <c r="X390" s="1"/>
      <c r="Y390" s="1"/>
      <c r="Z390" s="1"/>
    </row>
    <row r="391" spans="1:26" ht="15.75" customHeight="1" x14ac:dyDescent="0.3">
      <c r="A391" s="148"/>
      <c r="B391" s="6"/>
      <c r="C391" s="6"/>
      <c r="D391" s="82"/>
      <c r="E391" s="6"/>
      <c r="F391" s="6"/>
      <c r="G391" s="6"/>
      <c r="H391" s="82"/>
      <c r="I391" s="6"/>
      <c r="J391" s="6"/>
      <c r="K391" s="1"/>
      <c r="L391" s="1"/>
      <c r="M391" s="1"/>
      <c r="N391" s="1"/>
      <c r="O391" s="1"/>
      <c r="P391" s="1"/>
      <c r="Q391" s="1"/>
      <c r="R391" s="1"/>
      <c r="S391" s="1"/>
      <c r="T391" s="1"/>
      <c r="U391" s="1"/>
      <c r="V391" s="1"/>
      <c r="W391" s="1"/>
      <c r="X391" s="1"/>
      <c r="Y391" s="1"/>
      <c r="Z391" s="1"/>
    </row>
    <row r="392" spans="1:26" ht="15.75" customHeight="1" x14ac:dyDescent="0.3">
      <c r="A392" s="148"/>
      <c r="B392" s="6"/>
      <c r="C392" s="6"/>
      <c r="D392" s="82"/>
      <c r="E392" s="6"/>
      <c r="F392" s="6"/>
      <c r="G392" s="6"/>
      <c r="H392" s="82"/>
      <c r="I392" s="6"/>
      <c r="J392" s="6"/>
      <c r="K392" s="1"/>
      <c r="L392" s="1"/>
      <c r="M392" s="1"/>
      <c r="N392" s="1"/>
      <c r="O392" s="1"/>
      <c r="P392" s="1"/>
      <c r="Q392" s="1"/>
      <c r="R392" s="1"/>
      <c r="S392" s="1"/>
      <c r="T392" s="1"/>
      <c r="U392" s="1"/>
      <c r="V392" s="1"/>
      <c r="W392" s="1"/>
      <c r="X392" s="1"/>
      <c r="Y392" s="1"/>
      <c r="Z392" s="1"/>
    </row>
    <row r="393" spans="1:26" ht="15.75" customHeight="1" x14ac:dyDescent="0.3">
      <c r="A393" s="148"/>
      <c r="B393" s="6"/>
      <c r="C393" s="6"/>
      <c r="D393" s="82"/>
      <c r="E393" s="6"/>
      <c r="F393" s="6"/>
      <c r="G393" s="6"/>
      <c r="H393" s="82"/>
      <c r="I393" s="6"/>
      <c r="J393" s="6"/>
      <c r="K393" s="1"/>
      <c r="L393" s="1"/>
      <c r="M393" s="1"/>
      <c r="N393" s="1"/>
      <c r="O393" s="1"/>
      <c r="P393" s="1"/>
      <c r="Q393" s="1"/>
      <c r="R393" s="1"/>
      <c r="S393" s="1"/>
      <c r="T393" s="1"/>
      <c r="U393" s="1"/>
      <c r="V393" s="1"/>
      <c r="W393" s="1"/>
      <c r="X393" s="1"/>
      <c r="Y393" s="1"/>
      <c r="Z393" s="1"/>
    </row>
    <row r="394" spans="1:26" ht="15.75" customHeight="1" x14ac:dyDescent="0.3">
      <c r="A394" s="148"/>
      <c r="B394" s="6"/>
      <c r="C394" s="6"/>
      <c r="D394" s="82"/>
      <c r="E394" s="6"/>
      <c r="F394" s="6"/>
      <c r="G394" s="6"/>
      <c r="H394" s="82"/>
      <c r="I394" s="6"/>
      <c r="J394" s="6"/>
      <c r="K394" s="1"/>
      <c r="L394" s="1"/>
      <c r="M394" s="1"/>
      <c r="N394" s="1"/>
      <c r="O394" s="1"/>
      <c r="P394" s="1"/>
      <c r="Q394" s="1"/>
      <c r="R394" s="1"/>
      <c r="S394" s="1"/>
      <c r="T394" s="1"/>
      <c r="U394" s="1"/>
      <c r="V394" s="1"/>
      <c r="W394" s="1"/>
      <c r="X394" s="1"/>
      <c r="Y394" s="1"/>
      <c r="Z394" s="1"/>
    </row>
    <row r="395" spans="1:26" ht="15.75" customHeight="1" x14ac:dyDescent="0.3">
      <c r="A395" s="148"/>
      <c r="B395" s="6"/>
      <c r="C395" s="6"/>
      <c r="D395" s="82"/>
      <c r="E395" s="6"/>
      <c r="F395" s="6"/>
      <c r="G395" s="6"/>
      <c r="H395" s="82"/>
      <c r="I395" s="6"/>
      <c r="J395" s="6"/>
      <c r="K395" s="1"/>
      <c r="L395" s="1"/>
      <c r="M395" s="1"/>
      <c r="N395" s="1"/>
      <c r="O395" s="1"/>
      <c r="P395" s="1"/>
      <c r="Q395" s="1"/>
      <c r="R395" s="1"/>
      <c r="S395" s="1"/>
      <c r="T395" s="1"/>
      <c r="U395" s="1"/>
      <c r="V395" s="1"/>
      <c r="W395" s="1"/>
      <c r="X395" s="1"/>
      <c r="Y395" s="1"/>
      <c r="Z395" s="1"/>
    </row>
    <row r="396" spans="1:26" ht="15.75" customHeight="1" x14ac:dyDescent="0.3">
      <c r="A396" s="148"/>
      <c r="B396" s="6"/>
      <c r="C396" s="6"/>
      <c r="D396" s="82"/>
      <c r="E396" s="6"/>
      <c r="F396" s="6"/>
      <c r="G396" s="6"/>
      <c r="H396" s="82"/>
      <c r="I396" s="6"/>
      <c r="J396" s="6"/>
      <c r="K396" s="1"/>
      <c r="L396" s="1"/>
      <c r="M396" s="1"/>
      <c r="N396" s="1"/>
      <c r="O396" s="1"/>
      <c r="P396" s="1"/>
      <c r="Q396" s="1"/>
      <c r="R396" s="1"/>
      <c r="S396" s="1"/>
      <c r="T396" s="1"/>
      <c r="U396" s="1"/>
      <c r="V396" s="1"/>
      <c r="W396" s="1"/>
      <c r="X396" s="1"/>
      <c r="Y396" s="1"/>
      <c r="Z396" s="1"/>
    </row>
    <row r="397" spans="1:26" ht="15.75" customHeight="1" x14ac:dyDescent="0.3">
      <c r="A397" s="148"/>
      <c r="B397" s="6"/>
      <c r="C397" s="6"/>
      <c r="D397" s="82"/>
      <c r="E397" s="6"/>
      <c r="F397" s="6"/>
      <c r="G397" s="6"/>
      <c r="H397" s="82"/>
      <c r="I397" s="6"/>
      <c r="J397" s="6"/>
      <c r="K397" s="1"/>
      <c r="L397" s="1"/>
      <c r="M397" s="1"/>
      <c r="N397" s="1"/>
      <c r="O397" s="1"/>
      <c r="P397" s="1"/>
      <c r="Q397" s="1"/>
      <c r="R397" s="1"/>
      <c r="S397" s="1"/>
      <c r="T397" s="1"/>
      <c r="U397" s="1"/>
      <c r="V397" s="1"/>
      <c r="W397" s="1"/>
      <c r="X397" s="1"/>
      <c r="Y397" s="1"/>
      <c r="Z397" s="1"/>
    </row>
    <row r="398" spans="1:26" ht="15.75" customHeight="1" x14ac:dyDescent="0.3">
      <c r="A398" s="148"/>
      <c r="B398" s="6"/>
      <c r="C398" s="6"/>
      <c r="D398" s="82"/>
      <c r="E398" s="6"/>
      <c r="F398" s="6"/>
      <c r="G398" s="6"/>
      <c r="H398" s="82"/>
      <c r="I398" s="6"/>
      <c r="J398" s="6"/>
      <c r="K398" s="1"/>
      <c r="L398" s="1"/>
      <c r="M398" s="1"/>
      <c r="N398" s="1"/>
      <c r="O398" s="1"/>
      <c r="P398" s="1"/>
      <c r="Q398" s="1"/>
      <c r="R398" s="1"/>
      <c r="S398" s="1"/>
      <c r="T398" s="1"/>
      <c r="U398" s="1"/>
      <c r="V398" s="1"/>
      <c r="W398" s="1"/>
      <c r="X398" s="1"/>
      <c r="Y398" s="1"/>
      <c r="Z398" s="1"/>
    </row>
    <row r="399" spans="1:26" ht="15.75" customHeight="1" x14ac:dyDescent="0.3">
      <c r="A399" s="148"/>
      <c r="B399" s="6"/>
      <c r="C399" s="6"/>
      <c r="D399" s="82"/>
      <c r="E399" s="6"/>
      <c r="F399" s="6"/>
      <c r="G399" s="6"/>
      <c r="H399" s="82"/>
      <c r="I399" s="6"/>
      <c r="J399" s="6"/>
      <c r="K399" s="1"/>
      <c r="L399" s="1"/>
      <c r="M399" s="1"/>
      <c r="N399" s="1"/>
      <c r="O399" s="1"/>
      <c r="P399" s="1"/>
      <c r="Q399" s="1"/>
      <c r="R399" s="1"/>
      <c r="S399" s="1"/>
      <c r="T399" s="1"/>
      <c r="U399" s="1"/>
      <c r="V399" s="1"/>
      <c r="W399" s="1"/>
      <c r="X399" s="1"/>
      <c r="Y399" s="1"/>
      <c r="Z399" s="1"/>
    </row>
    <row r="400" spans="1:26" ht="15.75" customHeight="1" x14ac:dyDescent="0.3">
      <c r="A400" s="148"/>
      <c r="B400" s="6"/>
      <c r="C400" s="6"/>
      <c r="D400" s="82"/>
      <c r="E400" s="6"/>
      <c r="F400" s="6"/>
      <c r="G400" s="6"/>
      <c r="H400" s="82"/>
      <c r="I400" s="6"/>
      <c r="J400" s="6"/>
      <c r="K400" s="1"/>
      <c r="L400" s="1"/>
      <c r="M400" s="1"/>
      <c r="N400" s="1"/>
      <c r="O400" s="1"/>
      <c r="P400" s="1"/>
      <c r="Q400" s="1"/>
      <c r="R400" s="1"/>
      <c r="S400" s="1"/>
      <c r="T400" s="1"/>
      <c r="U400" s="1"/>
      <c r="V400" s="1"/>
      <c r="W400" s="1"/>
      <c r="X400" s="1"/>
      <c r="Y400" s="1"/>
      <c r="Z400" s="1"/>
    </row>
    <row r="401" spans="1:26" ht="15.75" customHeight="1" x14ac:dyDescent="0.3">
      <c r="A401" s="148"/>
      <c r="B401" s="6"/>
      <c r="C401" s="6"/>
      <c r="D401" s="82"/>
      <c r="E401" s="6"/>
      <c r="F401" s="6"/>
      <c r="G401" s="6"/>
      <c r="H401" s="82"/>
      <c r="I401" s="6"/>
      <c r="J401" s="6"/>
      <c r="K401" s="1"/>
      <c r="L401" s="1"/>
      <c r="M401" s="1"/>
      <c r="N401" s="1"/>
      <c r="O401" s="1"/>
      <c r="P401" s="1"/>
      <c r="Q401" s="1"/>
      <c r="R401" s="1"/>
      <c r="S401" s="1"/>
      <c r="T401" s="1"/>
      <c r="U401" s="1"/>
      <c r="V401" s="1"/>
      <c r="W401" s="1"/>
      <c r="X401" s="1"/>
      <c r="Y401" s="1"/>
      <c r="Z401" s="1"/>
    </row>
    <row r="402" spans="1:26" ht="15.75" customHeight="1" x14ac:dyDescent="0.3">
      <c r="A402" s="148"/>
      <c r="B402" s="6"/>
      <c r="C402" s="6"/>
      <c r="D402" s="82"/>
      <c r="E402" s="6"/>
      <c r="F402" s="6"/>
      <c r="G402" s="6"/>
      <c r="H402" s="82"/>
      <c r="I402" s="6"/>
      <c r="J402" s="6"/>
      <c r="K402" s="1"/>
      <c r="L402" s="1"/>
      <c r="M402" s="1"/>
      <c r="N402" s="1"/>
      <c r="O402" s="1"/>
      <c r="P402" s="1"/>
      <c r="Q402" s="1"/>
      <c r="R402" s="1"/>
      <c r="S402" s="1"/>
      <c r="T402" s="1"/>
      <c r="U402" s="1"/>
      <c r="V402" s="1"/>
      <c r="W402" s="1"/>
      <c r="X402" s="1"/>
      <c r="Y402" s="1"/>
      <c r="Z402" s="1"/>
    </row>
    <row r="403" spans="1:26" ht="15.75" customHeight="1" x14ac:dyDescent="0.3">
      <c r="A403" s="148"/>
      <c r="B403" s="6"/>
      <c r="C403" s="6"/>
      <c r="D403" s="82"/>
      <c r="E403" s="6"/>
      <c r="F403" s="6"/>
      <c r="G403" s="6"/>
      <c r="H403" s="82"/>
      <c r="I403" s="6"/>
      <c r="J403" s="6"/>
      <c r="K403" s="1"/>
      <c r="L403" s="1"/>
      <c r="M403" s="1"/>
      <c r="N403" s="1"/>
      <c r="O403" s="1"/>
      <c r="P403" s="1"/>
      <c r="Q403" s="1"/>
      <c r="R403" s="1"/>
      <c r="S403" s="1"/>
      <c r="T403" s="1"/>
      <c r="U403" s="1"/>
      <c r="V403" s="1"/>
      <c r="W403" s="1"/>
      <c r="X403" s="1"/>
      <c r="Y403" s="1"/>
      <c r="Z403" s="1"/>
    </row>
    <row r="404" spans="1:26" ht="15.75" customHeight="1" x14ac:dyDescent="0.3">
      <c r="A404" s="148"/>
      <c r="B404" s="6"/>
      <c r="C404" s="6"/>
      <c r="D404" s="82"/>
      <c r="E404" s="6"/>
      <c r="F404" s="6"/>
      <c r="G404" s="6"/>
      <c r="H404" s="82"/>
      <c r="I404" s="6"/>
      <c r="J404" s="6"/>
      <c r="K404" s="1"/>
      <c r="L404" s="1"/>
      <c r="M404" s="1"/>
      <c r="N404" s="1"/>
      <c r="O404" s="1"/>
      <c r="P404" s="1"/>
      <c r="Q404" s="1"/>
      <c r="R404" s="1"/>
      <c r="S404" s="1"/>
      <c r="T404" s="1"/>
      <c r="U404" s="1"/>
      <c r="V404" s="1"/>
      <c r="W404" s="1"/>
      <c r="X404" s="1"/>
      <c r="Y404" s="1"/>
      <c r="Z404" s="1"/>
    </row>
    <row r="405" spans="1:26" ht="15.75" customHeight="1" x14ac:dyDescent="0.3">
      <c r="A405" s="148"/>
      <c r="B405" s="6"/>
      <c r="C405" s="6"/>
      <c r="D405" s="82"/>
      <c r="E405" s="6"/>
      <c r="F405" s="6"/>
      <c r="G405" s="6"/>
      <c r="H405" s="82"/>
      <c r="I405" s="6"/>
      <c r="J405" s="6"/>
      <c r="K405" s="1"/>
      <c r="L405" s="1"/>
      <c r="M405" s="1"/>
      <c r="N405" s="1"/>
      <c r="O405" s="1"/>
      <c r="P405" s="1"/>
      <c r="Q405" s="1"/>
      <c r="R405" s="1"/>
      <c r="S405" s="1"/>
      <c r="T405" s="1"/>
      <c r="U405" s="1"/>
      <c r="V405" s="1"/>
      <c r="W405" s="1"/>
      <c r="X405" s="1"/>
      <c r="Y405" s="1"/>
      <c r="Z405" s="1"/>
    </row>
    <row r="406" spans="1:26" ht="15.75" customHeight="1" x14ac:dyDescent="0.3">
      <c r="A406" s="148"/>
      <c r="B406" s="6"/>
      <c r="C406" s="6"/>
      <c r="D406" s="82"/>
      <c r="E406" s="6"/>
      <c r="F406" s="6"/>
      <c r="G406" s="6"/>
      <c r="H406" s="82"/>
      <c r="I406" s="6"/>
      <c r="J406" s="6"/>
      <c r="K406" s="1"/>
      <c r="L406" s="1"/>
      <c r="M406" s="1"/>
      <c r="N406" s="1"/>
      <c r="O406" s="1"/>
      <c r="P406" s="1"/>
      <c r="Q406" s="1"/>
      <c r="R406" s="1"/>
      <c r="S406" s="1"/>
      <c r="T406" s="1"/>
      <c r="U406" s="1"/>
      <c r="V406" s="1"/>
      <c r="W406" s="1"/>
      <c r="X406" s="1"/>
      <c r="Y406" s="1"/>
      <c r="Z406" s="1"/>
    </row>
    <row r="407" spans="1:26" ht="15.75" customHeight="1" x14ac:dyDescent="0.3">
      <c r="A407" s="148"/>
      <c r="B407" s="6"/>
      <c r="C407" s="6"/>
      <c r="D407" s="82"/>
      <c r="E407" s="6"/>
      <c r="F407" s="6"/>
      <c r="G407" s="6"/>
      <c r="H407" s="82"/>
      <c r="I407" s="6"/>
      <c r="J407" s="6"/>
      <c r="K407" s="1"/>
      <c r="L407" s="1"/>
      <c r="M407" s="1"/>
      <c r="N407" s="1"/>
      <c r="O407" s="1"/>
      <c r="P407" s="1"/>
      <c r="Q407" s="1"/>
      <c r="R407" s="1"/>
      <c r="S407" s="1"/>
      <c r="T407" s="1"/>
      <c r="U407" s="1"/>
      <c r="V407" s="1"/>
      <c r="W407" s="1"/>
      <c r="X407" s="1"/>
      <c r="Y407" s="1"/>
      <c r="Z407" s="1"/>
    </row>
    <row r="408" spans="1:26" ht="15.75" customHeight="1" x14ac:dyDescent="0.3">
      <c r="A408" s="148"/>
      <c r="B408" s="6"/>
      <c r="C408" s="6"/>
      <c r="D408" s="82"/>
      <c r="E408" s="6"/>
      <c r="F408" s="6"/>
      <c r="G408" s="6"/>
      <c r="H408" s="82"/>
      <c r="I408" s="6"/>
      <c r="J408" s="6"/>
      <c r="K408" s="1"/>
      <c r="L408" s="1"/>
      <c r="M408" s="1"/>
      <c r="N408" s="1"/>
      <c r="O408" s="1"/>
      <c r="P408" s="1"/>
      <c r="Q408" s="1"/>
      <c r="R408" s="1"/>
      <c r="S408" s="1"/>
      <c r="T408" s="1"/>
      <c r="U408" s="1"/>
      <c r="V408" s="1"/>
      <c r="W408" s="1"/>
      <c r="X408" s="1"/>
      <c r="Y408" s="1"/>
      <c r="Z408" s="1"/>
    </row>
    <row r="409" spans="1:26" ht="15.75" customHeight="1" x14ac:dyDescent="0.3">
      <c r="A409" s="148"/>
      <c r="B409" s="6"/>
      <c r="C409" s="6"/>
      <c r="D409" s="82"/>
      <c r="E409" s="6"/>
      <c r="F409" s="6"/>
      <c r="G409" s="6"/>
      <c r="H409" s="82"/>
      <c r="I409" s="6"/>
      <c r="J409" s="6"/>
      <c r="K409" s="1"/>
      <c r="L409" s="1"/>
      <c r="M409" s="1"/>
      <c r="N409" s="1"/>
      <c r="O409" s="1"/>
      <c r="P409" s="1"/>
      <c r="Q409" s="1"/>
      <c r="R409" s="1"/>
      <c r="S409" s="1"/>
      <c r="T409" s="1"/>
      <c r="U409" s="1"/>
      <c r="V409" s="1"/>
      <c r="W409" s="1"/>
      <c r="X409" s="1"/>
      <c r="Y409" s="1"/>
      <c r="Z409" s="1"/>
    </row>
    <row r="410" spans="1:26" ht="15.75" customHeight="1" x14ac:dyDescent="0.3">
      <c r="A410" s="148"/>
      <c r="B410" s="6"/>
      <c r="C410" s="6"/>
      <c r="D410" s="82"/>
      <c r="E410" s="6"/>
      <c r="F410" s="6"/>
      <c r="G410" s="6"/>
      <c r="H410" s="82"/>
      <c r="I410" s="6"/>
      <c r="J410" s="6"/>
      <c r="K410" s="1"/>
      <c r="L410" s="1"/>
      <c r="M410" s="1"/>
      <c r="N410" s="1"/>
      <c r="O410" s="1"/>
      <c r="P410" s="1"/>
      <c r="Q410" s="1"/>
      <c r="R410" s="1"/>
      <c r="S410" s="1"/>
      <c r="T410" s="1"/>
      <c r="U410" s="1"/>
      <c r="V410" s="1"/>
      <c r="W410" s="1"/>
      <c r="X410" s="1"/>
      <c r="Y410" s="1"/>
      <c r="Z410" s="1"/>
    </row>
    <row r="411" spans="1:26" ht="15.75" customHeight="1" x14ac:dyDescent="0.3">
      <c r="A411" s="148"/>
      <c r="B411" s="6"/>
      <c r="C411" s="6"/>
      <c r="D411" s="82"/>
      <c r="E411" s="6"/>
      <c r="F411" s="6"/>
      <c r="G411" s="6"/>
      <c r="H411" s="82"/>
      <c r="I411" s="6"/>
      <c r="J411" s="6"/>
      <c r="K411" s="1"/>
      <c r="L411" s="1"/>
      <c r="M411" s="1"/>
      <c r="N411" s="1"/>
      <c r="O411" s="1"/>
      <c r="P411" s="1"/>
      <c r="Q411" s="1"/>
      <c r="R411" s="1"/>
      <c r="S411" s="1"/>
      <c r="T411" s="1"/>
      <c r="U411" s="1"/>
      <c r="V411" s="1"/>
      <c r="W411" s="1"/>
      <c r="X411" s="1"/>
      <c r="Y411" s="1"/>
      <c r="Z411" s="1"/>
    </row>
    <row r="412" spans="1:26" ht="15.75" customHeight="1" x14ac:dyDescent="0.3">
      <c r="A412" s="148"/>
      <c r="B412" s="6"/>
      <c r="C412" s="6"/>
      <c r="D412" s="82"/>
      <c r="E412" s="6"/>
      <c r="F412" s="6"/>
      <c r="G412" s="6"/>
      <c r="H412" s="82"/>
      <c r="I412" s="6"/>
      <c r="J412" s="6"/>
      <c r="K412" s="1"/>
      <c r="L412" s="1"/>
      <c r="M412" s="1"/>
      <c r="N412" s="1"/>
      <c r="O412" s="1"/>
      <c r="P412" s="1"/>
      <c r="Q412" s="1"/>
      <c r="R412" s="1"/>
      <c r="S412" s="1"/>
      <c r="T412" s="1"/>
      <c r="U412" s="1"/>
      <c r="V412" s="1"/>
      <c r="W412" s="1"/>
      <c r="X412" s="1"/>
      <c r="Y412" s="1"/>
      <c r="Z412" s="1"/>
    </row>
    <row r="413" spans="1:26" ht="15.75" customHeight="1" x14ac:dyDescent="0.3">
      <c r="A413" s="148"/>
      <c r="B413" s="6"/>
      <c r="C413" s="6"/>
      <c r="D413" s="82"/>
      <c r="E413" s="6"/>
      <c r="F413" s="6"/>
      <c r="G413" s="6"/>
      <c r="H413" s="82"/>
      <c r="I413" s="6"/>
      <c r="J413" s="6"/>
      <c r="K413" s="1"/>
      <c r="L413" s="1"/>
      <c r="M413" s="1"/>
      <c r="N413" s="1"/>
      <c r="O413" s="1"/>
      <c r="P413" s="1"/>
      <c r="Q413" s="1"/>
      <c r="R413" s="1"/>
      <c r="S413" s="1"/>
      <c r="T413" s="1"/>
      <c r="U413" s="1"/>
      <c r="V413" s="1"/>
      <c r="W413" s="1"/>
      <c r="X413" s="1"/>
      <c r="Y413" s="1"/>
      <c r="Z413" s="1"/>
    </row>
    <row r="414" spans="1:26" ht="15.75" customHeight="1" x14ac:dyDescent="0.3">
      <c r="A414" s="148"/>
      <c r="B414" s="6"/>
      <c r="C414" s="6"/>
      <c r="D414" s="82"/>
      <c r="E414" s="6"/>
      <c r="F414" s="6"/>
      <c r="G414" s="6"/>
      <c r="H414" s="82"/>
      <c r="I414" s="6"/>
      <c r="J414" s="6"/>
      <c r="K414" s="1"/>
      <c r="L414" s="1"/>
      <c r="M414" s="1"/>
      <c r="N414" s="1"/>
      <c r="O414" s="1"/>
      <c r="P414" s="1"/>
      <c r="Q414" s="1"/>
      <c r="R414" s="1"/>
      <c r="S414" s="1"/>
      <c r="T414" s="1"/>
      <c r="U414" s="1"/>
      <c r="V414" s="1"/>
      <c r="W414" s="1"/>
      <c r="X414" s="1"/>
      <c r="Y414" s="1"/>
      <c r="Z414" s="1"/>
    </row>
    <row r="415" spans="1:26" ht="15.75" customHeight="1" x14ac:dyDescent="0.3">
      <c r="A415" s="148"/>
      <c r="B415" s="6"/>
      <c r="C415" s="6"/>
      <c r="D415" s="82"/>
      <c r="E415" s="6"/>
      <c r="F415" s="6"/>
      <c r="G415" s="6"/>
      <c r="H415" s="82"/>
      <c r="I415" s="6"/>
      <c r="J415" s="6"/>
      <c r="K415" s="1"/>
      <c r="L415" s="1"/>
      <c r="M415" s="1"/>
      <c r="N415" s="1"/>
      <c r="O415" s="1"/>
      <c r="P415" s="1"/>
      <c r="Q415" s="1"/>
      <c r="R415" s="1"/>
      <c r="S415" s="1"/>
      <c r="T415" s="1"/>
      <c r="U415" s="1"/>
      <c r="V415" s="1"/>
      <c r="W415" s="1"/>
      <c r="X415" s="1"/>
      <c r="Y415" s="1"/>
      <c r="Z415" s="1"/>
    </row>
    <row r="416" spans="1:26" ht="15.75" customHeight="1" x14ac:dyDescent="0.3">
      <c r="A416" s="148"/>
      <c r="B416" s="6"/>
      <c r="C416" s="6"/>
      <c r="D416" s="82"/>
      <c r="E416" s="6"/>
      <c r="F416" s="6"/>
      <c r="G416" s="6"/>
      <c r="H416" s="82"/>
      <c r="I416" s="6"/>
      <c r="J416" s="6"/>
      <c r="K416" s="1"/>
      <c r="L416" s="1"/>
      <c r="M416" s="1"/>
      <c r="N416" s="1"/>
      <c r="O416" s="1"/>
      <c r="P416" s="1"/>
      <c r="Q416" s="1"/>
      <c r="R416" s="1"/>
      <c r="S416" s="1"/>
      <c r="T416" s="1"/>
      <c r="U416" s="1"/>
      <c r="V416" s="1"/>
      <c r="W416" s="1"/>
      <c r="X416" s="1"/>
      <c r="Y416" s="1"/>
      <c r="Z416" s="1"/>
    </row>
    <row r="417" spans="1:26" ht="15.75" customHeight="1" x14ac:dyDescent="0.3">
      <c r="A417" s="148"/>
      <c r="B417" s="6"/>
      <c r="C417" s="6"/>
      <c r="D417" s="82"/>
      <c r="E417" s="6"/>
      <c r="F417" s="6"/>
      <c r="G417" s="6"/>
      <c r="H417" s="82"/>
      <c r="I417" s="6"/>
      <c r="J417" s="6"/>
      <c r="K417" s="1"/>
      <c r="L417" s="1"/>
      <c r="M417" s="1"/>
      <c r="N417" s="1"/>
      <c r="O417" s="1"/>
      <c r="P417" s="1"/>
      <c r="Q417" s="1"/>
      <c r="R417" s="1"/>
      <c r="S417" s="1"/>
      <c r="T417" s="1"/>
      <c r="U417" s="1"/>
      <c r="V417" s="1"/>
      <c r="W417" s="1"/>
      <c r="X417" s="1"/>
      <c r="Y417" s="1"/>
      <c r="Z417" s="1"/>
    </row>
    <row r="418" spans="1:26" ht="15.75" customHeight="1" x14ac:dyDescent="0.3">
      <c r="A418" s="148"/>
      <c r="B418" s="6"/>
      <c r="C418" s="6"/>
      <c r="D418" s="82"/>
      <c r="E418" s="6"/>
      <c r="F418" s="6"/>
      <c r="G418" s="6"/>
      <c r="H418" s="82"/>
      <c r="I418" s="6"/>
      <c r="J418" s="6"/>
      <c r="K418" s="1"/>
      <c r="L418" s="1"/>
      <c r="M418" s="1"/>
      <c r="N418" s="1"/>
      <c r="O418" s="1"/>
      <c r="P418" s="1"/>
      <c r="Q418" s="1"/>
      <c r="R418" s="1"/>
      <c r="S418" s="1"/>
      <c r="T418" s="1"/>
      <c r="U418" s="1"/>
      <c r="V418" s="1"/>
      <c r="W418" s="1"/>
      <c r="X418" s="1"/>
      <c r="Y418" s="1"/>
      <c r="Z418" s="1"/>
    </row>
    <row r="419" spans="1:26" ht="15.75" customHeight="1" x14ac:dyDescent="0.3">
      <c r="A419" s="148"/>
      <c r="B419" s="6"/>
      <c r="C419" s="6"/>
      <c r="D419" s="82"/>
      <c r="E419" s="6"/>
      <c r="F419" s="6"/>
      <c r="G419" s="6"/>
      <c r="H419" s="82"/>
      <c r="I419" s="6"/>
      <c r="J419" s="6"/>
      <c r="K419" s="1"/>
      <c r="L419" s="1"/>
      <c r="M419" s="1"/>
      <c r="N419" s="1"/>
      <c r="O419" s="1"/>
      <c r="P419" s="1"/>
      <c r="Q419" s="1"/>
      <c r="R419" s="1"/>
      <c r="S419" s="1"/>
      <c r="T419" s="1"/>
      <c r="U419" s="1"/>
      <c r="V419" s="1"/>
      <c r="W419" s="1"/>
      <c r="X419" s="1"/>
      <c r="Y419" s="1"/>
      <c r="Z419" s="1"/>
    </row>
    <row r="420" spans="1:26" ht="15.75" customHeight="1" x14ac:dyDescent="0.3">
      <c r="A420" s="148"/>
      <c r="B420" s="6"/>
      <c r="C420" s="6"/>
      <c r="D420" s="82"/>
      <c r="E420" s="6"/>
      <c r="F420" s="6"/>
      <c r="G420" s="6"/>
      <c r="H420" s="82"/>
      <c r="I420" s="6"/>
      <c r="J420" s="6"/>
      <c r="K420" s="1"/>
      <c r="L420" s="1"/>
      <c r="M420" s="1"/>
      <c r="N420" s="1"/>
      <c r="O420" s="1"/>
      <c r="P420" s="1"/>
      <c r="Q420" s="1"/>
      <c r="R420" s="1"/>
      <c r="S420" s="1"/>
      <c r="T420" s="1"/>
      <c r="U420" s="1"/>
      <c r="V420" s="1"/>
      <c r="W420" s="1"/>
      <c r="X420" s="1"/>
      <c r="Y420" s="1"/>
      <c r="Z420" s="1"/>
    </row>
    <row r="421" spans="1:26" ht="15.75" customHeight="1" x14ac:dyDescent="0.3">
      <c r="A421" s="148"/>
      <c r="B421" s="6"/>
      <c r="C421" s="6"/>
      <c r="D421" s="82"/>
      <c r="E421" s="6"/>
      <c r="F421" s="6"/>
      <c r="G421" s="6"/>
      <c r="H421" s="82"/>
      <c r="I421" s="6"/>
      <c r="J421" s="6"/>
      <c r="K421" s="1"/>
      <c r="L421" s="1"/>
      <c r="M421" s="1"/>
      <c r="N421" s="1"/>
      <c r="O421" s="1"/>
      <c r="P421" s="1"/>
      <c r="Q421" s="1"/>
      <c r="R421" s="1"/>
      <c r="S421" s="1"/>
      <c r="T421" s="1"/>
      <c r="U421" s="1"/>
      <c r="V421" s="1"/>
      <c r="W421" s="1"/>
      <c r="X421" s="1"/>
      <c r="Y421" s="1"/>
      <c r="Z421" s="1"/>
    </row>
    <row r="422" spans="1:26" ht="15.75" customHeight="1" x14ac:dyDescent="0.3">
      <c r="A422" s="148"/>
      <c r="B422" s="6"/>
      <c r="C422" s="6"/>
      <c r="D422" s="82"/>
      <c r="E422" s="6"/>
      <c r="F422" s="6"/>
      <c r="G422" s="6"/>
      <c r="H422" s="82"/>
      <c r="I422" s="6"/>
      <c r="J422" s="6"/>
      <c r="K422" s="1"/>
      <c r="L422" s="1"/>
      <c r="M422" s="1"/>
      <c r="N422" s="1"/>
      <c r="O422" s="1"/>
      <c r="P422" s="1"/>
      <c r="Q422" s="1"/>
      <c r="R422" s="1"/>
      <c r="S422" s="1"/>
      <c r="T422" s="1"/>
      <c r="U422" s="1"/>
      <c r="V422" s="1"/>
      <c r="W422" s="1"/>
      <c r="X422" s="1"/>
      <c r="Y422" s="1"/>
      <c r="Z422" s="1"/>
    </row>
    <row r="423" spans="1:26" ht="15.75" customHeight="1" x14ac:dyDescent="0.3">
      <c r="A423" s="148"/>
      <c r="B423" s="6"/>
      <c r="C423" s="6"/>
      <c r="D423" s="82"/>
      <c r="E423" s="6"/>
      <c r="F423" s="6"/>
      <c r="G423" s="6"/>
      <c r="H423" s="82"/>
      <c r="I423" s="6"/>
      <c r="J423" s="6"/>
      <c r="K423" s="1"/>
      <c r="L423" s="1"/>
      <c r="M423" s="1"/>
      <c r="N423" s="1"/>
      <c r="O423" s="1"/>
      <c r="P423" s="1"/>
      <c r="Q423" s="1"/>
      <c r="R423" s="1"/>
      <c r="S423" s="1"/>
      <c r="T423" s="1"/>
      <c r="U423" s="1"/>
      <c r="V423" s="1"/>
      <c r="W423" s="1"/>
      <c r="X423" s="1"/>
      <c r="Y423" s="1"/>
      <c r="Z423" s="1"/>
    </row>
    <row r="424" spans="1:26" ht="15.75" customHeight="1" x14ac:dyDescent="0.3">
      <c r="A424" s="148"/>
      <c r="B424" s="6"/>
      <c r="C424" s="6"/>
      <c r="D424" s="82"/>
      <c r="E424" s="6"/>
      <c r="F424" s="6"/>
      <c r="G424" s="6"/>
      <c r="H424" s="82"/>
      <c r="I424" s="6"/>
      <c r="J424" s="6"/>
      <c r="K424" s="1"/>
      <c r="L424" s="1"/>
      <c r="M424" s="1"/>
      <c r="N424" s="1"/>
      <c r="O424" s="1"/>
      <c r="P424" s="1"/>
      <c r="Q424" s="1"/>
      <c r="R424" s="1"/>
      <c r="S424" s="1"/>
      <c r="T424" s="1"/>
      <c r="U424" s="1"/>
      <c r="V424" s="1"/>
      <c r="W424" s="1"/>
      <c r="X424" s="1"/>
      <c r="Y424" s="1"/>
      <c r="Z424" s="1"/>
    </row>
    <row r="425" spans="1:26" ht="15.75" customHeight="1" x14ac:dyDescent="0.3">
      <c r="A425" s="148"/>
      <c r="B425" s="6"/>
      <c r="C425" s="6"/>
      <c r="D425" s="82"/>
      <c r="E425" s="6"/>
      <c r="F425" s="6"/>
      <c r="G425" s="6"/>
      <c r="H425" s="82"/>
      <c r="I425" s="6"/>
      <c r="J425" s="6"/>
      <c r="K425" s="1"/>
      <c r="L425" s="1"/>
      <c r="M425" s="1"/>
      <c r="N425" s="1"/>
      <c r="O425" s="1"/>
      <c r="P425" s="1"/>
      <c r="Q425" s="1"/>
      <c r="R425" s="1"/>
      <c r="S425" s="1"/>
      <c r="T425" s="1"/>
      <c r="U425" s="1"/>
      <c r="V425" s="1"/>
      <c r="W425" s="1"/>
      <c r="X425" s="1"/>
      <c r="Y425" s="1"/>
      <c r="Z425" s="1"/>
    </row>
    <row r="426" spans="1:26" ht="15.75" customHeight="1" x14ac:dyDescent="0.3">
      <c r="A426" s="148"/>
      <c r="B426" s="6"/>
      <c r="C426" s="6"/>
      <c r="D426" s="82"/>
      <c r="E426" s="6"/>
      <c r="F426" s="6"/>
      <c r="G426" s="6"/>
      <c r="H426" s="82"/>
      <c r="I426" s="6"/>
      <c r="J426" s="6"/>
      <c r="K426" s="1"/>
      <c r="L426" s="1"/>
      <c r="M426" s="1"/>
      <c r="N426" s="1"/>
      <c r="O426" s="1"/>
      <c r="P426" s="1"/>
      <c r="Q426" s="1"/>
      <c r="R426" s="1"/>
      <c r="S426" s="1"/>
      <c r="T426" s="1"/>
      <c r="U426" s="1"/>
      <c r="V426" s="1"/>
      <c r="W426" s="1"/>
      <c r="X426" s="1"/>
      <c r="Y426" s="1"/>
      <c r="Z426" s="1"/>
    </row>
    <row r="427" spans="1:26" ht="15.75" customHeight="1" x14ac:dyDescent="0.3">
      <c r="A427" s="148"/>
      <c r="B427" s="6"/>
      <c r="C427" s="6"/>
      <c r="D427" s="82"/>
      <c r="E427" s="6"/>
      <c r="F427" s="6"/>
      <c r="G427" s="6"/>
      <c r="H427" s="82"/>
      <c r="I427" s="6"/>
      <c r="J427" s="6"/>
      <c r="K427" s="1"/>
      <c r="L427" s="1"/>
      <c r="M427" s="1"/>
      <c r="N427" s="1"/>
      <c r="O427" s="1"/>
      <c r="P427" s="1"/>
      <c r="Q427" s="1"/>
      <c r="R427" s="1"/>
      <c r="S427" s="1"/>
      <c r="T427" s="1"/>
      <c r="U427" s="1"/>
      <c r="V427" s="1"/>
      <c r="W427" s="1"/>
      <c r="X427" s="1"/>
      <c r="Y427" s="1"/>
      <c r="Z427" s="1"/>
    </row>
    <row r="428" spans="1:26" ht="15.75" customHeight="1" x14ac:dyDescent="0.3">
      <c r="A428" s="148"/>
      <c r="B428" s="6"/>
      <c r="C428" s="6"/>
      <c r="D428" s="82"/>
      <c r="E428" s="6"/>
      <c r="F428" s="6"/>
      <c r="G428" s="6"/>
      <c r="H428" s="82"/>
      <c r="I428" s="6"/>
      <c r="J428" s="6"/>
      <c r="K428" s="1"/>
      <c r="L428" s="1"/>
      <c r="M428" s="1"/>
      <c r="N428" s="1"/>
      <c r="O428" s="1"/>
      <c r="P428" s="1"/>
      <c r="Q428" s="1"/>
      <c r="R428" s="1"/>
      <c r="S428" s="1"/>
      <c r="T428" s="1"/>
      <c r="U428" s="1"/>
      <c r="V428" s="1"/>
      <c r="W428" s="1"/>
      <c r="X428" s="1"/>
      <c r="Y428" s="1"/>
      <c r="Z428" s="1"/>
    </row>
    <row r="429" spans="1:26" ht="15.75" customHeight="1" x14ac:dyDescent="0.3">
      <c r="A429" s="148"/>
      <c r="B429" s="6"/>
      <c r="C429" s="6"/>
      <c r="D429" s="82"/>
      <c r="E429" s="6"/>
      <c r="F429" s="6"/>
      <c r="G429" s="6"/>
      <c r="H429" s="82"/>
      <c r="I429" s="6"/>
      <c r="J429" s="6"/>
      <c r="K429" s="1"/>
      <c r="L429" s="1"/>
      <c r="M429" s="1"/>
      <c r="N429" s="1"/>
      <c r="O429" s="1"/>
      <c r="P429" s="1"/>
      <c r="Q429" s="1"/>
      <c r="R429" s="1"/>
      <c r="S429" s="1"/>
      <c r="T429" s="1"/>
      <c r="U429" s="1"/>
      <c r="V429" s="1"/>
      <c r="W429" s="1"/>
      <c r="X429" s="1"/>
      <c r="Y429" s="1"/>
      <c r="Z429" s="1"/>
    </row>
    <row r="430" spans="1:26" ht="15.75" customHeight="1" x14ac:dyDescent="0.3">
      <c r="A430" s="148"/>
      <c r="B430" s="6"/>
      <c r="C430" s="6"/>
      <c r="D430" s="82"/>
      <c r="E430" s="6"/>
      <c r="F430" s="6"/>
      <c r="G430" s="6"/>
      <c r="H430" s="82"/>
      <c r="I430" s="6"/>
      <c r="J430" s="6"/>
      <c r="K430" s="1"/>
      <c r="L430" s="1"/>
      <c r="M430" s="1"/>
      <c r="N430" s="1"/>
      <c r="O430" s="1"/>
      <c r="P430" s="1"/>
      <c r="Q430" s="1"/>
      <c r="R430" s="1"/>
      <c r="S430" s="1"/>
      <c r="T430" s="1"/>
      <c r="U430" s="1"/>
      <c r="V430" s="1"/>
      <c r="W430" s="1"/>
      <c r="X430" s="1"/>
      <c r="Y430" s="1"/>
      <c r="Z430" s="1"/>
    </row>
    <row r="431" spans="1:26" ht="15.75" customHeight="1" x14ac:dyDescent="0.3">
      <c r="A431" s="148"/>
      <c r="B431" s="6"/>
      <c r="C431" s="6"/>
      <c r="D431" s="82"/>
      <c r="E431" s="6"/>
      <c r="F431" s="6"/>
      <c r="G431" s="6"/>
      <c r="H431" s="82"/>
      <c r="I431" s="6"/>
      <c r="J431" s="6"/>
      <c r="K431" s="1"/>
      <c r="L431" s="1"/>
      <c r="M431" s="1"/>
      <c r="N431" s="1"/>
      <c r="O431" s="1"/>
      <c r="P431" s="1"/>
      <c r="Q431" s="1"/>
      <c r="R431" s="1"/>
      <c r="S431" s="1"/>
      <c r="T431" s="1"/>
      <c r="U431" s="1"/>
      <c r="V431" s="1"/>
      <c r="W431" s="1"/>
      <c r="X431" s="1"/>
      <c r="Y431" s="1"/>
      <c r="Z431" s="1"/>
    </row>
    <row r="432" spans="1:26" ht="15.75" customHeight="1" x14ac:dyDescent="0.3">
      <c r="A432" s="148"/>
      <c r="B432" s="6"/>
      <c r="C432" s="6"/>
      <c r="D432" s="82"/>
      <c r="E432" s="6"/>
      <c r="F432" s="6"/>
      <c r="G432" s="6"/>
      <c r="H432" s="82"/>
      <c r="I432" s="6"/>
      <c r="J432" s="6"/>
      <c r="K432" s="1"/>
      <c r="L432" s="1"/>
      <c r="M432" s="1"/>
      <c r="N432" s="1"/>
      <c r="O432" s="1"/>
      <c r="P432" s="1"/>
      <c r="Q432" s="1"/>
      <c r="R432" s="1"/>
      <c r="S432" s="1"/>
      <c r="T432" s="1"/>
      <c r="U432" s="1"/>
      <c r="V432" s="1"/>
      <c r="W432" s="1"/>
      <c r="X432" s="1"/>
      <c r="Y432" s="1"/>
      <c r="Z432" s="1"/>
    </row>
    <row r="433" spans="1:26" ht="15.75" customHeight="1" x14ac:dyDescent="0.3">
      <c r="A433" s="148"/>
      <c r="B433" s="6"/>
      <c r="C433" s="6"/>
      <c r="D433" s="82"/>
      <c r="E433" s="6"/>
      <c r="F433" s="6"/>
      <c r="G433" s="6"/>
      <c r="H433" s="82"/>
      <c r="I433" s="6"/>
      <c r="J433" s="6"/>
      <c r="K433" s="1"/>
      <c r="L433" s="1"/>
      <c r="M433" s="1"/>
      <c r="N433" s="1"/>
      <c r="O433" s="1"/>
      <c r="P433" s="1"/>
      <c r="Q433" s="1"/>
      <c r="R433" s="1"/>
      <c r="S433" s="1"/>
      <c r="T433" s="1"/>
      <c r="U433" s="1"/>
      <c r="V433" s="1"/>
      <c r="W433" s="1"/>
      <c r="X433" s="1"/>
      <c r="Y433" s="1"/>
      <c r="Z433" s="1"/>
    </row>
    <row r="434" spans="1:26" ht="15.75" customHeight="1" x14ac:dyDescent="0.3">
      <c r="A434" s="148"/>
      <c r="B434" s="6"/>
      <c r="C434" s="6"/>
      <c r="D434" s="82"/>
      <c r="E434" s="6"/>
      <c r="F434" s="6"/>
      <c r="G434" s="6"/>
      <c r="H434" s="82"/>
      <c r="I434" s="6"/>
      <c r="J434" s="6"/>
      <c r="K434" s="1"/>
      <c r="L434" s="1"/>
      <c r="M434" s="1"/>
      <c r="N434" s="1"/>
      <c r="O434" s="1"/>
      <c r="P434" s="1"/>
      <c r="Q434" s="1"/>
      <c r="R434" s="1"/>
      <c r="S434" s="1"/>
      <c r="T434" s="1"/>
      <c r="U434" s="1"/>
      <c r="V434" s="1"/>
      <c r="W434" s="1"/>
      <c r="X434" s="1"/>
      <c r="Y434" s="1"/>
      <c r="Z434" s="1"/>
    </row>
    <row r="435" spans="1:26" ht="15.75" customHeight="1" x14ac:dyDescent="0.3">
      <c r="A435" s="148"/>
      <c r="B435" s="6"/>
      <c r="C435" s="6"/>
      <c r="D435" s="82"/>
      <c r="E435" s="6"/>
      <c r="F435" s="6"/>
      <c r="G435" s="6"/>
      <c r="H435" s="82"/>
      <c r="I435" s="6"/>
      <c r="J435" s="6"/>
      <c r="K435" s="1"/>
      <c r="L435" s="1"/>
      <c r="M435" s="1"/>
      <c r="N435" s="1"/>
      <c r="O435" s="1"/>
      <c r="P435" s="1"/>
      <c r="Q435" s="1"/>
      <c r="R435" s="1"/>
      <c r="S435" s="1"/>
      <c r="T435" s="1"/>
      <c r="U435" s="1"/>
      <c r="V435" s="1"/>
      <c r="W435" s="1"/>
      <c r="X435" s="1"/>
      <c r="Y435" s="1"/>
      <c r="Z435" s="1"/>
    </row>
    <row r="436" spans="1:26" ht="15.75" customHeight="1" x14ac:dyDescent="0.3">
      <c r="A436" s="148"/>
      <c r="B436" s="6"/>
      <c r="C436" s="6"/>
      <c r="D436" s="82"/>
      <c r="E436" s="6"/>
      <c r="F436" s="6"/>
      <c r="G436" s="6"/>
      <c r="H436" s="82"/>
      <c r="I436" s="6"/>
      <c r="J436" s="6"/>
      <c r="K436" s="1"/>
      <c r="L436" s="1"/>
      <c r="M436" s="1"/>
      <c r="N436" s="1"/>
      <c r="O436" s="1"/>
      <c r="P436" s="1"/>
      <c r="Q436" s="1"/>
      <c r="R436" s="1"/>
      <c r="S436" s="1"/>
      <c r="T436" s="1"/>
      <c r="U436" s="1"/>
      <c r="V436" s="1"/>
      <c r="W436" s="1"/>
      <c r="X436" s="1"/>
      <c r="Y436" s="1"/>
      <c r="Z436" s="1"/>
    </row>
    <row r="437" spans="1:26" ht="15.75" customHeight="1" x14ac:dyDescent="0.3">
      <c r="A437" s="148"/>
      <c r="B437" s="6"/>
      <c r="C437" s="6"/>
      <c r="D437" s="82"/>
      <c r="E437" s="6"/>
      <c r="F437" s="6"/>
      <c r="G437" s="6"/>
      <c r="H437" s="82"/>
      <c r="I437" s="6"/>
      <c r="J437" s="6"/>
      <c r="K437" s="1"/>
      <c r="L437" s="1"/>
      <c r="M437" s="1"/>
      <c r="N437" s="1"/>
      <c r="O437" s="1"/>
      <c r="P437" s="1"/>
      <c r="Q437" s="1"/>
      <c r="R437" s="1"/>
      <c r="S437" s="1"/>
      <c r="T437" s="1"/>
      <c r="U437" s="1"/>
      <c r="V437" s="1"/>
      <c r="W437" s="1"/>
      <c r="X437" s="1"/>
      <c r="Y437" s="1"/>
      <c r="Z437" s="1"/>
    </row>
    <row r="438" spans="1:26" ht="15.75" customHeight="1" x14ac:dyDescent="0.3">
      <c r="A438" s="148"/>
      <c r="B438" s="6"/>
      <c r="C438" s="6"/>
      <c r="D438" s="82"/>
      <c r="E438" s="6"/>
      <c r="F438" s="6"/>
      <c r="G438" s="6"/>
      <c r="H438" s="82"/>
      <c r="I438" s="6"/>
      <c r="J438" s="6"/>
      <c r="K438" s="1"/>
      <c r="L438" s="1"/>
      <c r="M438" s="1"/>
      <c r="N438" s="1"/>
      <c r="O438" s="1"/>
      <c r="P438" s="1"/>
      <c r="Q438" s="1"/>
      <c r="R438" s="1"/>
      <c r="S438" s="1"/>
      <c r="T438" s="1"/>
      <c r="U438" s="1"/>
      <c r="V438" s="1"/>
      <c r="W438" s="1"/>
      <c r="X438" s="1"/>
      <c r="Y438" s="1"/>
      <c r="Z438" s="1"/>
    </row>
    <row r="439" spans="1:26" ht="15.75" customHeight="1" x14ac:dyDescent="0.3">
      <c r="A439" s="148"/>
      <c r="B439" s="6"/>
      <c r="C439" s="6"/>
      <c r="D439" s="82"/>
      <c r="E439" s="6"/>
      <c r="F439" s="6"/>
      <c r="G439" s="6"/>
      <c r="H439" s="82"/>
      <c r="I439" s="6"/>
      <c r="J439" s="6"/>
      <c r="K439" s="1"/>
      <c r="L439" s="1"/>
      <c r="M439" s="1"/>
      <c r="N439" s="1"/>
      <c r="O439" s="1"/>
      <c r="P439" s="1"/>
      <c r="Q439" s="1"/>
      <c r="R439" s="1"/>
      <c r="S439" s="1"/>
      <c r="T439" s="1"/>
      <c r="U439" s="1"/>
      <c r="V439" s="1"/>
      <c r="W439" s="1"/>
      <c r="X439" s="1"/>
      <c r="Y439" s="1"/>
      <c r="Z439" s="1"/>
    </row>
    <row r="440" spans="1:26" ht="15.75" customHeight="1" x14ac:dyDescent="0.3">
      <c r="A440" s="148"/>
      <c r="B440" s="6"/>
      <c r="C440" s="6"/>
      <c r="D440" s="82"/>
      <c r="E440" s="6"/>
      <c r="F440" s="6"/>
      <c r="G440" s="6"/>
      <c r="H440" s="82"/>
      <c r="I440" s="6"/>
      <c r="J440" s="6"/>
      <c r="K440" s="1"/>
      <c r="L440" s="1"/>
      <c r="M440" s="1"/>
      <c r="N440" s="1"/>
      <c r="O440" s="1"/>
      <c r="P440" s="1"/>
      <c r="Q440" s="1"/>
      <c r="R440" s="1"/>
      <c r="S440" s="1"/>
      <c r="T440" s="1"/>
      <c r="U440" s="1"/>
      <c r="V440" s="1"/>
      <c r="W440" s="1"/>
      <c r="X440" s="1"/>
      <c r="Y440" s="1"/>
      <c r="Z440" s="1"/>
    </row>
    <row r="441" spans="1:26" ht="15.75" customHeight="1" x14ac:dyDescent="0.3">
      <c r="A441" s="148"/>
      <c r="B441" s="6"/>
      <c r="C441" s="6"/>
      <c r="D441" s="82"/>
      <c r="E441" s="6"/>
      <c r="F441" s="6"/>
      <c r="G441" s="6"/>
      <c r="H441" s="82"/>
      <c r="I441" s="6"/>
      <c r="J441" s="6"/>
      <c r="K441" s="1"/>
      <c r="L441" s="1"/>
      <c r="M441" s="1"/>
      <c r="N441" s="1"/>
      <c r="O441" s="1"/>
      <c r="P441" s="1"/>
      <c r="Q441" s="1"/>
      <c r="R441" s="1"/>
      <c r="S441" s="1"/>
      <c r="T441" s="1"/>
      <c r="U441" s="1"/>
      <c r="V441" s="1"/>
      <c r="W441" s="1"/>
      <c r="X441" s="1"/>
      <c r="Y441" s="1"/>
      <c r="Z441" s="1"/>
    </row>
    <row r="442" spans="1:26" ht="15.75" customHeight="1" x14ac:dyDescent="0.3">
      <c r="A442" s="148"/>
      <c r="B442" s="6"/>
      <c r="C442" s="6"/>
      <c r="D442" s="82"/>
      <c r="E442" s="6"/>
      <c r="F442" s="6"/>
      <c r="G442" s="6"/>
      <c r="H442" s="82"/>
      <c r="I442" s="6"/>
      <c r="J442" s="6"/>
      <c r="K442" s="1"/>
      <c r="L442" s="1"/>
      <c r="M442" s="1"/>
      <c r="N442" s="1"/>
      <c r="O442" s="1"/>
      <c r="P442" s="1"/>
      <c r="Q442" s="1"/>
      <c r="R442" s="1"/>
      <c r="S442" s="1"/>
      <c r="T442" s="1"/>
      <c r="U442" s="1"/>
      <c r="V442" s="1"/>
      <c r="W442" s="1"/>
      <c r="X442" s="1"/>
      <c r="Y442" s="1"/>
      <c r="Z442" s="1"/>
    </row>
    <row r="443" spans="1:26" ht="15.75" customHeight="1" x14ac:dyDescent="0.3">
      <c r="A443" s="148"/>
      <c r="B443" s="6"/>
      <c r="C443" s="6"/>
      <c r="D443" s="82"/>
      <c r="E443" s="6"/>
      <c r="F443" s="6"/>
      <c r="G443" s="6"/>
      <c r="H443" s="82"/>
      <c r="I443" s="6"/>
      <c r="J443" s="6"/>
      <c r="K443" s="1"/>
      <c r="L443" s="1"/>
      <c r="M443" s="1"/>
      <c r="N443" s="1"/>
      <c r="O443" s="1"/>
      <c r="P443" s="1"/>
      <c r="Q443" s="1"/>
      <c r="R443" s="1"/>
      <c r="S443" s="1"/>
      <c r="T443" s="1"/>
      <c r="U443" s="1"/>
      <c r="V443" s="1"/>
      <c r="W443" s="1"/>
      <c r="X443" s="1"/>
      <c r="Y443" s="1"/>
      <c r="Z443" s="1"/>
    </row>
    <row r="444" spans="1:26" ht="15.75" customHeight="1" x14ac:dyDescent="0.3">
      <c r="A444" s="148"/>
      <c r="B444" s="6"/>
      <c r="C444" s="6"/>
      <c r="D444" s="82"/>
      <c r="E444" s="6"/>
      <c r="F444" s="6"/>
      <c r="G444" s="6"/>
      <c r="H444" s="82"/>
      <c r="I444" s="6"/>
      <c r="J444" s="6"/>
      <c r="K444" s="1"/>
      <c r="L444" s="1"/>
      <c r="M444" s="1"/>
      <c r="N444" s="1"/>
      <c r="O444" s="1"/>
      <c r="P444" s="1"/>
      <c r="Q444" s="1"/>
      <c r="R444" s="1"/>
      <c r="S444" s="1"/>
      <c r="T444" s="1"/>
      <c r="U444" s="1"/>
      <c r="V444" s="1"/>
      <c r="W444" s="1"/>
      <c r="X444" s="1"/>
      <c r="Y444" s="1"/>
      <c r="Z444" s="1"/>
    </row>
    <row r="445" spans="1:26" ht="15.75" customHeight="1" x14ac:dyDescent="0.3">
      <c r="A445" s="148"/>
      <c r="B445" s="6"/>
      <c r="C445" s="6"/>
      <c r="D445" s="82"/>
      <c r="E445" s="6"/>
      <c r="F445" s="6"/>
      <c r="G445" s="6"/>
      <c r="H445" s="82"/>
      <c r="I445" s="6"/>
      <c r="J445" s="6"/>
      <c r="K445" s="1"/>
      <c r="L445" s="1"/>
      <c r="M445" s="1"/>
      <c r="N445" s="1"/>
      <c r="O445" s="1"/>
      <c r="P445" s="1"/>
      <c r="Q445" s="1"/>
      <c r="R445" s="1"/>
      <c r="S445" s="1"/>
      <c r="T445" s="1"/>
      <c r="U445" s="1"/>
      <c r="V445" s="1"/>
      <c r="W445" s="1"/>
      <c r="X445" s="1"/>
      <c r="Y445" s="1"/>
      <c r="Z445" s="1"/>
    </row>
    <row r="446" spans="1:26" ht="15.75" customHeight="1" x14ac:dyDescent="0.3">
      <c r="A446" s="148"/>
      <c r="B446" s="6"/>
      <c r="C446" s="6"/>
      <c r="D446" s="82"/>
      <c r="E446" s="6"/>
      <c r="F446" s="6"/>
      <c r="G446" s="6"/>
      <c r="H446" s="82"/>
      <c r="I446" s="6"/>
      <c r="J446" s="6"/>
      <c r="K446" s="1"/>
      <c r="L446" s="1"/>
      <c r="M446" s="1"/>
      <c r="N446" s="1"/>
      <c r="O446" s="1"/>
      <c r="P446" s="1"/>
      <c r="Q446" s="1"/>
      <c r="R446" s="1"/>
      <c r="S446" s="1"/>
      <c r="T446" s="1"/>
      <c r="U446" s="1"/>
      <c r="V446" s="1"/>
      <c r="W446" s="1"/>
      <c r="X446" s="1"/>
      <c r="Y446" s="1"/>
      <c r="Z446" s="1"/>
    </row>
    <row r="447" spans="1:26" ht="15.75" customHeight="1" x14ac:dyDescent="0.3">
      <c r="A447" s="148"/>
      <c r="B447" s="6"/>
      <c r="C447" s="6"/>
      <c r="D447" s="82"/>
      <c r="E447" s="6"/>
      <c r="F447" s="6"/>
      <c r="G447" s="6"/>
      <c r="H447" s="82"/>
      <c r="I447" s="6"/>
      <c r="J447" s="6"/>
      <c r="K447" s="1"/>
      <c r="L447" s="1"/>
      <c r="M447" s="1"/>
      <c r="N447" s="1"/>
      <c r="O447" s="1"/>
      <c r="P447" s="1"/>
      <c r="Q447" s="1"/>
      <c r="R447" s="1"/>
      <c r="S447" s="1"/>
      <c r="T447" s="1"/>
      <c r="U447" s="1"/>
      <c r="V447" s="1"/>
      <c r="W447" s="1"/>
      <c r="X447" s="1"/>
      <c r="Y447" s="1"/>
      <c r="Z447" s="1"/>
    </row>
    <row r="448" spans="1:26" ht="15.75" customHeight="1" x14ac:dyDescent="0.3">
      <c r="A448" s="148"/>
      <c r="B448" s="6"/>
      <c r="C448" s="6"/>
      <c r="D448" s="82"/>
      <c r="E448" s="6"/>
      <c r="F448" s="6"/>
      <c r="G448" s="6"/>
      <c r="H448" s="82"/>
      <c r="I448" s="6"/>
      <c r="J448" s="6"/>
      <c r="K448" s="1"/>
      <c r="L448" s="1"/>
      <c r="M448" s="1"/>
      <c r="N448" s="1"/>
      <c r="O448" s="1"/>
      <c r="P448" s="1"/>
      <c r="Q448" s="1"/>
      <c r="R448" s="1"/>
      <c r="S448" s="1"/>
      <c r="T448" s="1"/>
      <c r="U448" s="1"/>
      <c r="V448" s="1"/>
      <c r="W448" s="1"/>
      <c r="X448" s="1"/>
      <c r="Y448" s="1"/>
      <c r="Z448" s="1"/>
    </row>
    <row r="449" spans="1:26" ht="15.75" customHeight="1" x14ac:dyDescent="0.3">
      <c r="A449" s="148"/>
      <c r="B449" s="6"/>
      <c r="C449" s="6"/>
      <c r="D449" s="82"/>
      <c r="E449" s="6"/>
      <c r="F449" s="6"/>
      <c r="G449" s="6"/>
      <c r="H449" s="82"/>
      <c r="I449" s="6"/>
      <c r="J449" s="6"/>
      <c r="K449" s="1"/>
      <c r="L449" s="1"/>
      <c r="M449" s="1"/>
      <c r="N449" s="1"/>
      <c r="O449" s="1"/>
      <c r="P449" s="1"/>
      <c r="Q449" s="1"/>
      <c r="R449" s="1"/>
      <c r="S449" s="1"/>
      <c r="T449" s="1"/>
      <c r="U449" s="1"/>
      <c r="V449" s="1"/>
      <c r="W449" s="1"/>
      <c r="X449" s="1"/>
      <c r="Y449" s="1"/>
      <c r="Z449" s="1"/>
    </row>
    <row r="450" spans="1:26" ht="15.75" customHeight="1" x14ac:dyDescent="0.3">
      <c r="A450" s="148"/>
      <c r="B450" s="6"/>
      <c r="C450" s="6"/>
      <c r="D450" s="82"/>
      <c r="E450" s="6"/>
      <c r="F450" s="6"/>
      <c r="G450" s="6"/>
      <c r="H450" s="82"/>
      <c r="I450" s="6"/>
      <c r="J450" s="6"/>
      <c r="K450" s="1"/>
      <c r="L450" s="1"/>
      <c r="M450" s="1"/>
      <c r="N450" s="1"/>
      <c r="O450" s="1"/>
      <c r="P450" s="1"/>
      <c r="Q450" s="1"/>
      <c r="R450" s="1"/>
      <c r="S450" s="1"/>
      <c r="T450" s="1"/>
      <c r="U450" s="1"/>
      <c r="V450" s="1"/>
      <c r="W450" s="1"/>
      <c r="X450" s="1"/>
      <c r="Y450" s="1"/>
      <c r="Z450" s="1"/>
    </row>
    <row r="451" spans="1:26" ht="15.75" customHeight="1" x14ac:dyDescent="0.3">
      <c r="A451" s="148"/>
      <c r="B451" s="6"/>
      <c r="C451" s="6"/>
      <c r="D451" s="82"/>
      <c r="E451" s="6"/>
      <c r="F451" s="6"/>
      <c r="G451" s="6"/>
      <c r="H451" s="82"/>
      <c r="I451" s="6"/>
      <c r="J451" s="6"/>
      <c r="K451" s="1"/>
      <c r="L451" s="1"/>
      <c r="M451" s="1"/>
      <c r="N451" s="1"/>
      <c r="O451" s="1"/>
      <c r="P451" s="1"/>
      <c r="Q451" s="1"/>
      <c r="R451" s="1"/>
      <c r="S451" s="1"/>
      <c r="T451" s="1"/>
      <c r="U451" s="1"/>
      <c r="V451" s="1"/>
      <c r="W451" s="1"/>
      <c r="X451" s="1"/>
      <c r="Y451" s="1"/>
      <c r="Z451" s="1"/>
    </row>
    <row r="452" spans="1:26" ht="15.75" customHeight="1" x14ac:dyDescent="0.3">
      <c r="A452" s="148"/>
      <c r="B452" s="6"/>
      <c r="C452" s="6"/>
      <c r="D452" s="82"/>
      <c r="E452" s="6"/>
      <c r="F452" s="6"/>
      <c r="G452" s="6"/>
      <c r="H452" s="82"/>
      <c r="I452" s="6"/>
      <c r="J452" s="6"/>
      <c r="K452" s="1"/>
      <c r="L452" s="1"/>
      <c r="M452" s="1"/>
      <c r="N452" s="1"/>
      <c r="O452" s="1"/>
      <c r="P452" s="1"/>
      <c r="Q452" s="1"/>
      <c r="R452" s="1"/>
      <c r="S452" s="1"/>
      <c r="T452" s="1"/>
      <c r="U452" s="1"/>
      <c r="V452" s="1"/>
      <c r="W452" s="1"/>
      <c r="X452" s="1"/>
      <c r="Y452" s="1"/>
      <c r="Z452" s="1"/>
    </row>
    <row r="453" spans="1:26" ht="15.75" customHeight="1" x14ac:dyDescent="0.3">
      <c r="A453" s="148"/>
      <c r="B453" s="6"/>
      <c r="C453" s="6"/>
      <c r="D453" s="82"/>
      <c r="E453" s="6"/>
      <c r="F453" s="6"/>
      <c r="G453" s="6"/>
      <c r="H453" s="82"/>
      <c r="I453" s="6"/>
      <c r="J453" s="6"/>
      <c r="K453" s="1"/>
      <c r="L453" s="1"/>
      <c r="M453" s="1"/>
      <c r="N453" s="1"/>
      <c r="O453" s="1"/>
      <c r="P453" s="1"/>
      <c r="Q453" s="1"/>
      <c r="R453" s="1"/>
      <c r="S453" s="1"/>
      <c r="T453" s="1"/>
      <c r="U453" s="1"/>
      <c r="V453" s="1"/>
      <c r="W453" s="1"/>
      <c r="X453" s="1"/>
      <c r="Y453" s="1"/>
      <c r="Z453" s="1"/>
    </row>
    <row r="454" spans="1:26" ht="15.75" customHeight="1" x14ac:dyDescent="0.3">
      <c r="A454" s="148"/>
      <c r="B454" s="6"/>
      <c r="C454" s="6"/>
      <c r="D454" s="82"/>
      <c r="E454" s="6"/>
      <c r="F454" s="6"/>
      <c r="G454" s="6"/>
      <c r="H454" s="82"/>
      <c r="I454" s="6"/>
      <c r="J454" s="6"/>
      <c r="K454" s="1"/>
      <c r="L454" s="1"/>
      <c r="M454" s="1"/>
      <c r="N454" s="1"/>
      <c r="O454" s="1"/>
      <c r="P454" s="1"/>
      <c r="Q454" s="1"/>
      <c r="R454" s="1"/>
      <c r="S454" s="1"/>
      <c r="T454" s="1"/>
      <c r="U454" s="1"/>
      <c r="V454" s="1"/>
      <c r="W454" s="1"/>
      <c r="X454" s="1"/>
      <c r="Y454" s="1"/>
      <c r="Z454" s="1"/>
    </row>
    <row r="455" spans="1:26" ht="15.75" customHeight="1" x14ac:dyDescent="0.3">
      <c r="A455" s="148"/>
      <c r="B455" s="6"/>
      <c r="C455" s="6"/>
      <c r="D455" s="82"/>
      <c r="E455" s="6"/>
      <c r="F455" s="6"/>
      <c r="G455" s="6"/>
      <c r="H455" s="82"/>
      <c r="I455" s="6"/>
      <c r="J455" s="6"/>
      <c r="K455" s="1"/>
      <c r="L455" s="1"/>
      <c r="M455" s="1"/>
      <c r="N455" s="1"/>
      <c r="O455" s="1"/>
      <c r="P455" s="1"/>
      <c r="Q455" s="1"/>
      <c r="R455" s="1"/>
      <c r="S455" s="1"/>
      <c r="T455" s="1"/>
      <c r="U455" s="1"/>
      <c r="V455" s="1"/>
      <c r="W455" s="1"/>
      <c r="X455" s="1"/>
      <c r="Y455" s="1"/>
      <c r="Z455" s="1"/>
    </row>
    <row r="456" spans="1:26" ht="15.75" customHeight="1" x14ac:dyDescent="0.3">
      <c r="A456" s="148"/>
      <c r="B456" s="6"/>
      <c r="C456" s="6"/>
      <c r="D456" s="82"/>
      <c r="E456" s="6"/>
      <c r="F456" s="6"/>
      <c r="G456" s="6"/>
      <c r="H456" s="82"/>
      <c r="I456" s="6"/>
      <c r="J456" s="6"/>
      <c r="K456" s="1"/>
      <c r="L456" s="1"/>
      <c r="M456" s="1"/>
      <c r="N456" s="1"/>
      <c r="O456" s="1"/>
      <c r="P456" s="1"/>
      <c r="Q456" s="1"/>
      <c r="R456" s="1"/>
      <c r="S456" s="1"/>
      <c r="T456" s="1"/>
      <c r="U456" s="1"/>
      <c r="V456" s="1"/>
      <c r="W456" s="1"/>
      <c r="X456" s="1"/>
      <c r="Y456" s="1"/>
      <c r="Z456" s="1"/>
    </row>
    <row r="457" spans="1:26" ht="15.75" customHeight="1" x14ac:dyDescent="0.3">
      <c r="A457" s="148"/>
      <c r="B457" s="6"/>
      <c r="C457" s="6"/>
      <c r="D457" s="82"/>
      <c r="E457" s="6"/>
      <c r="F457" s="6"/>
      <c r="G457" s="6"/>
      <c r="H457" s="82"/>
      <c r="I457" s="6"/>
      <c r="J457" s="6"/>
      <c r="K457" s="1"/>
      <c r="L457" s="1"/>
      <c r="M457" s="1"/>
      <c r="N457" s="1"/>
      <c r="O457" s="1"/>
      <c r="P457" s="1"/>
      <c r="Q457" s="1"/>
      <c r="R457" s="1"/>
      <c r="S457" s="1"/>
      <c r="T457" s="1"/>
      <c r="U457" s="1"/>
      <c r="V457" s="1"/>
      <c r="W457" s="1"/>
      <c r="X457" s="1"/>
      <c r="Y457" s="1"/>
      <c r="Z457" s="1"/>
    </row>
    <row r="458" spans="1:26" ht="15.75" customHeight="1" x14ac:dyDescent="0.3">
      <c r="A458" s="148"/>
      <c r="B458" s="6"/>
      <c r="C458" s="6"/>
      <c r="D458" s="82"/>
      <c r="E458" s="6"/>
      <c r="F458" s="6"/>
      <c r="G458" s="6"/>
      <c r="H458" s="82"/>
      <c r="I458" s="6"/>
      <c r="J458" s="6"/>
      <c r="K458" s="1"/>
      <c r="L458" s="1"/>
      <c r="M458" s="1"/>
      <c r="N458" s="1"/>
      <c r="O458" s="1"/>
      <c r="P458" s="1"/>
      <c r="Q458" s="1"/>
      <c r="R458" s="1"/>
      <c r="S458" s="1"/>
      <c r="T458" s="1"/>
      <c r="U458" s="1"/>
      <c r="V458" s="1"/>
      <c r="W458" s="1"/>
      <c r="X458" s="1"/>
      <c r="Y458" s="1"/>
      <c r="Z458" s="1"/>
    </row>
    <row r="459" spans="1:26" ht="15.75" customHeight="1" x14ac:dyDescent="0.3">
      <c r="A459" s="148"/>
      <c r="B459" s="6"/>
      <c r="C459" s="6"/>
      <c r="D459" s="82"/>
      <c r="E459" s="6"/>
      <c r="F459" s="6"/>
      <c r="G459" s="6"/>
      <c r="H459" s="82"/>
      <c r="I459" s="6"/>
      <c r="J459" s="6"/>
      <c r="K459" s="1"/>
      <c r="L459" s="1"/>
      <c r="M459" s="1"/>
      <c r="N459" s="1"/>
      <c r="O459" s="1"/>
      <c r="P459" s="1"/>
      <c r="Q459" s="1"/>
      <c r="R459" s="1"/>
      <c r="S459" s="1"/>
      <c r="T459" s="1"/>
      <c r="U459" s="1"/>
      <c r="V459" s="1"/>
      <c r="W459" s="1"/>
      <c r="X459" s="1"/>
      <c r="Y459" s="1"/>
      <c r="Z459" s="1"/>
    </row>
    <row r="460" spans="1:26" ht="15.75" customHeight="1" x14ac:dyDescent="0.3">
      <c r="A460" s="148"/>
      <c r="B460" s="6"/>
      <c r="C460" s="6"/>
      <c r="D460" s="82"/>
      <c r="E460" s="6"/>
      <c r="F460" s="6"/>
      <c r="G460" s="6"/>
      <c r="H460" s="82"/>
      <c r="I460" s="6"/>
      <c r="J460" s="6"/>
      <c r="K460" s="1"/>
      <c r="L460" s="1"/>
      <c r="M460" s="1"/>
      <c r="N460" s="1"/>
      <c r="O460" s="1"/>
      <c r="P460" s="1"/>
      <c r="Q460" s="1"/>
      <c r="R460" s="1"/>
      <c r="S460" s="1"/>
      <c r="T460" s="1"/>
      <c r="U460" s="1"/>
      <c r="V460" s="1"/>
      <c r="W460" s="1"/>
      <c r="X460" s="1"/>
      <c r="Y460" s="1"/>
      <c r="Z460" s="1"/>
    </row>
    <row r="461" spans="1:26" ht="15.75" customHeight="1" x14ac:dyDescent="0.3">
      <c r="A461" s="148"/>
      <c r="B461" s="6"/>
      <c r="C461" s="6"/>
      <c r="D461" s="82"/>
      <c r="E461" s="6"/>
      <c r="F461" s="6"/>
      <c r="G461" s="6"/>
      <c r="H461" s="82"/>
      <c r="I461" s="6"/>
      <c r="J461" s="6"/>
      <c r="K461" s="1"/>
      <c r="L461" s="1"/>
      <c r="M461" s="1"/>
      <c r="N461" s="1"/>
      <c r="O461" s="1"/>
      <c r="P461" s="1"/>
      <c r="Q461" s="1"/>
      <c r="R461" s="1"/>
      <c r="S461" s="1"/>
      <c r="T461" s="1"/>
      <c r="U461" s="1"/>
      <c r="V461" s="1"/>
      <c r="W461" s="1"/>
      <c r="X461" s="1"/>
      <c r="Y461" s="1"/>
      <c r="Z461" s="1"/>
    </row>
    <row r="462" spans="1:26" ht="15.75" customHeight="1" x14ac:dyDescent="0.3">
      <c r="A462" s="148"/>
      <c r="B462" s="6"/>
      <c r="C462" s="6"/>
      <c r="D462" s="82"/>
      <c r="E462" s="6"/>
      <c r="F462" s="6"/>
      <c r="G462" s="6"/>
      <c r="H462" s="82"/>
      <c r="I462" s="6"/>
      <c r="J462" s="6"/>
      <c r="K462" s="1"/>
      <c r="L462" s="1"/>
      <c r="M462" s="1"/>
      <c r="N462" s="1"/>
      <c r="O462" s="1"/>
      <c r="P462" s="1"/>
      <c r="Q462" s="1"/>
      <c r="R462" s="1"/>
      <c r="S462" s="1"/>
      <c r="T462" s="1"/>
      <c r="U462" s="1"/>
      <c r="V462" s="1"/>
      <c r="W462" s="1"/>
      <c r="X462" s="1"/>
      <c r="Y462" s="1"/>
      <c r="Z462" s="1"/>
    </row>
    <row r="463" spans="1:26" ht="15.75" customHeight="1" x14ac:dyDescent="0.3">
      <c r="A463" s="148"/>
      <c r="B463" s="6"/>
      <c r="C463" s="6"/>
      <c r="D463" s="82"/>
      <c r="E463" s="6"/>
      <c r="F463" s="6"/>
      <c r="G463" s="6"/>
      <c r="H463" s="82"/>
      <c r="I463" s="6"/>
      <c r="J463" s="6"/>
      <c r="K463" s="1"/>
      <c r="L463" s="1"/>
      <c r="M463" s="1"/>
      <c r="N463" s="1"/>
      <c r="O463" s="1"/>
      <c r="P463" s="1"/>
      <c r="Q463" s="1"/>
      <c r="R463" s="1"/>
      <c r="S463" s="1"/>
      <c r="T463" s="1"/>
      <c r="U463" s="1"/>
      <c r="V463" s="1"/>
      <c r="W463" s="1"/>
      <c r="X463" s="1"/>
      <c r="Y463" s="1"/>
      <c r="Z463" s="1"/>
    </row>
    <row r="464" spans="1:26" ht="15.75" customHeight="1" x14ac:dyDescent="0.3">
      <c r="A464" s="148"/>
      <c r="B464" s="6"/>
      <c r="C464" s="6"/>
      <c r="D464" s="82"/>
      <c r="E464" s="6"/>
      <c r="F464" s="6"/>
      <c r="G464" s="6"/>
      <c r="H464" s="82"/>
      <c r="I464" s="6"/>
      <c r="J464" s="6"/>
      <c r="K464" s="1"/>
      <c r="L464" s="1"/>
      <c r="M464" s="1"/>
      <c r="N464" s="1"/>
      <c r="O464" s="1"/>
      <c r="P464" s="1"/>
      <c r="Q464" s="1"/>
      <c r="R464" s="1"/>
      <c r="S464" s="1"/>
      <c r="T464" s="1"/>
      <c r="U464" s="1"/>
      <c r="V464" s="1"/>
      <c r="W464" s="1"/>
      <c r="X464" s="1"/>
      <c r="Y464" s="1"/>
      <c r="Z464" s="1"/>
    </row>
    <row r="465" spans="1:26" ht="15.75" customHeight="1" x14ac:dyDescent="0.3">
      <c r="A465" s="148"/>
      <c r="B465" s="6"/>
      <c r="C465" s="6"/>
      <c r="D465" s="82"/>
      <c r="E465" s="6"/>
      <c r="F465" s="6"/>
      <c r="G465" s="6"/>
      <c r="H465" s="82"/>
      <c r="I465" s="6"/>
      <c r="J465" s="6"/>
      <c r="K465" s="1"/>
      <c r="L465" s="1"/>
      <c r="M465" s="1"/>
      <c r="N465" s="1"/>
      <c r="O465" s="1"/>
      <c r="P465" s="1"/>
      <c r="Q465" s="1"/>
      <c r="R465" s="1"/>
      <c r="S465" s="1"/>
      <c r="T465" s="1"/>
      <c r="U465" s="1"/>
      <c r="V465" s="1"/>
      <c r="W465" s="1"/>
      <c r="X465" s="1"/>
      <c r="Y465" s="1"/>
      <c r="Z465" s="1"/>
    </row>
    <row r="466" spans="1:26" ht="15.75" customHeight="1" x14ac:dyDescent="0.3">
      <c r="A466" s="148"/>
      <c r="B466" s="6"/>
      <c r="C466" s="6"/>
      <c r="D466" s="82"/>
      <c r="E466" s="6"/>
      <c r="F466" s="6"/>
      <c r="G466" s="6"/>
      <c r="H466" s="82"/>
      <c r="I466" s="6"/>
      <c r="J466" s="6"/>
      <c r="K466" s="1"/>
      <c r="L466" s="1"/>
      <c r="M466" s="1"/>
      <c r="N466" s="1"/>
      <c r="O466" s="1"/>
      <c r="P466" s="1"/>
      <c r="Q466" s="1"/>
      <c r="R466" s="1"/>
      <c r="S466" s="1"/>
      <c r="T466" s="1"/>
      <c r="U466" s="1"/>
      <c r="V466" s="1"/>
      <c r="W466" s="1"/>
      <c r="X466" s="1"/>
      <c r="Y466" s="1"/>
      <c r="Z466" s="1"/>
    </row>
    <row r="467" spans="1:26" ht="15.75" customHeight="1" x14ac:dyDescent="0.3">
      <c r="A467" s="148"/>
      <c r="B467" s="6"/>
      <c r="C467" s="6"/>
      <c r="D467" s="82"/>
      <c r="E467" s="6"/>
      <c r="F467" s="6"/>
      <c r="G467" s="6"/>
      <c r="H467" s="82"/>
      <c r="I467" s="6"/>
      <c r="J467" s="6"/>
      <c r="K467" s="1"/>
      <c r="L467" s="1"/>
      <c r="M467" s="1"/>
      <c r="N467" s="1"/>
      <c r="O467" s="1"/>
      <c r="P467" s="1"/>
      <c r="Q467" s="1"/>
      <c r="R467" s="1"/>
      <c r="S467" s="1"/>
      <c r="T467" s="1"/>
      <c r="U467" s="1"/>
      <c r="V467" s="1"/>
      <c r="W467" s="1"/>
      <c r="X467" s="1"/>
      <c r="Y467" s="1"/>
      <c r="Z467" s="1"/>
    </row>
    <row r="468" spans="1:26" ht="15.75" customHeight="1" x14ac:dyDescent="0.3">
      <c r="A468" s="148"/>
      <c r="B468" s="6"/>
      <c r="C468" s="6"/>
      <c r="D468" s="82"/>
      <c r="E468" s="6"/>
      <c r="F468" s="6"/>
      <c r="G468" s="6"/>
      <c r="H468" s="82"/>
      <c r="I468" s="6"/>
      <c r="J468" s="6"/>
      <c r="K468" s="1"/>
      <c r="L468" s="1"/>
      <c r="M468" s="1"/>
      <c r="N468" s="1"/>
      <c r="O468" s="1"/>
      <c r="P468" s="1"/>
      <c r="Q468" s="1"/>
      <c r="R468" s="1"/>
      <c r="S468" s="1"/>
      <c r="T468" s="1"/>
      <c r="U468" s="1"/>
      <c r="V468" s="1"/>
      <c r="W468" s="1"/>
      <c r="X468" s="1"/>
      <c r="Y468" s="1"/>
      <c r="Z468" s="1"/>
    </row>
    <row r="469" spans="1:26" ht="15.75" customHeight="1" x14ac:dyDescent="0.3">
      <c r="A469" s="148"/>
      <c r="B469" s="6"/>
      <c r="C469" s="6"/>
      <c r="D469" s="82"/>
      <c r="E469" s="6"/>
      <c r="F469" s="6"/>
      <c r="G469" s="6"/>
      <c r="H469" s="82"/>
      <c r="I469" s="6"/>
      <c r="J469" s="6"/>
      <c r="K469" s="1"/>
      <c r="L469" s="1"/>
      <c r="M469" s="1"/>
      <c r="N469" s="1"/>
      <c r="O469" s="1"/>
      <c r="P469" s="1"/>
      <c r="Q469" s="1"/>
      <c r="R469" s="1"/>
      <c r="S469" s="1"/>
      <c r="T469" s="1"/>
      <c r="U469" s="1"/>
      <c r="V469" s="1"/>
      <c r="W469" s="1"/>
      <c r="X469" s="1"/>
      <c r="Y469" s="1"/>
      <c r="Z469" s="1"/>
    </row>
    <row r="470" spans="1:26" ht="15.75" customHeight="1" x14ac:dyDescent="0.3">
      <c r="A470" s="148"/>
      <c r="B470" s="6"/>
      <c r="C470" s="6"/>
      <c r="D470" s="82"/>
      <c r="E470" s="6"/>
      <c r="F470" s="6"/>
      <c r="G470" s="6"/>
      <c r="H470" s="82"/>
      <c r="I470" s="6"/>
      <c r="J470" s="6"/>
      <c r="K470" s="1"/>
      <c r="L470" s="1"/>
      <c r="M470" s="1"/>
      <c r="N470" s="1"/>
      <c r="O470" s="1"/>
      <c r="P470" s="1"/>
      <c r="Q470" s="1"/>
      <c r="R470" s="1"/>
      <c r="S470" s="1"/>
      <c r="T470" s="1"/>
      <c r="U470" s="1"/>
      <c r="V470" s="1"/>
      <c r="W470" s="1"/>
      <c r="X470" s="1"/>
      <c r="Y470" s="1"/>
      <c r="Z470" s="1"/>
    </row>
    <row r="471" spans="1:26" ht="15.75" customHeight="1" x14ac:dyDescent="0.3">
      <c r="A471" s="148"/>
      <c r="B471" s="6"/>
      <c r="C471" s="6"/>
      <c r="D471" s="82"/>
      <c r="E471" s="6"/>
      <c r="F471" s="6"/>
      <c r="G471" s="6"/>
      <c r="H471" s="82"/>
      <c r="I471" s="6"/>
      <c r="J471" s="6"/>
      <c r="K471" s="1"/>
      <c r="L471" s="1"/>
      <c r="M471" s="1"/>
      <c r="N471" s="1"/>
      <c r="O471" s="1"/>
      <c r="P471" s="1"/>
      <c r="Q471" s="1"/>
      <c r="R471" s="1"/>
      <c r="S471" s="1"/>
      <c r="T471" s="1"/>
      <c r="U471" s="1"/>
      <c r="V471" s="1"/>
      <c r="W471" s="1"/>
      <c r="X471" s="1"/>
      <c r="Y471" s="1"/>
      <c r="Z471" s="1"/>
    </row>
    <row r="472" spans="1:26" ht="15.75" customHeight="1" x14ac:dyDescent="0.3">
      <c r="A472" s="148"/>
      <c r="B472" s="6"/>
      <c r="C472" s="6"/>
      <c r="D472" s="82"/>
      <c r="E472" s="6"/>
      <c r="F472" s="6"/>
      <c r="G472" s="6"/>
      <c r="H472" s="82"/>
      <c r="I472" s="6"/>
      <c r="J472" s="6"/>
      <c r="K472" s="1"/>
      <c r="L472" s="1"/>
      <c r="M472" s="1"/>
      <c r="N472" s="1"/>
      <c r="O472" s="1"/>
      <c r="P472" s="1"/>
      <c r="Q472" s="1"/>
      <c r="R472" s="1"/>
      <c r="S472" s="1"/>
      <c r="T472" s="1"/>
      <c r="U472" s="1"/>
      <c r="V472" s="1"/>
      <c r="W472" s="1"/>
      <c r="X472" s="1"/>
      <c r="Y472" s="1"/>
      <c r="Z472" s="1"/>
    </row>
    <row r="473" spans="1:26" ht="15.75" customHeight="1" x14ac:dyDescent="0.3">
      <c r="A473" s="148"/>
      <c r="B473" s="6"/>
      <c r="C473" s="6"/>
      <c r="D473" s="82"/>
      <c r="E473" s="6"/>
      <c r="F473" s="6"/>
      <c r="G473" s="6"/>
      <c r="H473" s="82"/>
      <c r="I473" s="6"/>
      <c r="J473" s="6"/>
      <c r="K473" s="1"/>
      <c r="L473" s="1"/>
      <c r="M473" s="1"/>
      <c r="N473" s="1"/>
      <c r="O473" s="1"/>
      <c r="P473" s="1"/>
      <c r="Q473" s="1"/>
      <c r="R473" s="1"/>
      <c r="S473" s="1"/>
      <c r="T473" s="1"/>
      <c r="U473" s="1"/>
      <c r="V473" s="1"/>
      <c r="W473" s="1"/>
      <c r="X473" s="1"/>
      <c r="Y473" s="1"/>
      <c r="Z473" s="1"/>
    </row>
    <row r="474" spans="1:26" ht="15.75" customHeight="1" x14ac:dyDescent="0.3">
      <c r="A474" s="148"/>
      <c r="B474" s="6"/>
      <c r="C474" s="6"/>
      <c r="D474" s="82"/>
      <c r="E474" s="6"/>
      <c r="F474" s="6"/>
      <c r="G474" s="6"/>
      <c r="H474" s="82"/>
      <c r="I474" s="6"/>
      <c r="J474" s="6"/>
      <c r="K474" s="1"/>
      <c r="L474" s="1"/>
      <c r="M474" s="1"/>
      <c r="N474" s="1"/>
      <c r="O474" s="1"/>
      <c r="P474" s="1"/>
      <c r="Q474" s="1"/>
      <c r="R474" s="1"/>
      <c r="S474" s="1"/>
      <c r="T474" s="1"/>
      <c r="U474" s="1"/>
      <c r="V474" s="1"/>
      <c r="W474" s="1"/>
      <c r="X474" s="1"/>
      <c r="Y474" s="1"/>
      <c r="Z474" s="1"/>
    </row>
    <row r="475" spans="1:26" ht="15.75" customHeight="1" x14ac:dyDescent="0.3">
      <c r="A475" s="148"/>
      <c r="B475" s="6"/>
      <c r="C475" s="6"/>
      <c r="D475" s="82"/>
      <c r="E475" s="6"/>
      <c r="F475" s="6"/>
      <c r="G475" s="6"/>
      <c r="H475" s="82"/>
      <c r="I475" s="6"/>
      <c r="J475" s="6"/>
      <c r="K475" s="1"/>
      <c r="L475" s="1"/>
      <c r="M475" s="1"/>
      <c r="N475" s="1"/>
      <c r="O475" s="1"/>
      <c r="P475" s="1"/>
      <c r="Q475" s="1"/>
      <c r="R475" s="1"/>
      <c r="S475" s="1"/>
      <c r="T475" s="1"/>
      <c r="U475" s="1"/>
      <c r="V475" s="1"/>
      <c r="W475" s="1"/>
      <c r="X475" s="1"/>
      <c r="Y475" s="1"/>
      <c r="Z475" s="1"/>
    </row>
    <row r="476" spans="1:26" ht="15.75" customHeight="1" x14ac:dyDescent="0.3">
      <c r="A476" s="148"/>
      <c r="B476" s="6"/>
      <c r="C476" s="6"/>
      <c r="D476" s="82"/>
      <c r="E476" s="6"/>
      <c r="F476" s="6"/>
      <c r="G476" s="6"/>
      <c r="H476" s="82"/>
      <c r="I476" s="6"/>
      <c r="J476" s="6"/>
      <c r="K476" s="1"/>
      <c r="L476" s="1"/>
      <c r="M476" s="1"/>
      <c r="N476" s="1"/>
      <c r="O476" s="1"/>
      <c r="P476" s="1"/>
      <c r="Q476" s="1"/>
      <c r="R476" s="1"/>
      <c r="S476" s="1"/>
      <c r="T476" s="1"/>
      <c r="U476" s="1"/>
      <c r="V476" s="1"/>
      <c r="W476" s="1"/>
      <c r="X476" s="1"/>
      <c r="Y476" s="1"/>
      <c r="Z476" s="1"/>
    </row>
    <row r="477" spans="1:26" ht="15.75" customHeight="1" x14ac:dyDescent="0.3">
      <c r="A477" s="148"/>
      <c r="B477" s="6"/>
      <c r="C477" s="6"/>
      <c r="D477" s="82"/>
      <c r="E477" s="6"/>
      <c r="F477" s="6"/>
      <c r="G477" s="6"/>
      <c r="H477" s="82"/>
      <c r="I477" s="6"/>
      <c r="J477" s="6"/>
      <c r="K477" s="1"/>
      <c r="L477" s="1"/>
      <c r="M477" s="1"/>
      <c r="N477" s="1"/>
      <c r="O477" s="1"/>
      <c r="P477" s="1"/>
      <c r="Q477" s="1"/>
      <c r="R477" s="1"/>
      <c r="S477" s="1"/>
      <c r="T477" s="1"/>
      <c r="U477" s="1"/>
      <c r="V477" s="1"/>
      <c r="W477" s="1"/>
      <c r="X477" s="1"/>
      <c r="Y477" s="1"/>
      <c r="Z477" s="1"/>
    </row>
    <row r="478" spans="1:26" ht="15.75" customHeight="1" x14ac:dyDescent="0.3">
      <c r="A478" s="148"/>
      <c r="B478" s="6"/>
      <c r="C478" s="6"/>
      <c r="D478" s="82"/>
      <c r="E478" s="6"/>
      <c r="F478" s="6"/>
      <c r="G478" s="6"/>
      <c r="H478" s="82"/>
      <c r="I478" s="6"/>
      <c r="J478" s="6"/>
      <c r="K478" s="1"/>
      <c r="L478" s="1"/>
      <c r="M478" s="1"/>
      <c r="N478" s="1"/>
      <c r="O478" s="1"/>
      <c r="P478" s="1"/>
      <c r="Q478" s="1"/>
      <c r="R478" s="1"/>
      <c r="S478" s="1"/>
      <c r="T478" s="1"/>
      <c r="U478" s="1"/>
      <c r="V478" s="1"/>
      <c r="W478" s="1"/>
      <c r="X478" s="1"/>
      <c r="Y478" s="1"/>
      <c r="Z478" s="1"/>
    </row>
    <row r="479" spans="1:26" ht="15.75" customHeight="1" x14ac:dyDescent="0.3">
      <c r="A479" s="148"/>
      <c r="B479" s="6"/>
      <c r="C479" s="6"/>
      <c r="D479" s="82"/>
      <c r="E479" s="6"/>
      <c r="F479" s="6"/>
      <c r="G479" s="6"/>
      <c r="H479" s="82"/>
      <c r="I479" s="6"/>
      <c r="J479" s="6"/>
      <c r="K479" s="1"/>
      <c r="L479" s="1"/>
      <c r="M479" s="1"/>
      <c r="N479" s="1"/>
      <c r="O479" s="1"/>
      <c r="P479" s="1"/>
      <c r="Q479" s="1"/>
      <c r="R479" s="1"/>
      <c r="S479" s="1"/>
      <c r="T479" s="1"/>
      <c r="U479" s="1"/>
      <c r="V479" s="1"/>
      <c r="W479" s="1"/>
      <c r="X479" s="1"/>
      <c r="Y479" s="1"/>
      <c r="Z479" s="1"/>
    </row>
    <row r="480" spans="1:26" ht="15.75" customHeight="1" x14ac:dyDescent="0.3">
      <c r="A480" s="148"/>
      <c r="B480" s="6"/>
      <c r="C480" s="6"/>
      <c r="D480" s="82"/>
      <c r="E480" s="6"/>
      <c r="F480" s="6"/>
      <c r="G480" s="6"/>
      <c r="H480" s="82"/>
      <c r="I480" s="6"/>
      <c r="J480" s="6"/>
      <c r="K480" s="1"/>
      <c r="L480" s="1"/>
      <c r="M480" s="1"/>
      <c r="N480" s="1"/>
      <c r="O480" s="1"/>
      <c r="P480" s="1"/>
      <c r="Q480" s="1"/>
      <c r="R480" s="1"/>
      <c r="S480" s="1"/>
      <c r="T480" s="1"/>
      <c r="U480" s="1"/>
      <c r="V480" s="1"/>
      <c r="W480" s="1"/>
      <c r="X480" s="1"/>
      <c r="Y480" s="1"/>
      <c r="Z480" s="1"/>
    </row>
    <row r="481" spans="1:26" ht="15.75" customHeight="1" x14ac:dyDescent="0.3">
      <c r="A481" s="148"/>
      <c r="B481" s="6"/>
      <c r="C481" s="6"/>
      <c r="D481" s="82"/>
      <c r="E481" s="6"/>
      <c r="F481" s="6"/>
      <c r="G481" s="6"/>
      <c r="H481" s="82"/>
      <c r="I481" s="6"/>
      <c r="J481" s="6"/>
      <c r="K481" s="1"/>
      <c r="L481" s="1"/>
      <c r="M481" s="1"/>
      <c r="N481" s="1"/>
      <c r="O481" s="1"/>
      <c r="P481" s="1"/>
      <c r="Q481" s="1"/>
      <c r="R481" s="1"/>
      <c r="S481" s="1"/>
      <c r="T481" s="1"/>
      <c r="U481" s="1"/>
      <c r="V481" s="1"/>
      <c r="W481" s="1"/>
      <c r="X481" s="1"/>
      <c r="Y481" s="1"/>
      <c r="Z481" s="1"/>
    </row>
    <row r="482" spans="1:26" ht="15.75" customHeight="1" x14ac:dyDescent="0.3">
      <c r="A482" s="148"/>
      <c r="B482" s="6"/>
      <c r="C482" s="6"/>
      <c r="D482" s="82"/>
      <c r="E482" s="6"/>
      <c r="F482" s="6"/>
      <c r="G482" s="6"/>
      <c r="H482" s="82"/>
      <c r="I482" s="6"/>
      <c r="J482" s="6"/>
      <c r="K482" s="1"/>
      <c r="L482" s="1"/>
      <c r="M482" s="1"/>
      <c r="N482" s="1"/>
      <c r="O482" s="1"/>
      <c r="P482" s="1"/>
      <c r="Q482" s="1"/>
      <c r="R482" s="1"/>
      <c r="S482" s="1"/>
      <c r="T482" s="1"/>
      <c r="U482" s="1"/>
      <c r="V482" s="1"/>
      <c r="W482" s="1"/>
      <c r="X482" s="1"/>
      <c r="Y482" s="1"/>
      <c r="Z482" s="1"/>
    </row>
    <row r="483" spans="1:26" ht="15.75" customHeight="1" x14ac:dyDescent="0.3">
      <c r="A483" s="148"/>
      <c r="B483" s="6"/>
      <c r="C483" s="6"/>
      <c r="D483" s="82"/>
      <c r="E483" s="6"/>
      <c r="F483" s="6"/>
      <c r="G483" s="6"/>
      <c r="H483" s="82"/>
      <c r="I483" s="6"/>
      <c r="J483" s="6"/>
      <c r="K483" s="1"/>
      <c r="L483" s="1"/>
      <c r="M483" s="1"/>
      <c r="N483" s="1"/>
      <c r="O483" s="1"/>
      <c r="P483" s="1"/>
      <c r="Q483" s="1"/>
      <c r="R483" s="1"/>
      <c r="S483" s="1"/>
      <c r="T483" s="1"/>
      <c r="U483" s="1"/>
      <c r="V483" s="1"/>
      <c r="W483" s="1"/>
      <c r="X483" s="1"/>
      <c r="Y483" s="1"/>
      <c r="Z483" s="1"/>
    </row>
    <row r="484" spans="1:26" ht="15.75" customHeight="1" x14ac:dyDescent="0.3">
      <c r="A484" s="148"/>
      <c r="B484" s="6"/>
      <c r="C484" s="6"/>
      <c r="D484" s="82"/>
      <c r="E484" s="6"/>
      <c r="F484" s="6"/>
      <c r="G484" s="6"/>
      <c r="H484" s="82"/>
      <c r="I484" s="6"/>
      <c r="J484" s="6"/>
      <c r="K484" s="1"/>
      <c r="L484" s="1"/>
      <c r="M484" s="1"/>
      <c r="N484" s="1"/>
      <c r="O484" s="1"/>
      <c r="P484" s="1"/>
      <c r="Q484" s="1"/>
      <c r="R484" s="1"/>
      <c r="S484" s="1"/>
      <c r="T484" s="1"/>
      <c r="U484" s="1"/>
      <c r="V484" s="1"/>
      <c r="W484" s="1"/>
      <c r="X484" s="1"/>
      <c r="Y484" s="1"/>
      <c r="Z484" s="1"/>
    </row>
    <row r="485" spans="1:26" ht="15.75" customHeight="1" x14ac:dyDescent="0.3">
      <c r="A485" s="148"/>
      <c r="B485" s="6"/>
      <c r="C485" s="6"/>
      <c r="D485" s="82"/>
      <c r="E485" s="6"/>
      <c r="F485" s="6"/>
      <c r="G485" s="6"/>
      <c r="H485" s="82"/>
      <c r="I485" s="6"/>
      <c r="J485" s="6"/>
      <c r="K485" s="1"/>
      <c r="L485" s="1"/>
      <c r="M485" s="1"/>
      <c r="N485" s="1"/>
      <c r="O485" s="1"/>
      <c r="P485" s="1"/>
      <c r="Q485" s="1"/>
      <c r="R485" s="1"/>
      <c r="S485" s="1"/>
      <c r="T485" s="1"/>
      <c r="U485" s="1"/>
      <c r="V485" s="1"/>
      <c r="W485" s="1"/>
      <c r="X485" s="1"/>
      <c r="Y485" s="1"/>
      <c r="Z485" s="1"/>
    </row>
    <row r="486" spans="1:26" ht="15.75" customHeight="1" x14ac:dyDescent="0.3">
      <c r="A486" s="148"/>
      <c r="B486" s="6"/>
      <c r="C486" s="6"/>
      <c r="D486" s="82"/>
      <c r="E486" s="6"/>
      <c r="F486" s="6"/>
      <c r="G486" s="6"/>
      <c r="H486" s="82"/>
      <c r="I486" s="6"/>
      <c r="J486" s="6"/>
      <c r="K486" s="1"/>
      <c r="L486" s="1"/>
      <c r="M486" s="1"/>
      <c r="N486" s="1"/>
      <c r="O486" s="1"/>
      <c r="P486" s="1"/>
      <c r="Q486" s="1"/>
      <c r="R486" s="1"/>
      <c r="S486" s="1"/>
      <c r="T486" s="1"/>
      <c r="U486" s="1"/>
      <c r="V486" s="1"/>
      <c r="W486" s="1"/>
      <c r="X486" s="1"/>
      <c r="Y486" s="1"/>
      <c r="Z486" s="1"/>
    </row>
    <row r="487" spans="1:26" ht="15.75" customHeight="1" x14ac:dyDescent="0.3">
      <c r="A487" s="148"/>
      <c r="B487" s="6"/>
      <c r="C487" s="6"/>
      <c r="D487" s="82"/>
      <c r="E487" s="6"/>
      <c r="F487" s="6"/>
      <c r="G487" s="6"/>
      <c r="H487" s="82"/>
      <c r="I487" s="6"/>
      <c r="J487" s="6"/>
      <c r="K487" s="1"/>
      <c r="L487" s="1"/>
      <c r="M487" s="1"/>
      <c r="N487" s="1"/>
      <c r="O487" s="1"/>
      <c r="P487" s="1"/>
      <c r="Q487" s="1"/>
      <c r="R487" s="1"/>
      <c r="S487" s="1"/>
      <c r="T487" s="1"/>
      <c r="U487" s="1"/>
      <c r="V487" s="1"/>
      <c r="W487" s="1"/>
      <c r="X487" s="1"/>
      <c r="Y487" s="1"/>
      <c r="Z487" s="1"/>
    </row>
    <row r="488" spans="1:26" ht="15.75" customHeight="1" x14ac:dyDescent="0.3">
      <c r="A488" s="148"/>
      <c r="B488" s="6"/>
      <c r="C488" s="6"/>
      <c r="D488" s="82"/>
      <c r="E488" s="6"/>
      <c r="F488" s="6"/>
      <c r="G488" s="6"/>
      <c r="H488" s="82"/>
      <c r="I488" s="6"/>
      <c r="J488" s="6"/>
      <c r="K488" s="1"/>
      <c r="L488" s="1"/>
      <c r="M488" s="1"/>
      <c r="N488" s="1"/>
      <c r="O488" s="1"/>
      <c r="P488" s="1"/>
      <c r="Q488" s="1"/>
      <c r="R488" s="1"/>
      <c r="S488" s="1"/>
      <c r="T488" s="1"/>
      <c r="U488" s="1"/>
      <c r="V488" s="1"/>
      <c r="W488" s="1"/>
      <c r="X488" s="1"/>
      <c r="Y488" s="1"/>
      <c r="Z488" s="1"/>
    </row>
    <row r="489" spans="1:26" ht="15.75" customHeight="1" x14ac:dyDescent="0.3">
      <c r="A489" s="148"/>
      <c r="B489" s="6"/>
      <c r="C489" s="6"/>
      <c r="D489" s="82"/>
      <c r="E489" s="6"/>
      <c r="F489" s="6"/>
      <c r="G489" s="6"/>
      <c r="H489" s="82"/>
      <c r="I489" s="6"/>
      <c r="J489" s="6"/>
      <c r="K489" s="1"/>
      <c r="L489" s="1"/>
      <c r="M489" s="1"/>
      <c r="N489" s="1"/>
      <c r="O489" s="1"/>
      <c r="P489" s="1"/>
      <c r="Q489" s="1"/>
      <c r="R489" s="1"/>
      <c r="S489" s="1"/>
      <c r="T489" s="1"/>
      <c r="U489" s="1"/>
      <c r="V489" s="1"/>
      <c r="W489" s="1"/>
      <c r="X489" s="1"/>
      <c r="Y489" s="1"/>
      <c r="Z489" s="1"/>
    </row>
    <row r="490" spans="1:26" ht="15.75" customHeight="1" x14ac:dyDescent="0.3">
      <c r="A490" s="148"/>
      <c r="B490" s="6"/>
      <c r="C490" s="6"/>
      <c r="D490" s="82"/>
      <c r="E490" s="6"/>
      <c r="F490" s="6"/>
      <c r="G490" s="6"/>
      <c r="H490" s="82"/>
      <c r="I490" s="6"/>
      <c r="J490" s="6"/>
      <c r="K490" s="1"/>
      <c r="L490" s="1"/>
      <c r="M490" s="1"/>
      <c r="N490" s="1"/>
      <c r="O490" s="1"/>
      <c r="P490" s="1"/>
      <c r="Q490" s="1"/>
      <c r="R490" s="1"/>
      <c r="S490" s="1"/>
      <c r="T490" s="1"/>
      <c r="U490" s="1"/>
      <c r="V490" s="1"/>
      <c r="W490" s="1"/>
      <c r="X490" s="1"/>
      <c r="Y490" s="1"/>
      <c r="Z490" s="1"/>
    </row>
    <row r="491" spans="1:26" ht="15.75" customHeight="1" x14ac:dyDescent="0.3">
      <c r="A491" s="148"/>
      <c r="B491" s="6"/>
      <c r="C491" s="6"/>
      <c r="D491" s="82"/>
      <c r="E491" s="6"/>
      <c r="F491" s="6"/>
      <c r="G491" s="6"/>
      <c r="H491" s="82"/>
      <c r="I491" s="6"/>
      <c r="J491" s="6"/>
      <c r="K491" s="1"/>
      <c r="L491" s="1"/>
      <c r="M491" s="1"/>
      <c r="N491" s="1"/>
      <c r="O491" s="1"/>
      <c r="P491" s="1"/>
      <c r="Q491" s="1"/>
      <c r="R491" s="1"/>
      <c r="S491" s="1"/>
      <c r="T491" s="1"/>
      <c r="U491" s="1"/>
      <c r="V491" s="1"/>
      <c r="W491" s="1"/>
      <c r="X491" s="1"/>
      <c r="Y491" s="1"/>
      <c r="Z491" s="1"/>
    </row>
    <row r="492" spans="1:26" ht="15.75" customHeight="1" x14ac:dyDescent="0.3">
      <c r="A492" s="148"/>
      <c r="B492" s="6"/>
      <c r="C492" s="6"/>
      <c r="D492" s="82"/>
      <c r="E492" s="6"/>
      <c r="F492" s="6"/>
      <c r="G492" s="6"/>
      <c r="H492" s="82"/>
      <c r="I492" s="6"/>
      <c r="J492" s="6"/>
      <c r="K492" s="1"/>
      <c r="L492" s="1"/>
      <c r="M492" s="1"/>
      <c r="N492" s="1"/>
      <c r="O492" s="1"/>
      <c r="P492" s="1"/>
      <c r="Q492" s="1"/>
      <c r="R492" s="1"/>
      <c r="S492" s="1"/>
      <c r="T492" s="1"/>
      <c r="U492" s="1"/>
      <c r="V492" s="1"/>
      <c r="W492" s="1"/>
      <c r="X492" s="1"/>
      <c r="Y492" s="1"/>
      <c r="Z492" s="1"/>
    </row>
    <row r="493" spans="1:26" ht="15.75" customHeight="1" x14ac:dyDescent="0.3">
      <c r="A493" s="148"/>
      <c r="B493" s="6"/>
      <c r="C493" s="6"/>
      <c r="D493" s="82"/>
      <c r="E493" s="6"/>
      <c r="F493" s="6"/>
      <c r="G493" s="6"/>
      <c r="H493" s="82"/>
      <c r="I493" s="6"/>
      <c r="J493" s="6"/>
      <c r="K493" s="1"/>
      <c r="L493" s="1"/>
      <c r="M493" s="1"/>
      <c r="N493" s="1"/>
      <c r="O493" s="1"/>
      <c r="P493" s="1"/>
      <c r="Q493" s="1"/>
      <c r="R493" s="1"/>
      <c r="S493" s="1"/>
      <c r="T493" s="1"/>
      <c r="U493" s="1"/>
      <c r="V493" s="1"/>
      <c r="W493" s="1"/>
      <c r="X493" s="1"/>
      <c r="Y493" s="1"/>
      <c r="Z493" s="1"/>
    </row>
    <row r="494" spans="1:26" ht="15.75" customHeight="1" x14ac:dyDescent="0.3">
      <c r="A494" s="148"/>
      <c r="B494" s="6"/>
      <c r="C494" s="6"/>
      <c r="D494" s="82"/>
      <c r="E494" s="6"/>
      <c r="F494" s="6"/>
      <c r="G494" s="6"/>
      <c r="H494" s="82"/>
      <c r="I494" s="6"/>
      <c r="J494" s="6"/>
      <c r="K494" s="1"/>
      <c r="L494" s="1"/>
      <c r="M494" s="1"/>
      <c r="N494" s="1"/>
      <c r="O494" s="1"/>
      <c r="P494" s="1"/>
      <c r="Q494" s="1"/>
      <c r="R494" s="1"/>
      <c r="S494" s="1"/>
      <c r="T494" s="1"/>
      <c r="U494" s="1"/>
      <c r="V494" s="1"/>
      <c r="W494" s="1"/>
      <c r="X494" s="1"/>
      <c r="Y494" s="1"/>
      <c r="Z494" s="1"/>
    </row>
    <row r="495" spans="1:26" ht="15.75" customHeight="1" x14ac:dyDescent="0.3">
      <c r="A495" s="148"/>
      <c r="B495" s="6"/>
      <c r="C495" s="6"/>
      <c r="D495" s="82"/>
      <c r="E495" s="6"/>
      <c r="F495" s="6"/>
      <c r="G495" s="6"/>
      <c r="H495" s="82"/>
      <c r="I495" s="6"/>
      <c r="J495" s="6"/>
      <c r="K495" s="1"/>
      <c r="L495" s="1"/>
      <c r="M495" s="1"/>
      <c r="N495" s="1"/>
      <c r="O495" s="1"/>
      <c r="P495" s="1"/>
      <c r="Q495" s="1"/>
      <c r="R495" s="1"/>
      <c r="S495" s="1"/>
      <c r="T495" s="1"/>
      <c r="U495" s="1"/>
      <c r="V495" s="1"/>
      <c r="W495" s="1"/>
      <c r="X495" s="1"/>
      <c r="Y495" s="1"/>
      <c r="Z495" s="1"/>
    </row>
    <row r="496" spans="1:26" ht="15.75" customHeight="1" x14ac:dyDescent="0.3">
      <c r="A496" s="148"/>
      <c r="B496" s="6"/>
      <c r="C496" s="6"/>
      <c r="D496" s="82"/>
      <c r="E496" s="6"/>
      <c r="F496" s="6"/>
      <c r="G496" s="6"/>
      <c r="H496" s="82"/>
      <c r="I496" s="6"/>
      <c r="J496" s="6"/>
      <c r="K496" s="1"/>
      <c r="L496" s="1"/>
      <c r="M496" s="1"/>
      <c r="N496" s="1"/>
      <c r="O496" s="1"/>
      <c r="P496" s="1"/>
      <c r="Q496" s="1"/>
      <c r="R496" s="1"/>
      <c r="S496" s="1"/>
      <c r="T496" s="1"/>
      <c r="U496" s="1"/>
      <c r="V496" s="1"/>
      <c r="W496" s="1"/>
      <c r="X496" s="1"/>
      <c r="Y496" s="1"/>
      <c r="Z496" s="1"/>
    </row>
    <row r="497" spans="1:26" ht="15.75" customHeight="1" x14ac:dyDescent="0.3">
      <c r="A497" s="148"/>
      <c r="B497" s="6"/>
      <c r="C497" s="6"/>
      <c r="D497" s="82"/>
      <c r="E497" s="6"/>
      <c r="F497" s="6"/>
      <c r="G497" s="6"/>
      <c r="H497" s="82"/>
      <c r="I497" s="6"/>
      <c r="J497" s="6"/>
      <c r="K497" s="1"/>
      <c r="L497" s="1"/>
      <c r="M497" s="1"/>
      <c r="N497" s="1"/>
      <c r="O497" s="1"/>
      <c r="P497" s="1"/>
      <c r="Q497" s="1"/>
      <c r="R497" s="1"/>
      <c r="S497" s="1"/>
      <c r="T497" s="1"/>
      <c r="U497" s="1"/>
      <c r="V497" s="1"/>
      <c r="W497" s="1"/>
      <c r="X497" s="1"/>
      <c r="Y497" s="1"/>
      <c r="Z497" s="1"/>
    </row>
    <row r="498" spans="1:26" ht="15.75" customHeight="1" x14ac:dyDescent="0.3">
      <c r="A498" s="148"/>
      <c r="B498" s="6"/>
      <c r="C498" s="6"/>
      <c r="D498" s="82"/>
      <c r="E498" s="6"/>
      <c r="F498" s="6"/>
      <c r="G498" s="6"/>
      <c r="H498" s="82"/>
      <c r="I498" s="6"/>
      <c r="J498" s="6"/>
      <c r="K498" s="1"/>
      <c r="L498" s="1"/>
      <c r="M498" s="1"/>
      <c r="N498" s="1"/>
      <c r="O498" s="1"/>
      <c r="P498" s="1"/>
      <c r="Q498" s="1"/>
      <c r="R498" s="1"/>
      <c r="S498" s="1"/>
      <c r="T498" s="1"/>
      <c r="U498" s="1"/>
      <c r="V498" s="1"/>
      <c r="W498" s="1"/>
      <c r="X498" s="1"/>
      <c r="Y498" s="1"/>
      <c r="Z498" s="1"/>
    </row>
    <row r="499" spans="1:26" ht="15.75" customHeight="1" x14ac:dyDescent="0.3">
      <c r="A499" s="148"/>
      <c r="B499" s="6"/>
      <c r="C499" s="6"/>
      <c r="D499" s="82"/>
      <c r="E499" s="6"/>
      <c r="F499" s="6"/>
      <c r="G499" s="6"/>
      <c r="H499" s="82"/>
      <c r="I499" s="6"/>
      <c r="J499" s="6"/>
      <c r="K499" s="1"/>
      <c r="L499" s="1"/>
      <c r="M499" s="1"/>
      <c r="N499" s="1"/>
      <c r="O499" s="1"/>
      <c r="P499" s="1"/>
      <c r="Q499" s="1"/>
      <c r="R499" s="1"/>
      <c r="S499" s="1"/>
      <c r="T499" s="1"/>
      <c r="U499" s="1"/>
      <c r="V499" s="1"/>
      <c r="W499" s="1"/>
      <c r="X499" s="1"/>
      <c r="Y499" s="1"/>
      <c r="Z499" s="1"/>
    </row>
    <row r="500" spans="1:26" ht="15.75" customHeight="1" x14ac:dyDescent="0.3">
      <c r="A500" s="148"/>
      <c r="B500" s="6"/>
      <c r="C500" s="6"/>
      <c r="D500" s="82"/>
      <c r="E500" s="6"/>
      <c r="F500" s="6"/>
      <c r="G500" s="6"/>
      <c r="H500" s="82"/>
      <c r="I500" s="6"/>
      <c r="J500" s="6"/>
      <c r="K500" s="1"/>
      <c r="L500" s="1"/>
      <c r="M500" s="1"/>
      <c r="N500" s="1"/>
      <c r="O500" s="1"/>
      <c r="P500" s="1"/>
      <c r="Q500" s="1"/>
      <c r="R500" s="1"/>
      <c r="S500" s="1"/>
      <c r="T500" s="1"/>
      <c r="U500" s="1"/>
      <c r="V500" s="1"/>
      <c r="W500" s="1"/>
      <c r="X500" s="1"/>
      <c r="Y500" s="1"/>
      <c r="Z500" s="1"/>
    </row>
    <row r="501" spans="1:26" ht="15.75" customHeight="1" x14ac:dyDescent="0.3">
      <c r="A501" s="148"/>
      <c r="B501" s="6"/>
      <c r="C501" s="6"/>
      <c r="D501" s="82"/>
      <c r="E501" s="6"/>
      <c r="F501" s="6"/>
      <c r="G501" s="6"/>
      <c r="H501" s="82"/>
      <c r="I501" s="6"/>
      <c r="J501" s="6"/>
      <c r="K501" s="1"/>
      <c r="L501" s="1"/>
      <c r="M501" s="1"/>
      <c r="N501" s="1"/>
      <c r="O501" s="1"/>
      <c r="P501" s="1"/>
      <c r="Q501" s="1"/>
      <c r="R501" s="1"/>
      <c r="S501" s="1"/>
      <c r="T501" s="1"/>
      <c r="U501" s="1"/>
      <c r="V501" s="1"/>
      <c r="W501" s="1"/>
      <c r="X501" s="1"/>
      <c r="Y501" s="1"/>
      <c r="Z501" s="1"/>
    </row>
    <row r="502" spans="1:26" ht="15.75" customHeight="1" x14ac:dyDescent="0.3">
      <c r="A502" s="148"/>
      <c r="B502" s="6"/>
      <c r="C502" s="6"/>
      <c r="D502" s="82"/>
      <c r="E502" s="6"/>
      <c r="F502" s="6"/>
      <c r="G502" s="6"/>
      <c r="H502" s="82"/>
      <c r="I502" s="6"/>
      <c r="J502" s="6"/>
      <c r="K502" s="1"/>
      <c r="L502" s="1"/>
      <c r="M502" s="1"/>
      <c r="N502" s="1"/>
      <c r="O502" s="1"/>
      <c r="P502" s="1"/>
      <c r="Q502" s="1"/>
      <c r="R502" s="1"/>
      <c r="S502" s="1"/>
      <c r="T502" s="1"/>
      <c r="U502" s="1"/>
      <c r="V502" s="1"/>
      <c r="W502" s="1"/>
      <c r="X502" s="1"/>
      <c r="Y502" s="1"/>
      <c r="Z502" s="1"/>
    </row>
    <row r="503" spans="1:26" ht="15.75" customHeight="1" x14ac:dyDescent="0.3">
      <c r="A503" s="148"/>
      <c r="B503" s="6"/>
      <c r="C503" s="6"/>
      <c r="D503" s="82"/>
      <c r="E503" s="6"/>
      <c r="F503" s="6"/>
      <c r="G503" s="6"/>
      <c r="H503" s="82"/>
      <c r="I503" s="6"/>
      <c r="J503" s="6"/>
      <c r="K503" s="1"/>
      <c r="L503" s="1"/>
      <c r="M503" s="1"/>
      <c r="N503" s="1"/>
      <c r="O503" s="1"/>
      <c r="P503" s="1"/>
      <c r="Q503" s="1"/>
      <c r="R503" s="1"/>
      <c r="S503" s="1"/>
      <c r="T503" s="1"/>
      <c r="U503" s="1"/>
      <c r="V503" s="1"/>
      <c r="W503" s="1"/>
      <c r="X503" s="1"/>
      <c r="Y503" s="1"/>
      <c r="Z503" s="1"/>
    </row>
    <row r="504" spans="1:26" ht="15.75" customHeight="1" x14ac:dyDescent="0.3">
      <c r="A504" s="148"/>
      <c r="B504" s="6"/>
      <c r="C504" s="6"/>
      <c r="D504" s="82"/>
      <c r="E504" s="6"/>
      <c r="F504" s="6"/>
      <c r="G504" s="6"/>
      <c r="H504" s="82"/>
      <c r="I504" s="6"/>
      <c r="J504" s="6"/>
      <c r="K504" s="1"/>
      <c r="L504" s="1"/>
      <c r="M504" s="1"/>
      <c r="N504" s="1"/>
      <c r="O504" s="1"/>
      <c r="P504" s="1"/>
      <c r="Q504" s="1"/>
      <c r="R504" s="1"/>
      <c r="S504" s="1"/>
      <c r="T504" s="1"/>
      <c r="U504" s="1"/>
      <c r="V504" s="1"/>
      <c r="W504" s="1"/>
      <c r="X504" s="1"/>
      <c r="Y504" s="1"/>
      <c r="Z504" s="1"/>
    </row>
    <row r="505" spans="1:26" ht="15.75" customHeight="1" x14ac:dyDescent="0.3">
      <c r="A505" s="148"/>
      <c r="B505" s="6"/>
      <c r="C505" s="6"/>
      <c r="D505" s="82"/>
      <c r="E505" s="6"/>
      <c r="F505" s="6"/>
      <c r="G505" s="6"/>
      <c r="H505" s="82"/>
      <c r="I505" s="6"/>
      <c r="J505" s="6"/>
      <c r="K505" s="1"/>
      <c r="L505" s="1"/>
      <c r="M505" s="1"/>
      <c r="N505" s="1"/>
      <c r="O505" s="1"/>
      <c r="P505" s="1"/>
      <c r="Q505" s="1"/>
      <c r="R505" s="1"/>
      <c r="S505" s="1"/>
      <c r="T505" s="1"/>
      <c r="U505" s="1"/>
      <c r="V505" s="1"/>
      <c r="W505" s="1"/>
      <c r="X505" s="1"/>
      <c r="Y505" s="1"/>
      <c r="Z505" s="1"/>
    </row>
    <row r="506" spans="1:26" ht="15.75" customHeight="1" x14ac:dyDescent="0.3">
      <c r="A506" s="148"/>
      <c r="B506" s="6"/>
      <c r="C506" s="6"/>
      <c r="D506" s="82"/>
      <c r="E506" s="6"/>
      <c r="F506" s="6"/>
      <c r="G506" s="6"/>
      <c r="H506" s="82"/>
      <c r="I506" s="6"/>
      <c r="J506" s="6"/>
      <c r="K506" s="1"/>
      <c r="L506" s="1"/>
      <c r="M506" s="1"/>
      <c r="N506" s="1"/>
      <c r="O506" s="1"/>
      <c r="P506" s="1"/>
      <c r="Q506" s="1"/>
      <c r="R506" s="1"/>
      <c r="S506" s="1"/>
      <c r="T506" s="1"/>
      <c r="U506" s="1"/>
      <c r="V506" s="1"/>
      <c r="W506" s="1"/>
      <c r="X506" s="1"/>
      <c r="Y506" s="1"/>
      <c r="Z506" s="1"/>
    </row>
    <row r="507" spans="1:26" ht="15.75" customHeight="1" x14ac:dyDescent="0.3">
      <c r="A507" s="148"/>
      <c r="B507" s="6"/>
      <c r="C507" s="6"/>
      <c r="D507" s="82"/>
      <c r="E507" s="6"/>
      <c r="F507" s="6"/>
      <c r="G507" s="6"/>
      <c r="H507" s="82"/>
      <c r="I507" s="6"/>
      <c r="J507" s="6"/>
      <c r="K507" s="1"/>
      <c r="L507" s="1"/>
      <c r="M507" s="1"/>
      <c r="N507" s="1"/>
      <c r="O507" s="1"/>
      <c r="P507" s="1"/>
      <c r="Q507" s="1"/>
      <c r="R507" s="1"/>
      <c r="S507" s="1"/>
      <c r="T507" s="1"/>
      <c r="U507" s="1"/>
      <c r="V507" s="1"/>
      <c r="W507" s="1"/>
      <c r="X507" s="1"/>
      <c r="Y507" s="1"/>
      <c r="Z507" s="1"/>
    </row>
    <row r="508" spans="1:26" ht="15.75" customHeight="1" x14ac:dyDescent="0.3">
      <c r="A508" s="148"/>
      <c r="B508" s="6"/>
      <c r="C508" s="6"/>
      <c r="D508" s="82"/>
      <c r="E508" s="6"/>
      <c r="F508" s="6"/>
      <c r="G508" s="6"/>
      <c r="H508" s="82"/>
      <c r="I508" s="6"/>
      <c r="J508" s="6"/>
      <c r="K508" s="1"/>
      <c r="L508" s="1"/>
      <c r="M508" s="1"/>
      <c r="N508" s="1"/>
      <c r="O508" s="1"/>
      <c r="P508" s="1"/>
      <c r="Q508" s="1"/>
      <c r="R508" s="1"/>
      <c r="S508" s="1"/>
      <c r="T508" s="1"/>
      <c r="U508" s="1"/>
      <c r="V508" s="1"/>
      <c r="W508" s="1"/>
      <c r="X508" s="1"/>
      <c r="Y508" s="1"/>
      <c r="Z508" s="1"/>
    </row>
    <row r="509" spans="1:26" ht="15.75" customHeight="1" x14ac:dyDescent="0.3">
      <c r="A509" s="148"/>
      <c r="B509" s="6"/>
      <c r="C509" s="6"/>
      <c r="D509" s="82"/>
      <c r="E509" s="6"/>
      <c r="F509" s="6"/>
      <c r="G509" s="6"/>
      <c r="H509" s="82"/>
      <c r="I509" s="6"/>
      <c r="J509" s="6"/>
      <c r="K509" s="1"/>
      <c r="L509" s="1"/>
      <c r="M509" s="1"/>
      <c r="N509" s="1"/>
      <c r="O509" s="1"/>
      <c r="P509" s="1"/>
      <c r="Q509" s="1"/>
      <c r="R509" s="1"/>
      <c r="S509" s="1"/>
      <c r="T509" s="1"/>
      <c r="U509" s="1"/>
      <c r="V509" s="1"/>
      <c r="W509" s="1"/>
      <c r="X509" s="1"/>
      <c r="Y509" s="1"/>
      <c r="Z509" s="1"/>
    </row>
    <row r="510" spans="1:26" ht="15.75" customHeight="1" x14ac:dyDescent="0.3">
      <c r="A510" s="148"/>
      <c r="B510" s="6"/>
      <c r="C510" s="6"/>
      <c r="D510" s="82"/>
      <c r="E510" s="6"/>
      <c r="F510" s="6"/>
      <c r="G510" s="6"/>
      <c r="H510" s="82"/>
      <c r="I510" s="6"/>
      <c r="J510" s="6"/>
      <c r="K510" s="1"/>
      <c r="L510" s="1"/>
      <c r="M510" s="1"/>
      <c r="N510" s="1"/>
      <c r="O510" s="1"/>
      <c r="P510" s="1"/>
      <c r="Q510" s="1"/>
      <c r="R510" s="1"/>
      <c r="S510" s="1"/>
      <c r="T510" s="1"/>
      <c r="U510" s="1"/>
      <c r="V510" s="1"/>
      <c r="W510" s="1"/>
      <c r="X510" s="1"/>
      <c r="Y510" s="1"/>
      <c r="Z510" s="1"/>
    </row>
    <row r="511" spans="1:26" ht="15.75" customHeight="1" x14ac:dyDescent="0.3">
      <c r="A511" s="148"/>
      <c r="B511" s="6"/>
      <c r="C511" s="6"/>
      <c r="D511" s="82"/>
      <c r="E511" s="6"/>
      <c r="F511" s="6"/>
      <c r="G511" s="6"/>
      <c r="H511" s="82"/>
      <c r="I511" s="6"/>
      <c r="J511" s="6"/>
      <c r="K511" s="1"/>
      <c r="L511" s="1"/>
      <c r="M511" s="1"/>
      <c r="N511" s="1"/>
      <c r="O511" s="1"/>
      <c r="P511" s="1"/>
      <c r="Q511" s="1"/>
      <c r="R511" s="1"/>
      <c r="S511" s="1"/>
      <c r="T511" s="1"/>
      <c r="U511" s="1"/>
      <c r="V511" s="1"/>
      <c r="W511" s="1"/>
      <c r="X511" s="1"/>
      <c r="Y511" s="1"/>
      <c r="Z511" s="1"/>
    </row>
    <row r="512" spans="1:26" ht="15.75" customHeight="1" x14ac:dyDescent="0.3">
      <c r="A512" s="148"/>
      <c r="B512" s="6"/>
      <c r="C512" s="6"/>
      <c r="D512" s="82"/>
      <c r="E512" s="6"/>
      <c r="F512" s="6"/>
      <c r="G512" s="6"/>
      <c r="H512" s="82"/>
      <c r="I512" s="6"/>
      <c r="J512" s="6"/>
      <c r="K512" s="1"/>
      <c r="L512" s="1"/>
      <c r="M512" s="1"/>
      <c r="N512" s="1"/>
      <c r="O512" s="1"/>
      <c r="P512" s="1"/>
      <c r="Q512" s="1"/>
      <c r="R512" s="1"/>
      <c r="S512" s="1"/>
      <c r="T512" s="1"/>
      <c r="U512" s="1"/>
      <c r="V512" s="1"/>
      <c r="W512" s="1"/>
      <c r="X512" s="1"/>
      <c r="Y512" s="1"/>
      <c r="Z512" s="1"/>
    </row>
    <row r="513" spans="1:26" ht="15.75" customHeight="1" x14ac:dyDescent="0.3">
      <c r="A513" s="148"/>
      <c r="B513" s="6"/>
      <c r="C513" s="6"/>
      <c r="D513" s="82"/>
      <c r="E513" s="6"/>
      <c r="F513" s="6"/>
      <c r="G513" s="6"/>
      <c r="H513" s="82"/>
      <c r="I513" s="6"/>
      <c r="J513" s="6"/>
      <c r="K513" s="1"/>
      <c r="L513" s="1"/>
      <c r="M513" s="1"/>
      <c r="N513" s="1"/>
      <c r="O513" s="1"/>
      <c r="P513" s="1"/>
      <c r="Q513" s="1"/>
      <c r="R513" s="1"/>
      <c r="S513" s="1"/>
      <c r="T513" s="1"/>
      <c r="U513" s="1"/>
      <c r="V513" s="1"/>
      <c r="W513" s="1"/>
      <c r="X513" s="1"/>
      <c r="Y513" s="1"/>
      <c r="Z513" s="1"/>
    </row>
    <row r="514" spans="1:26" ht="15.75" customHeight="1" x14ac:dyDescent="0.3">
      <c r="A514" s="148"/>
      <c r="B514" s="6"/>
      <c r="C514" s="6"/>
      <c r="D514" s="82"/>
      <c r="E514" s="6"/>
      <c r="F514" s="6"/>
      <c r="G514" s="6"/>
      <c r="H514" s="82"/>
      <c r="I514" s="6"/>
      <c r="J514" s="6"/>
      <c r="K514" s="1"/>
      <c r="L514" s="1"/>
      <c r="M514" s="1"/>
      <c r="N514" s="1"/>
      <c r="O514" s="1"/>
      <c r="P514" s="1"/>
      <c r="Q514" s="1"/>
      <c r="R514" s="1"/>
      <c r="S514" s="1"/>
      <c r="T514" s="1"/>
      <c r="U514" s="1"/>
      <c r="V514" s="1"/>
      <c r="W514" s="1"/>
      <c r="X514" s="1"/>
      <c r="Y514" s="1"/>
      <c r="Z514" s="1"/>
    </row>
    <row r="515" spans="1:26" ht="15.75" customHeight="1" x14ac:dyDescent="0.3">
      <c r="A515" s="148"/>
      <c r="B515" s="6"/>
      <c r="C515" s="6"/>
      <c r="D515" s="82"/>
      <c r="E515" s="6"/>
      <c r="F515" s="6"/>
      <c r="G515" s="6"/>
      <c r="H515" s="82"/>
      <c r="I515" s="6"/>
      <c r="J515" s="6"/>
      <c r="K515" s="1"/>
      <c r="L515" s="1"/>
      <c r="M515" s="1"/>
      <c r="N515" s="1"/>
      <c r="O515" s="1"/>
      <c r="P515" s="1"/>
      <c r="Q515" s="1"/>
      <c r="R515" s="1"/>
      <c r="S515" s="1"/>
      <c r="T515" s="1"/>
      <c r="U515" s="1"/>
      <c r="V515" s="1"/>
      <c r="W515" s="1"/>
      <c r="X515" s="1"/>
      <c r="Y515" s="1"/>
      <c r="Z515" s="1"/>
    </row>
    <row r="516" spans="1:26" ht="15.75" customHeight="1" x14ac:dyDescent="0.3">
      <c r="A516" s="148"/>
      <c r="B516" s="6"/>
      <c r="C516" s="6"/>
      <c r="D516" s="82"/>
      <c r="E516" s="6"/>
      <c r="F516" s="6"/>
      <c r="G516" s="6"/>
      <c r="H516" s="82"/>
      <c r="I516" s="6"/>
      <c r="J516" s="6"/>
      <c r="K516" s="1"/>
      <c r="L516" s="1"/>
      <c r="M516" s="1"/>
      <c r="N516" s="1"/>
      <c r="O516" s="1"/>
      <c r="P516" s="1"/>
      <c r="Q516" s="1"/>
      <c r="R516" s="1"/>
      <c r="S516" s="1"/>
      <c r="T516" s="1"/>
      <c r="U516" s="1"/>
      <c r="V516" s="1"/>
      <c r="W516" s="1"/>
      <c r="X516" s="1"/>
      <c r="Y516" s="1"/>
      <c r="Z516" s="1"/>
    </row>
    <row r="517" spans="1:26" ht="15.75" customHeight="1" x14ac:dyDescent="0.3">
      <c r="A517" s="148"/>
      <c r="B517" s="6"/>
      <c r="C517" s="6"/>
      <c r="D517" s="82"/>
      <c r="E517" s="6"/>
      <c r="F517" s="6"/>
      <c r="G517" s="6"/>
      <c r="H517" s="82"/>
      <c r="I517" s="6"/>
      <c r="J517" s="6"/>
      <c r="K517" s="1"/>
      <c r="L517" s="1"/>
      <c r="M517" s="1"/>
      <c r="N517" s="1"/>
      <c r="O517" s="1"/>
      <c r="P517" s="1"/>
      <c r="Q517" s="1"/>
      <c r="R517" s="1"/>
      <c r="S517" s="1"/>
      <c r="T517" s="1"/>
      <c r="U517" s="1"/>
      <c r="V517" s="1"/>
      <c r="W517" s="1"/>
      <c r="X517" s="1"/>
      <c r="Y517" s="1"/>
      <c r="Z517" s="1"/>
    </row>
    <row r="518" spans="1:26" ht="15.75" customHeight="1" x14ac:dyDescent="0.3">
      <c r="A518" s="148"/>
      <c r="B518" s="6"/>
      <c r="C518" s="6"/>
      <c r="D518" s="82"/>
      <c r="E518" s="6"/>
      <c r="F518" s="6"/>
      <c r="G518" s="6"/>
      <c r="H518" s="82"/>
      <c r="I518" s="6"/>
      <c r="J518" s="6"/>
      <c r="K518" s="1"/>
      <c r="L518" s="1"/>
      <c r="M518" s="1"/>
      <c r="N518" s="1"/>
      <c r="O518" s="1"/>
      <c r="P518" s="1"/>
      <c r="Q518" s="1"/>
      <c r="R518" s="1"/>
      <c r="S518" s="1"/>
      <c r="T518" s="1"/>
      <c r="U518" s="1"/>
      <c r="V518" s="1"/>
      <c r="W518" s="1"/>
      <c r="X518" s="1"/>
      <c r="Y518" s="1"/>
      <c r="Z518" s="1"/>
    </row>
    <row r="519" spans="1:26" ht="15.75" customHeight="1" x14ac:dyDescent="0.3">
      <c r="A519" s="148"/>
      <c r="B519" s="6"/>
      <c r="C519" s="6"/>
      <c r="D519" s="82"/>
      <c r="E519" s="6"/>
      <c r="F519" s="6"/>
      <c r="G519" s="6"/>
      <c r="H519" s="82"/>
      <c r="I519" s="6"/>
      <c r="J519" s="6"/>
      <c r="K519" s="1"/>
      <c r="L519" s="1"/>
      <c r="M519" s="1"/>
      <c r="N519" s="1"/>
      <c r="O519" s="1"/>
      <c r="P519" s="1"/>
      <c r="Q519" s="1"/>
      <c r="R519" s="1"/>
      <c r="S519" s="1"/>
      <c r="T519" s="1"/>
      <c r="U519" s="1"/>
      <c r="V519" s="1"/>
      <c r="W519" s="1"/>
      <c r="X519" s="1"/>
      <c r="Y519" s="1"/>
      <c r="Z519" s="1"/>
    </row>
    <row r="520" spans="1:26" ht="15.75" customHeight="1" x14ac:dyDescent="0.3">
      <c r="A520" s="148"/>
      <c r="B520" s="6"/>
      <c r="C520" s="6"/>
      <c r="D520" s="82"/>
      <c r="E520" s="6"/>
      <c r="F520" s="6"/>
      <c r="G520" s="6"/>
      <c r="H520" s="82"/>
      <c r="I520" s="6"/>
      <c r="J520" s="6"/>
      <c r="K520" s="1"/>
      <c r="L520" s="1"/>
      <c r="M520" s="1"/>
      <c r="N520" s="1"/>
      <c r="O520" s="1"/>
      <c r="P520" s="1"/>
      <c r="Q520" s="1"/>
      <c r="R520" s="1"/>
      <c r="S520" s="1"/>
      <c r="T520" s="1"/>
      <c r="U520" s="1"/>
      <c r="V520" s="1"/>
      <c r="W520" s="1"/>
      <c r="X520" s="1"/>
      <c r="Y520" s="1"/>
      <c r="Z520" s="1"/>
    </row>
    <row r="521" spans="1:26" ht="15.75" customHeight="1" x14ac:dyDescent="0.3">
      <c r="A521" s="148"/>
      <c r="B521" s="6"/>
      <c r="C521" s="6"/>
      <c r="D521" s="82"/>
      <c r="E521" s="6"/>
      <c r="F521" s="6"/>
      <c r="G521" s="6"/>
      <c r="H521" s="82"/>
      <c r="I521" s="6"/>
      <c r="J521" s="6"/>
      <c r="K521" s="1"/>
      <c r="L521" s="1"/>
      <c r="M521" s="1"/>
      <c r="N521" s="1"/>
      <c r="O521" s="1"/>
      <c r="P521" s="1"/>
      <c r="Q521" s="1"/>
      <c r="R521" s="1"/>
      <c r="S521" s="1"/>
      <c r="T521" s="1"/>
      <c r="U521" s="1"/>
      <c r="V521" s="1"/>
      <c r="W521" s="1"/>
      <c r="X521" s="1"/>
      <c r="Y521" s="1"/>
      <c r="Z521" s="1"/>
    </row>
    <row r="522" spans="1:26" ht="15.75" customHeight="1" x14ac:dyDescent="0.3">
      <c r="A522" s="148"/>
      <c r="B522" s="6"/>
      <c r="C522" s="6"/>
      <c r="D522" s="82"/>
      <c r="E522" s="6"/>
      <c r="F522" s="6"/>
      <c r="G522" s="6"/>
      <c r="H522" s="82"/>
      <c r="I522" s="6"/>
      <c r="J522" s="6"/>
      <c r="K522" s="1"/>
      <c r="L522" s="1"/>
      <c r="M522" s="1"/>
      <c r="N522" s="1"/>
      <c r="O522" s="1"/>
      <c r="P522" s="1"/>
      <c r="Q522" s="1"/>
      <c r="R522" s="1"/>
      <c r="S522" s="1"/>
      <c r="T522" s="1"/>
      <c r="U522" s="1"/>
      <c r="V522" s="1"/>
      <c r="W522" s="1"/>
      <c r="X522" s="1"/>
      <c r="Y522" s="1"/>
      <c r="Z522" s="1"/>
    </row>
    <row r="523" spans="1:26" ht="15.75" customHeight="1" x14ac:dyDescent="0.3">
      <c r="A523" s="148"/>
      <c r="B523" s="6"/>
      <c r="C523" s="6"/>
      <c r="D523" s="82"/>
      <c r="E523" s="6"/>
      <c r="F523" s="6"/>
      <c r="G523" s="6"/>
      <c r="H523" s="82"/>
      <c r="I523" s="6"/>
      <c r="J523" s="6"/>
      <c r="K523" s="1"/>
      <c r="L523" s="1"/>
      <c r="M523" s="1"/>
      <c r="N523" s="1"/>
      <c r="O523" s="1"/>
      <c r="P523" s="1"/>
      <c r="Q523" s="1"/>
      <c r="R523" s="1"/>
      <c r="S523" s="1"/>
      <c r="T523" s="1"/>
      <c r="U523" s="1"/>
      <c r="V523" s="1"/>
      <c r="W523" s="1"/>
      <c r="X523" s="1"/>
      <c r="Y523" s="1"/>
      <c r="Z523" s="1"/>
    </row>
    <row r="524" spans="1:26" ht="15.75" customHeight="1" x14ac:dyDescent="0.3">
      <c r="A524" s="148"/>
      <c r="B524" s="6"/>
      <c r="C524" s="6"/>
      <c r="D524" s="82"/>
      <c r="E524" s="6"/>
      <c r="F524" s="6"/>
      <c r="G524" s="6"/>
      <c r="H524" s="82"/>
      <c r="I524" s="6"/>
      <c r="J524" s="6"/>
      <c r="K524" s="1"/>
      <c r="L524" s="1"/>
      <c r="M524" s="1"/>
      <c r="N524" s="1"/>
      <c r="O524" s="1"/>
      <c r="P524" s="1"/>
      <c r="Q524" s="1"/>
      <c r="R524" s="1"/>
      <c r="S524" s="1"/>
      <c r="T524" s="1"/>
      <c r="U524" s="1"/>
      <c r="V524" s="1"/>
      <c r="W524" s="1"/>
      <c r="X524" s="1"/>
      <c r="Y524" s="1"/>
      <c r="Z524" s="1"/>
    </row>
    <row r="525" spans="1:26" ht="15.75" customHeight="1" x14ac:dyDescent="0.3">
      <c r="A525" s="148"/>
      <c r="B525" s="6"/>
      <c r="C525" s="6"/>
      <c r="D525" s="82"/>
      <c r="E525" s="6"/>
      <c r="F525" s="6"/>
      <c r="G525" s="6"/>
      <c r="H525" s="82"/>
      <c r="I525" s="6"/>
      <c r="J525" s="6"/>
      <c r="K525" s="1"/>
      <c r="L525" s="1"/>
      <c r="M525" s="1"/>
      <c r="N525" s="1"/>
      <c r="O525" s="1"/>
      <c r="P525" s="1"/>
      <c r="Q525" s="1"/>
      <c r="R525" s="1"/>
      <c r="S525" s="1"/>
      <c r="T525" s="1"/>
      <c r="U525" s="1"/>
      <c r="V525" s="1"/>
      <c r="W525" s="1"/>
      <c r="X525" s="1"/>
      <c r="Y525" s="1"/>
      <c r="Z525" s="1"/>
    </row>
    <row r="526" spans="1:26" ht="15.75" customHeight="1" x14ac:dyDescent="0.3">
      <c r="A526" s="148"/>
      <c r="B526" s="6"/>
      <c r="C526" s="6"/>
      <c r="D526" s="82"/>
      <c r="E526" s="6"/>
      <c r="F526" s="6"/>
      <c r="G526" s="6"/>
      <c r="H526" s="82"/>
      <c r="I526" s="6"/>
      <c r="J526" s="6"/>
      <c r="K526" s="1"/>
      <c r="L526" s="1"/>
      <c r="M526" s="1"/>
      <c r="N526" s="1"/>
      <c r="O526" s="1"/>
      <c r="P526" s="1"/>
      <c r="Q526" s="1"/>
      <c r="R526" s="1"/>
      <c r="S526" s="1"/>
      <c r="T526" s="1"/>
      <c r="U526" s="1"/>
      <c r="V526" s="1"/>
      <c r="W526" s="1"/>
      <c r="X526" s="1"/>
      <c r="Y526" s="1"/>
      <c r="Z526" s="1"/>
    </row>
    <row r="527" spans="1:26" ht="15.75" customHeight="1" x14ac:dyDescent="0.3">
      <c r="A527" s="148"/>
      <c r="B527" s="6"/>
      <c r="C527" s="6"/>
      <c r="D527" s="82"/>
      <c r="E527" s="6"/>
      <c r="F527" s="6"/>
      <c r="G527" s="6"/>
      <c r="H527" s="82"/>
      <c r="I527" s="6"/>
      <c r="J527" s="6"/>
      <c r="K527" s="1"/>
      <c r="L527" s="1"/>
      <c r="M527" s="1"/>
      <c r="N527" s="1"/>
      <c r="O527" s="1"/>
      <c r="P527" s="1"/>
      <c r="Q527" s="1"/>
      <c r="R527" s="1"/>
      <c r="S527" s="1"/>
      <c r="T527" s="1"/>
      <c r="U527" s="1"/>
      <c r="V527" s="1"/>
      <c r="W527" s="1"/>
      <c r="X527" s="1"/>
      <c r="Y527" s="1"/>
      <c r="Z527" s="1"/>
    </row>
    <row r="528" spans="1:26" ht="15.75" customHeight="1" x14ac:dyDescent="0.3">
      <c r="A528" s="148"/>
      <c r="B528" s="6"/>
      <c r="C528" s="6"/>
      <c r="D528" s="82"/>
      <c r="E528" s="6"/>
      <c r="F528" s="6"/>
      <c r="G528" s="6"/>
      <c r="H528" s="82"/>
      <c r="I528" s="6"/>
      <c r="J528" s="6"/>
      <c r="K528" s="1"/>
      <c r="L528" s="1"/>
      <c r="M528" s="1"/>
      <c r="N528" s="1"/>
      <c r="O528" s="1"/>
      <c r="P528" s="1"/>
      <c r="Q528" s="1"/>
      <c r="R528" s="1"/>
      <c r="S528" s="1"/>
      <c r="T528" s="1"/>
      <c r="U528" s="1"/>
      <c r="V528" s="1"/>
      <c r="W528" s="1"/>
      <c r="X528" s="1"/>
      <c r="Y528" s="1"/>
      <c r="Z528" s="1"/>
    </row>
    <row r="529" spans="1:26" ht="15.75" customHeight="1" x14ac:dyDescent="0.3">
      <c r="A529" s="148"/>
      <c r="B529" s="6"/>
      <c r="C529" s="6"/>
      <c r="D529" s="82"/>
      <c r="E529" s="6"/>
      <c r="F529" s="6"/>
      <c r="G529" s="6"/>
      <c r="H529" s="82"/>
      <c r="I529" s="6"/>
      <c r="J529" s="6"/>
      <c r="K529" s="1"/>
      <c r="L529" s="1"/>
      <c r="M529" s="1"/>
      <c r="N529" s="1"/>
      <c r="O529" s="1"/>
      <c r="P529" s="1"/>
      <c r="Q529" s="1"/>
      <c r="R529" s="1"/>
      <c r="S529" s="1"/>
      <c r="T529" s="1"/>
      <c r="U529" s="1"/>
      <c r="V529" s="1"/>
      <c r="W529" s="1"/>
      <c r="X529" s="1"/>
      <c r="Y529" s="1"/>
      <c r="Z529" s="1"/>
    </row>
    <row r="530" spans="1:26" ht="15.75" customHeight="1" x14ac:dyDescent="0.3">
      <c r="A530" s="148"/>
      <c r="B530" s="6"/>
      <c r="C530" s="6"/>
      <c r="D530" s="82"/>
      <c r="E530" s="6"/>
      <c r="F530" s="6"/>
      <c r="G530" s="6"/>
      <c r="H530" s="82"/>
      <c r="I530" s="6"/>
      <c r="J530" s="6"/>
      <c r="K530" s="1"/>
      <c r="L530" s="1"/>
      <c r="M530" s="1"/>
      <c r="N530" s="1"/>
      <c r="O530" s="1"/>
      <c r="P530" s="1"/>
      <c r="Q530" s="1"/>
      <c r="R530" s="1"/>
      <c r="S530" s="1"/>
      <c r="T530" s="1"/>
      <c r="U530" s="1"/>
      <c r="V530" s="1"/>
      <c r="W530" s="1"/>
      <c r="X530" s="1"/>
      <c r="Y530" s="1"/>
      <c r="Z530" s="1"/>
    </row>
    <row r="531" spans="1:26" ht="15.75" customHeight="1" x14ac:dyDescent="0.3">
      <c r="A531" s="148"/>
      <c r="B531" s="6"/>
      <c r="C531" s="6"/>
      <c r="D531" s="82"/>
      <c r="E531" s="6"/>
      <c r="F531" s="6"/>
      <c r="G531" s="6"/>
      <c r="H531" s="82"/>
      <c r="I531" s="6"/>
      <c r="J531" s="6"/>
      <c r="K531" s="1"/>
      <c r="L531" s="1"/>
      <c r="M531" s="1"/>
      <c r="N531" s="1"/>
      <c r="O531" s="1"/>
      <c r="P531" s="1"/>
      <c r="Q531" s="1"/>
      <c r="R531" s="1"/>
      <c r="S531" s="1"/>
      <c r="T531" s="1"/>
      <c r="U531" s="1"/>
      <c r="V531" s="1"/>
      <c r="W531" s="1"/>
      <c r="X531" s="1"/>
      <c r="Y531" s="1"/>
      <c r="Z531" s="1"/>
    </row>
    <row r="532" spans="1:26" ht="15.75" customHeight="1" x14ac:dyDescent="0.3">
      <c r="A532" s="148"/>
      <c r="B532" s="6"/>
      <c r="C532" s="6"/>
      <c r="D532" s="82"/>
      <c r="E532" s="6"/>
      <c r="F532" s="6"/>
      <c r="G532" s="6"/>
      <c r="H532" s="82"/>
      <c r="I532" s="6"/>
      <c r="J532" s="6"/>
      <c r="K532" s="1"/>
      <c r="L532" s="1"/>
      <c r="M532" s="1"/>
      <c r="N532" s="1"/>
      <c r="O532" s="1"/>
      <c r="P532" s="1"/>
      <c r="Q532" s="1"/>
      <c r="R532" s="1"/>
      <c r="S532" s="1"/>
      <c r="T532" s="1"/>
      <c r="U532" s="1"/>
      <c r="V532" s="1"/>
      <c r="W532" s="1"/>
      <c r="X532" s="1"/>
      <c r="Y532" s="1"/>
      <c r="Z532" s="1"/>
    </row>
    <row r="533" spans="1:26" ht="15.75" customHeight="1" x14ac:dyDescent="0.3">
      <c r="A533" s="148"/>
      <c r="B533" s="6"/>
      <c r="C533" s="6"/>
      <c r="D533" s="82"/>
      <c r="E533" s="6"/>
      <c r="F533" s="6"/>
      <c r="G533" s="6"/>
      <c r="H533" s="82"/>
      <c r="I533" s="6"/>
      <c r="J533" s="6"/>
      <c r="K533" s="1"/>
      <c r="L533" s="1"/>
      <c r="M533" s="1"/>
      <c r="N533" s="1"/>
      <c r="O533" s="1"/>
      <c r="P533" s="1"/>
      <c r="Q533" s="1"/>
      <c r="R533" s="1"/>
      <c r="S533" s="1"/>
      <c r="T533" s="1"/>
      <c r="U533" s="1"/>
      <c r="V533" s="1"/>
      <c r="W533" s="1"/>
      <c r="X533" s="1"/>
      <c r="Y533" s="1"/>
      <c r="Z533" s="1"/>
    </row>
    <row r="534" spans="1:26" ht="15.75" customHeight="1" x14ac:dyDescent="0.3">
      <c r="A534" s="148"/>
      <c r="B534" s="6"/>
      <c r="C534" s="6"/>
      <c r="D534" s="82"/>
      <c r="E534" s="6"/>
      <c r="F534" s="6"/>
      <c r="G534" s="6"/>
      <c r="H534" s="82"/>
      <c r="I534" s="6"/>
      <c r="J534" s="6"/>
      <c r="K534" s="1"/>
      <c r="L534" s="1"/>
      <c r="M534" s="1"/>
      <c r="N534" s="1"/>
      <c r="O534" s="1"/>
      <c r="P534" s="1"/>
      <c r="Q534" s="1"/>
      <c r="R534" s="1"/>
      <c r="S534" s="1"/>
      <c r="T534" s="1"/>
      <c r="U534" s="1"/>
      <c r="V534" s="1"/>
      <c r="W534" s="1"/>
      <c r="X534" s="1"/>
      <c r="Y534" s="1"/>
      <c r="Z534" s="1"/>
    </row>
    <row r="535" spans="1:26" ht="15.75" customHeight="1" x14ac:dyDescent="0.3">
      <c r="A535" s="148"/>
      <c r="B535" s="6"/>
      <c r="C535" s="6"/>
      <c r="D535" s="82"/>
      <c r="E535" s="6"/>
      <c r="F535" s="6"/>
      <c r="G535" s="6"/>
      <c r="H535" s="82"/>
      <c r="I535" s="6"/>
      <c r="J535" s="6"/>
      <c r="K535" s="1"/>
      <c r="L535" s="1"/>
      <c r="M535" s="1"/>
      <c r="N535" s="1"/>
      <c r="O535" s="1"/>
      <c r="P535" s="1"/>
      <c r="Q535" s="1"/>
      <c r="R535" s="1"/>
      <c r="S535" s="1"/>
      <c r="T535" s="1"/>
      <c r="U535" s="1"/>
      <c r="V535" s="1"/>
      <c r="W535" s="1"/>
      <c r="X535" s="1"/>
      <c r="Y535" s="1"/>
      <c r="Z535" s="1"/>
    </row>
    <row r="536" spans="1:26" ht="15.75" customHeight="1" x14ac:dyDescent="0.3">
      <c r="A536" s="148"/>
      <c r="B536" s="6"/>
      <c r="C536" s="6"/>
      <c r="D536" s="82"/>
      <c r="E536" s="6"/>
      <c r="F536" s="6"/>
      <c r="G536" s="6"/>
      <c r="H536" s="82"/>
      <c r="I536" s="6"/>
      <c r="J536" s="6"/>
      <c r="K536" s="1"/>
      <c r="L536" s="1"/>
      <c r="M536" s="1"/>
      <c r="N536" s="1"/>
      <c r="O536" s="1"/>
      <c r="P536" s="1"/>
      <c r="Q536" s="1"/>
      <c r="R536" s="1"/>
      <c r="S536" s="1"/>
      <c r="T536" s="1"/>
      <c r="U536" s="1"/>
      <c r="V536" s="1"/>
      <c r="W536" s="1"/>
      <c r="X536" s="1"/>
      <c r="Y536" s="1"/>
      <c r="Z536" s="1"/>
    </row>
    <row r="537" spans="1:26" ht="15.75" customHeight="1" x14ac:dyDescent="0.3">
      <c r="A537" s="148"/>
      <c r="B537" s="6"/>
      <c r="C537" s="6"/>
      <c r="D537" s="82"/>
      <c r="E537" s="6"/>
      <c r="F537" s="6"/>
      <c r="G537" s="6"/>
      <c r="H537" s="82"/>
      <c r="I537" s="6"/>
      <c r="J537" s="6"/>
      <c r="K537" s="1"/>
      <c r="L537" s="1"/>
      <c r="M537" s="1"/>
      <c r="N537" s="1"/>
      <c r="O537" s="1"/>
      <c r="P537" s="1"/>
      <c r="Q537" s="1"/>
      <c r="R537" s="1"/>
      <c r="S537" s="1"/>
      <c r="T537" s="1"/>
      <c r="U537" s="1"/>
      <c r="V537" s="1"/>
      <c r="W537" s="1"/>
      <c r="X537" s="1"/>
      <c r="Y537" s="1"/>
      <c r="Z537" s="1"/>
    </row>
    <row r="538" spans="1:26" ht="15.75" customHeight="1" x14ac:dyDescent="0.3">
      <c r="A538" s="148"/>
      <c r="B538" s="6"/>
      <c r="C538" s="6"/>
      <c r="D538" s="82"/>
      <c r="E538" s="6"/>
      <c r="F538" s="6"/>
      <c r="G538" s="6"/>
      <c r="H538" s="82"/>
      <c r="I538" s="6"/>
      <c r="J538" s="6"/>
      <c r="K538" s="1"/>
      <c r="L538" s="1"/>
      <c r="M538" s="1"/>
      <c r="N538" s="1"/>
      <c r="O538" s="1"/>
      <c r="P538" s="1"/>
      <c r="Q538" s="1"/>
      <c r="R538" s="1"/>
      <c r="S538" s="1"/>
      <c r="T538" s="1"/>
      <c r="U538" s="1"/>
      <c r="V538" s="1"/>
      <c r="W538" s="1"/>
      <c r="X538" s="1"/>
      <c r="Y538" s="1"/>
      <c r="Z538" s="1"/>
    </row>
    <row r="539" spans="1:26" ht="15.75" customHeight="1" x14ac:dyDescent="0.3">
      <c r="A539" s="148"/>
      <c r="B539" s="6"/>
      <c r="C539" s="6"/>
      <c r="D539" s="82"/>
      <c r="E539" s="6"/>
      <c r="F539" s="6"/>
      <c r="G539" s="6"/>
      <c r="H539" s="82"/>
      <c r="I539" s="6"/>
      <c r="J539" s="6"/>
      <c r="K539" s="1"/>
      <c r="L539" s="1"/>
      <c r="M539" s="1"/>
      <c r="N539" s="1"/>
      <c r="O539" s="1"/>
      <c r="P539" s="1"/>
      <c r="Q539" s="1"/>
      <c r="R539" s="1"/>
      <c r="S539" s="1"/>
      <c r="T539" s="1"/>
      <c r="U539" s="1"/>
      <c r="V539" s="1"/>
      <c r="W539" s="1"/>
      <c r="X539" s="1"/>
      <c r="Y539" s="1"/>
      <c r="Z539" s="1"/>
    </row>
    <row r="540" spans="1:26" ht="15.75" customHeight="1" x14ac:dyDescent="0.3">
      <c r="A540" s="148"/>
      <c r="B540" s="6"/>
      <c r="C540" s="6"/>
      <c r="D540" s="82"/>
      <c r="E540" s="6"/>
      <c r="F540" s="6"/>
      <c r="G540" s="6"/>
      <c r="H540" s="82"/>
      <c r="I540" s="6"/>
      <c r="J540" s="6"/>
      <c r="K540" s="1"/>
      <c r="L540" s="1"/>
      <c r="M540" s="1"/>
      <c r="N540" s="1"/>
      <c r="O540" s="1"/>
      <c r="P540" s="1"/>
      <c r="Q540" s="1"/>
      <c r="R540" s="1"/>
      <c r="S540" s="1"/>
      <c r="T540" s="1"/>
      <c r="U540" s="1"/>
      <c r="V540" s="1"/>
      <c r="W540" s="1"/>
      <c r="X540" s="1"/>
      <c r="Y540" s="1"/>
      <c r="Z540" s="1"/>
    </row>
    <row r="541" spans="1:26" ht="15.75" customHeight="1" x14ac:dyDescent="0.3">
      <c r="A541" s="148"/>
      <c r="B541" s="6"/>
      <c r="C541" s="6"/>
      <c r="D541" s="82"/>
      <c r="E541" s="6"/>
      <c r="F541" s="6"/>
      <c r="G541" s="6"/>
      <c r="H541" s="82"/>
      <c r="I541" s="6"/>
      <c r="J541" s="6"/>
      <c r="K541" s="1"/>
      <c r="L541" s="1"/>
      <c r="M541" s="1"/>
      <c r="N541" s="1"/>
      <c r="O541" s="1"/>
      <c r="P541" s="1"/>
      <c r="Q541" s="1"/>
      <c r="R541" s="1"/>
      <c r="S541" s="1"/>
      <c r="T541" s="1"/>
      <c r="U541" s="1"/>
      <c r="V541" s="1"/>
      <c r="W541" s="1"/>
      <c r="X541" s="1"/>
      <c r="Y541" s="1"/>
      <c r="Z541" s="1"/>
    </row>
    <row r="542" spans="1:26" ht="15.75" customHeight="1" x14ac:dyDescent="0.3">
      <c r="A542" s="148"/>
      <c r="B542" s="6"/>
      <c r="C542" s="6"/>
      <c r="D542" s="82"/>
      <c r="E542" s="6"/>
      <c r="F542" s="6"/>
      <c r="G542" s="6"/>
      <c r="H542" s="82"/>
      <c r="I542" s="6"/>
      <c r="J542" s="6"/>
      <c r="K542" s="1"/>
      <c r="L542" s="1"/>
      <c r="M542" s="1"/>
      <c r="N542" s="1"/>
      <c r="O542" s="1"/>
      <c r="P542" s="1"/>
      <c r="Q542" s="1"/>
      <c r="R542" s="1"/>
      <c r="S542" s="1"/>
      <c r="T542" s="1"/>
      <c r="U542" s="1"/>
      <c r="V542" s="1"/>
      <c r="W542" s="1"/>
      <c r="X542" s="1"/>
      <c r="Y542" s="1"/>
      <c r="Z542" s="1"/>
    </row>
    <row r="543" spans="1:26" ht="15.75" customHeight="1" x14ac:dyDescent="0.3">
      <c r="A543" s="148"/>
      <c r="B543" s="6"/>
      <c r="C543" s="6"/>
      <c r="D543" s="82"/>
      <c r="E543" s="6"/>
      <c r="F543" s="6"/>
      <c r="G543" s="6"/>
      <c r="H543" s="82"/>
      <c r="I543" s="6"/>
      <c r="J543" s="6"/>
      <c r="K543" s="1"/>
      <c r="L543" s="1"/>
      <c r="M543" s="1"/>
      <c r="N543" s="1"/>
      <c r="O543" s="1"/>
      <c r="P543" s="1"/>
      <c r="Q543" s="1"/>
      <c r="R543" s="1"/>
      <c r="S543" s="1"/>
      <c r="T543" s="1"/>
      <c r="U543" s="1"/>
      <c r="V543" s="1"/>
      <c r="W543" s="1"/>
      <c r="X543" s="1"/>
      <c r="Y543" s="1"/>
      <c r="Z543" s="1"/>
    </row>
    <row r="544" spans="1:26" ht="15.75" customHeight="1" x14ac:dyDescent="0.3">
      <c r="A544" s="148"/>
      <c r="B544" s="6"/>
      <c r="C544" s="6"/>
      <c r="D544" s="82"/>
      <c r="E544" s="6"/>
      <c r="F544" s="6"/>
      <c r="G544" s="6"/>
      <c r="H544" s="82"/>
      <c r="I544" s="6"/>
      <c r="J544" s="6"/>
      <c r="K544" s="1"/>
      <c r="L544" s="1"/>
      <c r="M544" s="1"/>
      <c r="N544" s="1"/>
      <c r="O544" s="1"/>
      <c r="P544" s="1"/>
      <c r="Q544" s="1"/>
      <c r="R544" s="1"/>
      <c r="S544" s="1"/>
      <c r="T544" s="1"/>
      <c r="U544" s="1"/>
      <c r="V544" s="1"/>
      <c r="W544" s="1"/>
      <c r="X544" s="1"/>
      <c r="Y544" s="1"/>
      <c r="Z544" s="1"/>
    </row>
    <row r="545" spans="1:26" ht="15.75" customHeight="1" x14ac:dyDescent="0.3">
      <c r="A545" s="148"/>
      <c r="B545" s="6"/>
      <c r="C545" s="6"/>
      <c r="D545" s="82"/>
      <c r="E545" s="6"/>
      <c r="F545" s="6"/>
      <c r="G545" s="6"/>
      <c r="H545" s="82"/>
      <c r="I545" s="6"/>
      <c r="J545" s="6"/>
      <c r="K545" s="1"/>
      <c r="L545" s="1"/>
      <c r="M545" s="1"/>
      <c r="N545" s="1"/>
      <c r="O545" s="1"/>
      <c r="P545" s="1"/>
      <c r="Q545" s="1"/>
      <c r="R545" s="1"/>
      <c r="S545" s="1"/>
      <c r="T545" s="1"/>
      <c r="U545" s="1"/>
      <c r="V545" s="1"/>
      <c r="W545" s="1"/>
      <c r="X545" s="1"/>
      <c r="Y545" s="1"/>
      <c r="Z545" s="1"/>
    </row>
    <row r="546" spans="1:26" ht="15.75" customHeight="1" x14ac:dyDescent="0.3">
      <c r="A546" s="148"/>
      <c r="B546" s="6"/>
      <c r="C546" s="6"/>
      <c r="D546" s="82"/>
      <c r="E546" s="6"/>
      <c r="F546" s="6"/>
      <c r="G546" s="6"/>
      <c r="H546" s="82"/>
      <c r="I546" s="6"/>
      <c r="J546" s="6"/>
      <c r="K546" s="1"/>
      <c r="L546" s="1"/>
      <c r="M546" s="1"/>
      <c r="N546" s="1"/>
      <c r="O546" s="1"/>
      <c r="P546" s="1"/>
      <c r="Q546" s="1"/>
      <c r="R546" s="1"/>
      <c r="S546" s="1"/>
      <c r="T546" s="1"/>
      <c r="U546" s="1"/>
      <c r="V546" s="1"/>
      <c r="W546" s="1"/>
      <c r="X546" s="1"/>
      <c r="Y546" s="1"/>
      <c r="Z546" s="1"/>
    </row>
    <row r="547" spans="1:26" ht="15.75" customHeight="1" x14ac:dyDescent="0.3">
      <c r="A547" s="148"/>
      <c r="B547" s="6"/>
      <c r="C547" s="6"/>
      <c r="D547" s="82"/>
      <c r="E547" s="6"/>
      <c r="F547" s="6"/>
      <c r="G547" s="6"/>
      <c r="H547" s="82"/>
      <c r="I547" s="6"/>
      <c r="J547" s="6"/>
      <c r="K547" s="1"/>
      <c r="L547" s="1"/>
      <c r="M547" s="1"/>
      <c r="N547" s="1"/>
      <c r="O547" s="1"/>
      <c r="P547" s="1"/>
      <c r="Q547" s="1"/>
      <c r="R547" s="1"/>
      <c r="S547" s="1"/>
      <c r="T547" s="1"/>
      <c r="U547" s="1"/>
      <c r="V547" s="1"/>
      <c r="W547" s="1"/>
      <c r="X547" s="1"/>
      <c r="Y547" s="1"/>
      <c r="Z547" s="1"/>
    </row>
    <row r="548" spans="1:26" ht="15.75" customHeight="1" x14ac:dyDescent="0.3">
      <c r="A548" s="148"/>
      <c r="B548" s="6"/>
      <c r="C548" s="6"/>
      <c r="D548" s="82"/>
      <c r="E548" s="6"/>
      <c r="F548" s="6"/>
      <c r="G548" s="6"/>
      <c r="H548" s="82"/>
      <c r="I548" s="6"/>
      <c r="J548" s="6"/>
      <c r="K548" s="1"/>
      <c r="L548" s="1"/>
      <c r="M548" s="1"/>
      <c r="N548" s="1"/>
      <c r="O548" s="1"/>
      <c r="P548" s="1"/>
      <c r="Q548" s="1"/>
      <c r="R548" s="1"/>
      <c r="S548" s="1"/>
      <c r="T548" s="1"/>
      <c r="U548" s="1"/>
      <c r="V548" s="1"/>
      <c r="W548" s="1"/>
      <c r="X548" s="1"/>
      <c r="Y548" s="1"/>
      <c r="Z548" s="1"/>
    </row>
    <row r="549" spans="1:26" ht="15.75" customHeight="1" x14ac:dyDescent="0.3">
      <c r="A549" s="148"/>
      <c r="B549" s="6"/>
      <c r="C549" s="6"/>
      <c r="D549" s="82"/>
      <c r="E549" s="6"/>
      <c r="F549" s="6"/>
      <c r="G549" s="6"/>
      <c r="H549" s="82"/>
      <c r="I549" s="6"/>
      <c r="J549" s="6"/>
      <c r="K549" s="1"/>
      <c r="L549" s="1"/>
      <c r="M549" s="1"/>
      <c r="N549" s="1"/>
      <c r="O549" s="1"/>
      <c r="P549" s="1"/>
      <c r="Q549" s="1"/>
      <c r="R549" s="1"/>
      <c r="S549" s="1"/>
      <c r="T549" s="1"/>
      <c r="U549" s="1"/>
      <c r="V549" s="1"/>
      <c r="W549" s="1"/>
      <c r="X549" s="1"/>
      <c r="Y549" s="1"/>
      <c r="Z549" s="1"/>
    </row>
    <row r="550" spans="1:26" ht="15.75" customHeight="1" x14ac:dyDescent="0.3">
      <c r="A550" s="148"/>
      <c r="B550" s="6"/>
      <c r="C550" s="6"/>
      <c r="D550" s="82"/>
      <c r="E550" s="6"/>
      <c r="F550" s="6"/>
      <c r="G550" s="6"/>
      <c r="H550" s="82"/>
      <c r="I550" s="6"/>
      <c r="J550" s="6"/>
      <c r="K550" s="1"/>
      <c r="L550" s="1"/>
      <c r="M550" s="1"/>
      <c r="N550" s="1"/>
      <c r="O550" s="1"/>
      <c r="P550" s="1"/>
      <c r="Q550" s="1"/>
      <c r="R550" s="1"/>
      <c r="S550" s="1"/>
      <c r="T550" s="1"/>
      <c r="U550" s="1"/>
      <c r="V550" s="1"/>
      <c r="W550" s="1"/>
      <c r="X550" s="1"/>
      <c r="Y550" s="1"/>
      <c r="Z550" s="1"/>
    </row>
    <row r="551" spans="1:26" ht="15.75" customHeight="1" x14ac:dyDescent="0.3">
      <c r="A551" s="148"/>
      <c r="B551" s="6"/>
      <c r="C551" s="6"/>
      <c r="D551" s="82"/>
      <c r="E551" s="6"/>
      <c r="F551" s="6"/>
      <c r="G551" s="6"/>
      <c r="H551" s="82"/>
      <c r="I551" s="6"/>
      <c r="J551" s="6"/>
      <c r="K551" s="1"/>
      <c r="L551" s="1"/>
      <c r="M551" s="1"/>
      <c r="N551" s="1"/>
      <c r="O551" s="1"/>
      <c r="P551" s="1"/>
      <c r="Q551" s="1"/>
      <c r="R551" s="1"/>
      <c r="S551" s="1"/>
      <c r="T551" s="1"/>
      <c r="U551" s="1"/>
      <c r="V551" s="1"/>
      <c r="W551" s="1"/>
      <c r="X551" s="1"/>
      <c r="Y551" s="1"/>
      <c r="Z551" s="1"/>
    </row>
    <row r="552" spans="1:26" ht="15.75" customHeight="1" x14ac:dyDescent="0.3">
      <c r="A552" s="148"/>
      <c r="B552" s="6"/>
      <c r="C552" s="6"/>
      <c r="D552" s="82"/>
      <c r="E552" s="6"/>
      <c r="F552" s="6"/>
      <c r="G552" s="6"/>
      <c r="H552" s="82"/>
      <c r="I552" s="6"/>
      <c r="J552" s="6"/>
      <c r="K552" s="1"/>
      <c r="L552" s="1"/>
      <c r="M552" s="1"/>
      <c r="N552" s="1"/>
      <c r="O552" s="1"/>
      <c r="P552" s="1"/>
      <c r="Q552" s="1"/>
      <c r="R552" s="1"/>
      <c r="S552" s="1"/>
      <c r="T552" s="1"/>
      <c r="U552" s="1"/>
      <c r="V552" s="1"/>
      <c r="W552" s="1"/>
      <c r="X552" s="1"/>
      <c r="Y552" s="1"/>
      <c r="Z552" s="1"/>
    </row>
    <row r="553" spans="1:26" ht="15.75" customHeight="1" x14ac:dyDescent="0.3">
      <c r="A553" s="148"/>
      <c r="B553" s="6"/>
      <c r="C553" s="6"/>
      <c r="D553" s="82"/>
      <c r="E553" s="6"/>
      <c r="F553" s="6"/>
      <c r="G553" s="6"/>
      <c r="H553" s="82"/>
      <c r="I553" s="6"/>
      <c r="J553" s="6"/>
      <c r="K553" s="1"/>
      <c r="L553" s="1"/>
      <c r="M553" s="1"/>
      <c r="N553" s="1"/>
      <c r="O553" s="1"/>
      <c r="P553" s="1"/>
      <c r="Q553" s="1"/>
      <c r="R553" s="1"/>
      <c r="S553" s="1"/>
      <c r="T553" s="1"/>
      <c r="U553" s="1"/>
      <c r="V553" s="1"/>
      <c r="W553" s="1"/>
      <c r="X553" s="1"/>
      <c r="Y553" s="1"/>
      <c r="Z553" s="1"/>
    </row>
    <row r="554" spans="1:26" ht="15.75" customHeight="1" x14ac:dyDescent="0.3">
      <c r="A554" s="148"/>
      <c r="B554" s="6"/>
      <c r="C554" s="6"/>
      <c r="D554" s="82"/>
      <c r="E554" s="6"/>
      <c r="F554" s="6"/>
      <c r="G554" s="6"/>
      <c r="H554" s="82"/>
      <c r="I554" s="6"/>
      <c r="J554" s="6"/>
      <c r="K554" s="1"/>
      <c r="L554" s="1"/>
      <c r="M554" s="1"/>
      <c r="N554" s="1"/>
      <c r="O554" s="1"/>
      <c r="P554" s="1"/>
      <c r="Q554" s="1"/>
      <c r="R554" s="1"/>
      <c r="S554" s="1"/>
      <c r="T554" s="1"/>
      <c r="U554" s="1"/>
      <c r="V554" s="1"/>
      <c r="W554" s="1"/>
      <c r="X554" s="1"/>
      <c r="Y554" s="1"/>
      <c r="Z554" s="1"/>
    </row>
    <row r="555" spans="1:26" ht="15.75" customHeight="1" x14ac:dyDescent="0.3">
      <c r="A555" s="148"/>
      <c r="B555" s="6"/>
      <c r="C555" s="6"/>
      <c r="D555" s="82"/>
      <c r="E555" s="6"/>
      <c r="F555" s="6"/>
      <c r="G555" s="6"/>
      <c r="H555" s="82"/>
      <c r="I555" s="6"/>
      <c r="J555" s="6"/>
      <c r="K555" s="1"/>
      <c r="L555" s="1"/>
      <c r="M555" s="1"/>
      <c r="N555" s="1"/>
      <c r="O555" s="1"/>
      <c r="P555" s="1"/>
      <c r="Q555" s="1"/>
      <c r="R555" s="1"/>
      <c r="S555" s="1"/>
      <c r="T555" s="1"/>
      <c r="U555" s="1"/>
      <c r="V555" s="1"/>
      <c r="W555" s="1"/>
      <c r="X555" s="1"/>
      <c r="Y555" s="1"/>
      <c r="Z555" s="1"/>
    </row>
    <row r="556" spans="1:26" ht="15.75" customHeight="1" x14ac:dyDescent="0.3">
      <c r="A556" s="148"/>
      <c r="B556" s="6"/>
      <c r="C556" s="6"/>
      <c r="D556" s="82"/>
      <c r="E556" s="6"/>
      <c r="F556" s="6"/>
      <c r="G556" s="6"/>
      <c r="H556" s="82"/>
      <c r="I556" s="6"/>
      <c r="J556" s="6"/>
      <c r="K556" s="1"/>
      <c r="L556" s="1"/>
      <c r="M556" s="1"/>
      <c r="N556" s="1"/>
      <c r="O556" s="1"/>
      <c r="P556" s="1"/>
      <c r="Q556" s="1"/>
      <c r="R556" s="1"/>
      <c r="S556" s="1"/>
      <c r="T556" s="1"/>
      <c r="U556" s="1"/>
      <c r="V556" s="1"/>
      <c r="W556" s="1"/>
      <c r="X556" s="1"/>
      <c r="Y556" s="1"/>
      <c r="Z556" s="1"/>
    </row>
    <row r="557" spans="1:26" ht="15.75" customHeight="1" x14ac:dyDescent="0.3">
      <c r="A557" s="148"/>
      <c r="B557" s="6"/>
      <c r="C557" s="6"/>
      <c r="D557" s="82"/>
      <c r="E557" s="6"/>
      <c r="F557" s="6"/>
      <c r="G557" s="6"/>
      <c r="H557" s="82"/>
      <c r="I557" s="6"/>
      <c r="J557" s="6"/>
      <c r="K557" s="1"/>
      <c r="L557" s="1"/>
      <c r="M557" s="1"/>
      <c r="N557" s="1"/>
      <c r="O557" s="1"/>
      <c r="P557" s="1"/>
      <c r="Q557" s="1"/>
      <c r="R557" s="1"/>
      <c r="S557" s="1"/>
      <c r="T557" s="1"/>
      <c r="U557" s="1"/>
      <c r="V557" s="1"/>
      <c r="W557" s="1"/>
      <c r="X557" s="1"/>
      <c r="Y557" s="1"/>
      <c r="Z557" s="1"/>
    </row>
    <row r="558" spans="1:26" ht="15.75" customHeight="1" x14ac:dyDescent="0.3">
      <c r="A558" s="148"/>
      <c r="B558" s="6"/>
      <c r="C558" s="6"/>
      <c r="D558" s="82"/>
      <c r="E558" s="6"/>
      <c r="F558" s="6"/>
      <c r="G558" s="6"/>
      <c r="H558" s="82"/>
      <c r="I558" s="6"/>
      <c r="J558" s="6"/>
      <c r="K558" s="1"/>
      <c r="L558" s="1"/>
      <c r="M558" s="1"/>
      <c r="N558" s="1"/>
      <c r="O558" s="1"/>
      <c r="P558" s="1"/>
      <c r="Q558" s="1"/>
      <c r="R558" s="1"/>
      <c r="S558" s="1"/>
      <c r="T558" s="1"/>
      <c r="U558" s="1"/>
      <c r="V558" s="1"/>
      <c r="W558" s="1"/>
      <c r="X558" s="1"/>
      <c r="Y558" s="1"/>
      <c r="Z558" s="1"/>
    </row>
    <row r="559" spans="1:26" ht="15.75" customHeight="1" x14ac:dyDescent="0.3">
      <c r="A559" s="148"/>
      <c r="B559" s="6"/>
      <c r="C559" s="6"/>
      <c r="D559" s="82"/>
      <c r="E559" s="6"/>
      <c r="F559" s="6"/>
      <c r="G559" s="6"/>
      <c r="H559" s="82"/>
      <c r="I559" s="6"/>
      <c r="J559" s="6"/>
      <c r="K559" s="1"/>
      <c r="L559" s="1"/>
      <c r="M559" s="1"/>
      <c r="N559" s="1"/>
      <c r="O559" s="1"/>
      <c r="P559" s="1"/>
      <c r="Q559" s="1"/>
      <c r="R559" s="1"/>
      <c r="S559" s="1"/>
      <c r="T559" s="1"/>
      <c r="U559" s="1"/>
      <c r="V559" s="1"/>
      <c r="W559" s="1"/>
      <c r="X559" s="1"/>
      <c r="Y559" s="1"/>
      <c r="Z559" s="1"/>
    </row>
    <row r="560" spans="1:26" ht="15.75" customHeight="1" x14ac:dyDescent="0.3">
      <c r="A560" s="148"/>
      <c r="B560" s="6"/>
      <c r="C560" s="6"/>
      <c r="D560" s="82"/>
      <c r="E560" s="6"/>
      <c r="F560" s="6"/>
      <c r="G560" s="6"/>
      <c r="H560" s="82"/>
      <c r="I560" s="6"/>
      <c r="J560" s="6"/>
      <c r="K560" s="1"/>
      <c r="L560" s="1"/>
      <c r="M560" s="1"/>
      <c r="N560" s="1"/>
      <c r="O560" s="1"/>
      <c r="P560" s="1"/>
      <c r="Q560" s="1"/>
      <c r="R560" s="1"/>
      <c r="S560" s="1"/>
      <c r="T560" s="1"/>
      <c r="U560" s="1"/>
      <c r="V560" s="1"/>
      <c r="W560" s="1"/>
      <c r="X560" s="1"/>
      <c r="Y560" s="1"/>
      <c r="Z560" s="1"/>
    </row>
    <row r="561" spans="1:26" ht="15.75" customHeight="1" x14ac:dyDescent="0.3">
      <c r="A561" s="148"/>
      <c r="B561" s="6"/>
      <c r="C561" s="6"/>
      <c r="D561" s="82"/>
      <c r="E561" s="6"/>
      <c r="F561" s="6"/>
      <c r="G561" s="6"/>
      <c r="H561" s="82"/>
      <c r="I561" s="6"/>
      <c r="J561" s="6"/>
      <c r="K561" s="1"/>
      <c r="L561" s="1"/>
      <c r="M561" s="1"/>
      <c r="N561" s="1"/>
      <c r="O561" s="1"/>
      <c r="P561" s="1"/>
      <c r="Q561" s="1"/>
      <c r="R561" s="1"/>
      <c r="S561" s="1"/>
      <c r="T561" s="1"/>
      <c r="U561" s="1"/>
      <c r="V561" s="1"/>
      <c r="W561" s="1"/>
      <c r="X561" s="1"/>
      <c r="Y561" s="1"/>
      <c r="Z561" s="1"/>
    </row>
    <row r="562" spans="1:26" ht="15.75" customHeight="1" x14ac:dyDescent="0.3">
      <c r="A562" s="148"/>
      <c r="B562" s="6"/>
      <c r="C562" s="6"/>
      <c r="D562" s="82"/>
      <c r="E562" s="6"/>
      <c r="F562" s="6"/>
      <c r="G562" s="6"/>
      <c r="H562" s="82"/>
      <c r="I562" s="6"/>
      <c r="J562" s="6"/>
      <c r="K562" s="1"/>
      <c r="L562" s="1"/>
      <c r="M562" s="1"/>
      <c r="N562" s="1"/>
      <c r="O562" s="1"/>
      <c r="P562" s="1"/>
      <c r="Q562" s="1"/>
      <c r="R562" s="1"/>
      <c r="S562" s="1"/>
      <c r="T562" s="1"/>
      <c r="U562" s="1"/>
      <c r="V562" s="1"/>
      <c r="W562" s="1"/>
      <c r="X562" s="1"/>
      <c r="Y562" s="1"/>
      <c r="Z562" s="1"/>
    </row>
    <row r="563" spans="1:26" ht="15.75" customHeight="1" x14ac:dyDescent="0.3">
      <c r="A563" s="148"/>
      <c r="B563" s="6"/>
      <c r="C563" s="6"/>
      <c r="D563" s="82"/>
      <c r="E563" s="6"/>
      <c r="F563" s="6"/>
      <c r="G563" s="6"/>
      <c r="H563" s="82"/>
      <c r="I563" s="6"/>
      <c r="J563" s="6"/>
      <c r="K563" s="1"/>
      <c r="L563" s="1"/>
      <c r="M563" s="1"/>
      <c r="N563" s="1"/>
      <c r="O563" s="1"/>
      <c r="P563" s="1"/>
      <c r="Q563" s="1"/>
      <c r="R563" s="1"/>
      <c r="S563" s="1"/>
      <c r="T563" s="1"/>
      <c r="U563" s="1"/>
      <c r="V563" s="1"/>
      <c r="W563" s="1"/>
      <c r="X563" s="1"/>
      <c r="Y563" s="1"/>
      <c r="Z563" s="1"/>
    </row>
    <row r="564" spans="1:26" ht="15.75" customHeight="1" x14ac:dyDescent="0.3">
      <c r="A564" s="148"/>
      <c r="B564" s="6"/>
      <c r="C564" s="6"/>
      <c r="D564" s="82"/>
      <c r="E564" s="6"/>
      <c r="F564" s="6"/>
      <c r="G564" s="6"/>
      <c r="H564" s="82"/>
      <c r="I564" s="6"/>
      <c r="J564" s="6"/>
      <c r="K564" s="1"/>
      <c r="L564" s="1"/>
      <c r="M564" s="1"/>
      <c r="N564" s="1"/>
      <c r="O564" s="1"/>
      <c r="P564" s="1"/>
      <c r="Q564" s="1"/>
      <c r="R564" s="1"/>
      <c r="S564" s="1"/>
      <c r="T564" s="1"/>
      <c r="U564" s="1"/>
      <c r="V564" s="1"/>
      <c r="W564" s="1"/>
      <c r="X564" s="1"/>
      <c r="Y564" s="1"/>
      <c r="Z564" s="1"/>
    </row>
    <row r="565" spans="1:26" ht="15.75" customHeight="1" x14ac:dyDescent="0.3">
      <c r="A565" s="148"/>
      <c r="B565" s="6"/>
      <c r="C565" s="6"/>
      <c r="D565" s="82"/>
      <c r="E565" s="6"/>
      <c r="F565" s="6"/>
      <c r="G565" s="6"/>
      <c r="H565" s="82"/>
      <c r="I565" s="6"/>
      <c r="J565" s="6"/>
      <c r="K565" s="1"/>
      <c r="L565" s="1"/>
      <c r="M565" s="1"/>
      <c r="N565" s="1"/>
      <c r="O565" s="1"/>
      <c r="P565" s="1"/>
      <c r="Q565" s="1"/>
      <c r="R565" s="1"/>
      <c r="S565" s="1"/>
      <c r="T565" s="1"/>
      <c r="U565" s="1"/>
      <c r="V565" s="1"/>
      <c r="W565" s="1"/>
      <c r="X565" s="1"/>
      <c r="Y565" s="1"/>
      <c r="Z565" s="1"/>
    </row>
    <row r="566" spans="1:26" ht="15.75" customHeight="1" x14ac:dyDescent="0.3">
      <c r="A566" s="148"/>
      <c r="B566" s="6"/>
      <c r="C566" s="6"/>
      <c r="D566" s="82"/>
      <c r="E566" s="6"/>
      <c r="F566" s="6"/>
      <c r="G566" s="6"/>
      <c r="H566" s="82"/>
      <c r="I566" s="6"/>
      <c r="J566" s="6"/>
      <c r="K566" s="1"/>
      <c r="L566" s="1"/>
      <c r="M566" s="1"/>
      <c r="N566" s="1"/>
      <c r="O566" s="1"/>
      <c r="P566" s="1"/>
      <c r="Q566" s="1"/>
      <c r="R566" s="1"/>
      <c r="S566" s="1"/>
      <c r="T566" s="1"/>
      <c r="U566" s="1"/>
      <c r="V566" s="1"/>
      <c r="W566" s="1"/>
      <c r="X566" s="1"/>
      <c r="Y566" s="1"/>
      <c r="Z566" s="1"/>
    </row>
    <row r="567" spans="1:26" ht="15.75" customHeight="1" x14ac:dyDescent="0.3">
      <c r="A567" s="148"/>
      <c r="B567" s="6"/>
      <c r="C567" s="6"/>
      <c r="D567" s="82"/>
      <c r="E567" s="6"/>
      <c r="F567" s="6"/>
      <c r="G567" s="6"/>
      <c r="H567" s="82"/>
      <c r="I567" s="6"/>
      <c r="J567" s="6"/>
      <c r="K567" s="1"/>
      <c r="L567" s="1"/>
      <c r="M567" s="1"/>
      <c r="N567" s="1"/>
      <c r="O567" s="1"/>
      <c r="P567" s="1"/>
      <c r="Q567" s="1"/>
      <c r="R567" s="1"/>
      <c r="S567" s="1"/>
      <c r="T567" s="1"/>
      <c r="U567" s="1"/>
      <c r="V567" s="1"/>
      <c r="W567" s="1"/>
      <c r="X567" s="1"/>
      <c r="Y567" s="1"/>
      <c r="Z567" s="1"/>
    </row>
    <row r="568" spans="1:26" ht="15.75" customHeight="1" x14ac:dyDescent="0.3">
      <c r="A568" s="148"/>
      <c r="B568" s="6"/>
      <c r="C568" s="6"/>
      <c r="D568" s="82"/>
      <c r="E568" s="6"/>
      <c r="F568" s="6"/>
      <c r="G568" s="6"/>
      <c r="H568" s="82"/>
      <c r="I568" s="6"/>
      <c r="J568" s="6"/>
      <c r="K568" s="1"/>
      <c r="L568" s="1"/>
      <c r="M568" s="1"/>
      <c r="N568" s="1"/>
      <c r="O568" s="1"/>
      <c r="P568" s="1"/>
      <c r="Q568" s="1"/>
      <c r="R568" s="1"/>
      <c r="S568" s="1"/>
      <c r="T568" s="1"/>
      <c r="U568" s="1"/>
      <c r="V568" s="1"/>
      <c r="W568" s="1"/>
      <c r="X568" s="1"/>
      <c r="Y568" s="1"/>
      <c r="Z568" s="1"/>
    </row>
    <row r="569" spans="1:26" ht="15.75" customHeight="1" x14ac:dyDescent="0.3">
      <c r="A569" s="148"/>
      <c r="B569" s="6"/>
      <c r="C569" s="6"/>
      <c r="D569" s="82"/>
      <c r="E569" s="6"/>
      <c r="F569" s="6"/>
      <c r="G569" s="6"/>
      <c r="H569" s="82"/>
      <c r="I569" s="6"/>
      <c r="J569" s="6"/>
      <c r="K569" s="1"/>
      <c r="L569" s="1"/>
      <c r="M569" s="1"/>
      <c r="N569" s="1"/>
      <c r="O569" s="1"/>
      <c r="P569" s="1"/>
      <c r="Q569" s="1"/>
      <c r="R569" s="1"/>
      <c r="S569" s="1"/>
      <c r="T569" s="1"/>
      <c r="U569" s="1"/>
      <c r="V569" s="1"/>
      <c r="W569" s="1"/>
      <c r="X569" s="1"/>
      <c r="Y569" s="1"/>
      <c r="Z569" s="1"/>
    </row>
    <row r="570" spans="1:26" ht="15.75" customHeight="1" x14ac:dyDescent="0.3">
      <c r="A570" s="148"/>
      <c r="B570" s="6"/>
      <c r="C570" s="6"/>
      <c r="D570" s="82"/>
      <c r="E570" s="6"/>
      <c r="F570" s="6"/>
      <c r="G570" s="6"/>
      <c r="H570" s="82"/>
      <c r="I570" s="6"/>
      <c r="J570" s="6"/>
      <c r="K570" s="1"/>
      <c r="L570" s="1"/>
      <c r="M570" s="1"/>
      <c r="N570" s="1"/>
      <c r="O570" s="1"/>
      <c r="P570" s="1"/>
      <c r="Q570" s="1"/>
      <c r="R570" s="1"/>
      <c r="S570" s="1"/>
      <c r="T570" s="1"/>
      <c r="U570" s="1"/>
      <c r="V570" s="1"/>
      <c r="W570" s="1"/>
      <c r="X570" s="1"/>
      <c r="Y570" s="1"/>
      <c r="Z570" s="1"/>
    </row>
    <row r="571" spans="1:26" ht="15.75" customHeight="1" x14ac:dyDescent="0.3">
      <c r="A571" s="148"/>
      <c r="B571" s="6"/>
      <c r="C571" s="6"/>
      <c r="D571" s="82"/>
      <c r="E571" s="6"/>
      <c r="F571" s="6"/>
      <c r="G571" s="6"/>
      <c r="H571" s="82"/>
      <c r="I571" s="6"/>
      <c r="J571" s="6"/>
      <c r="K571" s="1"/>
      <c r="L571" s="1"/>
      <c r="M571" s="1"/>
      <c r="N571" s="1"/>
      <c r="O571" s="1"/>
      <c r="P571" s="1"/>
      <c r="Q571" s="1"/>
      <c r="R571" s="1"/>
      <c r="S571" s="1"/>
      <c r="T571" s="1"/>
      <c r="U571" s="1"/>
      <c r="V571" s="1"/>
      <c r="W571" s="1"/>
      <c r="X571" s="1"/>
      <c r="Y571" s="1"/>
      <c r="Z571" s="1"/>
    </row>
    <row r="572" spans="1:26" ht="15.75" customHeight="1" x14ac:dyDescent="0.3">
      <c r="A572" s="148"/>
      <c r="B572" s="6"/>
      <c r="C572" s="6"/>
      <c r="D572" s="82"/>
      <c r="E572" s="6"/>
      <c r="F572" s="6"/>
      <c r="G572" s="6"/>
      <c r="H572" s="82"/>
      <c r="I572" s="6"/>
      <c r="J572" s="6"/>
      <c r="K572" s="1"/>
      <c r="L572" s="1"/>
      <c r="M572" s="1"/>
      <c r="N572" s="1"/>
      <c r="O572" s="1"/>
      <c r="P572" s="1"/>
      <c r="Q572" s="1"/>
      <c r="R572" s="1"/>
      <c r="S572" s="1"/>
      <c r="T572" s="1"/>
      <c r="U572" s="1"/>
      <c r="V572" s="1"/>
      <c r="W572" s="1"/>
      <c r="X572" s="1"/>
      <c r="Y572" s="1"/>
      <c r="Z572" s="1"/>
    </row>
    <row r="573" spans="1:26" ht="15.75" customHeight="1" x14ac:dyDescent="0.3">
      <c r="A573" s="148"/>
      <c r="B573" s="6"/>
      <c r="C573" s="6"/>
      <c r="D573" s="82"/>
      <c r="E573" s="6"/>
      <c r="F573" s="6"/>
      <c r="G573" s="6"/>
      <c r="H573" s="82"/>
      <c r="I573" s="6"/>
      <c r="J573" s="6"/>
      <c r="K573" s="1"/>
      <c r="L573" s="1"/>
      <c r="M573" s="1"/>
      <c r="N573" s="1"/>
      <c r="O573" s="1"/>
      <c r="P573" s="1"/>
      <c r="Q573" s="1"/>
      <c r="R573" s="1"/>
      <c r="S573" s="1"/>
      <c r="T573" s="1"/>
      <c r="U573" s="1"/>
      <c r="V573" s="1"/>
      <c r="W573" s="1"/>
      <c r="X573" s="1"/>
      <c r="Y573" s="1"/>
      <c r="Z573" s="1"/>
    </row>
    <row r="574" spans="1:26" ht="15.75" customHeight="1" x14ac:dyDescent="0.3">
      <c r="A574" s="148"/>
      <c r="B574" s="6"/>
      <c r="C574" s="6"/>
      <c r="D574" s="82"/>
      <c r="E574" s="6"/>
      <c r="F574" s="6"/>
      <c r="G574" s="6"/>
      <c r="H574" s="82"/>
      <c r="I574" s="6"/>
      <c r="J574" s="6"/>
      <c r="K574" s="1"/>
      <c r="L574" s="1"/>
      <c r="M574" s="1"/>
      <c r="N574" s="1"/>
      <c r="O574" s="1"/>
      <c r="P574" s="1"/>
      <c r="Q574" s="1"/>
      <c r="R574" s="1"/>
      <c r="S574" s="1"/>
      <c r="T574" s="1"/>
      <c r="U574" s="1"/>
      <c r="V574" s="1"/>
      <c r="W574" s="1"/>
      <c r="X574" s="1"/>
      <c r="Y574" s="1"/>
      <c r="Z574" s="1"/>
    </row>
    <row r="575" spans="1:26" ht="15.75" customHeight="1" x14ac:dyDescent="0.3">
      <c r="A575" s="148"/>
      <c r="B575" s="6"/>
      <c r="C575" s="6"/>
      <c r="D575" s="82"/>
      <c r="E575" s="6"/>
      <c r="F575" s="6"/>
      <c r="G575" s="6"/>
      <c r="H575" s="82"/>
      <c r="I575" s="6"/>
      <c r="J575" s="6"/>
      <c r="K575" s="1"/>
      <c r="L575" s="1"/>
      <c r="M575" s="1"/>
      <c r="N575" s="1"/>
      <c r="O575" s="1"/>
      <c r="P575" s="1"/>
      <c r="Q575" s="1"/>
      <c r="R575" s="1"/>
      <c r="S575" s="1"/>
      <c r="T575" s="1"/>
      <c r="U575" s="1"/>
      <c r="V575" s="1"/>
      <c r="W575" s="1"/>
      <c r="X575" s="1"/>
      <c r="Y575" s="1"/>
      <c r="Z575" s="1"/>
    </row>
    <row r="576" spans="1:26" ht="15.75" customHeight="1" x14ac:dyDescent="0.3">
      <c r="A576" s="148"/>
      <c r="B576" s="6"/>
      <c r="C576" s="6"/>
      <c r="D576" s="82"/>
      <c r="E576" s="6"/>
      <c r="F576" s="6"/>
      <c r="G576" s="6"/>
      <c r="H576" s="82"/>
      <c r="I576" s="6"/>
      <c r="J576" s="6"/>
      <c r="K576" s="1"/>
      <c r="L576" s="1"/>
      <c r="M576" s="1"/>
      <c r="N576" s="1"/>
      <c r="O576" s="1"/>
      <c r="P576" s="1"/>
      <c r="Q576" s="1"/>
      <c r="R576" s="1"/>
      <c r="S576" s="1"/>
      <c r="T576" s="1"/>
      <c r="U576" s="1"/>
      <c r="V576" s="1"/>
      <c r="W576" s="1"/>
      <c r="X576" s="1"/>
      <c r="Y576" s="1"/>
      <c r="Z576" s="1"/>
    </row>
    <row r="577" spans="1:26" ht="15.75" customHeight="1" x14ac:dyDescent="0.3">
      <c r="A577" s="148"/>
      <c r="B577" s="6"/>
      <c r="C577" s="6"/>
      <c r="D577" s="82"/>
      <c r="E577" s="6"/>
      <c r="F577" s="6"/>
      <c r="G577" s="6"/>
      <c r="H577" s="82"/>
      <c r="I577" s="6"/>
      <c r="J577" s="6"/>
      <c r="K577" s="1"/>
      <c r="L577" s="1"/>
      <c r="M577" s="1"/>
      <c r="N577" s="1"/>
      <c r="O577" s="1"/>
      <c r="P577" s="1"/>
      <c r="Q577" s="1"/>
      <c r="R577" s="1"/>
      <c r="S577" s="1"/>
      <c r="T577" s="1"/>
      <c r="U577" s="1"/>
      <c r="V577" s="1"/>
      <c r="W577" s="1"/>
      <c r="X577" s="1"/>
      <c r="Y577" s="1"/>
      <c r="Z577" s="1"/>
    </row>
    <row r="578" spans="1:26" ht="15.75" customHeight="1" x14ac:dyDescent="0.3">
      <c r="A578" s="148"/>
      <c r="B578" s="6"/>
      <c r="C578" s="6"/>
      <c r="D578" s="82"/>
      <c r="E578" s="6"/>
      <c r="F578" s="6"/>
      <c r="G578" s="6"/>
      <c r="H578" s="82"/>
      <c r="I578" s="6"/>
      <c r="J578" s="6"/>
      <c r="K578" s="1"/>
      <c r="L578" s="1"/>
      <c r="M578" s="1"/>
      <c r="N578" s="1"/>
      <c r="O578" s="1"/>
      <c r="P578" s="1"/>
      <c r="Q578" s="1"/>
      <c r="R578" s="1"/>
      <c r="S578" s="1"/>
      <c r="T578" s="1"/>
      <c r="U578" s="1"/>
      <c r="V578" s="1"/>
      <c r="W578" s="1"/>
      <c r="X578" s="1"/>
      <c r="Y578" s="1"/>
      <c r="Z578" s="1"/>
    </row>
    <row r="579" spans="1:26" ht="15.75" customHeight="1" x14ac:dyDescent="0.3">
      <c r="A579" s="148"/>
      <c r="B579" s="6"/>
      <c r="C579" s="6"/>
      <c r="D579" s="82"/>
      <c r="E579" s="6"/>
      <c r="F579" s="6"/>
      <c r="G579" s="6"/>
      <c r="H579" s="82"/>
      <c r="I579" s="6"/>
      <c r="J579" s="6"/>
      <c r="K579" s="1"/>
      <c r="L579" s="1"/>
      <c r="M579" s="1"/>
      <c r="N579" s="1"/>
      <c r="O579" s="1"/>
      <c r="P579" s="1"/>
      <c r="Q579" s="1"/>
      <c r="R579" s="1"/>
      <c r="S579" s="1"/>
      <c r="T579" s="1"/>
      <c r="U579" s="1"/>
      <c r="V579" s="1"/>
      <c r="W579" s="1"/>
      <c r="X579" s="1"/>
      <c r="Y579" s="1"/>
      <c r="Z579" s="1"/>
    </row>
    <row r="580" spans="1:26" ht="15.75" customHeight="1" x14ac:dyDescent="0.3">
      <c r="A580" s="148"/>
      <c r="B580" s="6"/>
      <c r="C580" s="6"/>
      <c r="D580" s="82"/>
      <c r="E580" s="6"/>
      <c r="F580" s="6"/>
      <c r="G580" s="6"/>
      <c r="H580" s="82"/>
      <c r="I580" s="6"/>
      <c r="J580" s="6"/>
      <c r="K580" s="1"/>
      <c r="L580" s="1"/>
      <c r="M580" s="1"/>
      <c r="N580" s="1"/>
      <c r="O580" s="1"/>
      <c r="P580" s="1"/>
      <c r="Q580" s="1"/>
      <c r="R580" s="1"/>
      <c r="S580" s="1"/>
      <c r="T580" s="1"/>
      <c r="U580" s="1"/>
      <c r="V580" s="1"/>
      <c r="W580" s="1"/>
      <c r="X580" s="1"/>
      <c r="Y580" s="1"/>
      <c r="Z580" s="1"/>
    </row>
    <row r="581" spans="1:26" ht="15.75" customHeight="1" x14ac:dyDescent="0.3">
      <c r="A581" s="148"/>
      <c r="B581" s="6"/>
      <c r="C581" s="6"/>
      <c r="D581" s="82"/>
      <c r="E581" s="6"/>
      <c r="F581" s="6"/>
      <c r="G581" s="6"/>
      <c r="H581" s="82"/>
      <c r="I581" s="6"/>
      <c r="J581" s="6"/>
      <c r="K581" s="1"/>
      <c r="L581" s="1"/>
      <c r="M581" s="1"/>
      <c r="N581" s="1"/>
      <c r="O581" s="1"/>
      <c r="P581" s="1"/>
      <c r="Q581" s="1"/>
      <c r="R581" s="1"/>
      <c r="S581" s="1"/>
      <c r="T581" s="1"/>
      <c r="U581" s="1"/>
      <c r="V581" s="1"/>
      <c r="W581" s="1"/>
      <c r="X581" s="1"/>
      <c r="Y581" s="1"/>
      <c r="Z581" s="1"/>
    </row>
    <row r="582" spans="1:26" ht="15.75" customHeight="1" x14ac:dyDescent="0.3">
      <c r="A582" s="148"/>
      <c r="B582" s="6"/>
      <c r="C582" s="6"/>
      <c r="D582" s="82"/>
      <c r="E582" s="6"/>
      <c r="F582" s="6"/>
      <c r="G582" s="6"/>
      <c r="H582" s="82"/>
      <c r="I582" s="6"/>
      <c r="J582" s="6"/>
      <c r="K582" s="1"/>
      <c r="L582" s="1"/>
      <c r="M582" s="1"/>
      <c r="N582" s="1"/>
      <c r="O582" s="1"/>
      <c r="P582" s="1"/>
      <c r="Q582" s="1"/>
      <c r="R582" s="1"/>
      <c r="S582" s="1"/>
      <c r="T582" s="1"/>
      <c r="U582" s="1"/>
      <c r="V582" s="1"/>
      <c r="W582" s="1"/>
      <c r="X582" s="1"/>
      <c r="Y582" s="1"/>
      <c r="Z582" s="1"/>
    </row>
    <row r="583" spans="1:26" ht="15.75" customHeight="1" x14ac:dyDescent="0.3">
      <c r="A583" s="148"/>
      <c r="B583" s="6"/>
      <c r="C583" s="6"/>
      <c r="D583" s="82"/>
      <c r="E583" s="6"/>
      <c r="F583" s="6"/>
      <c r="G583" s="6"/>
      <c r="H583" s="82"/>
      <c r="I583" s="6"/>
      <c r="J583" s="6"/>
      <c r="K583" s="1"/>
      <c r="L583" s="1"/>
      <c r="M583" s="1"/>
      <c r="N583" s="1"/>
      <c r="O583" s="1"/>
      <c r="P583" s="1"/>
      <c r="Q583" s="1"/>
      <c r="R583" s="1"/>
      <c r="S583" s="1"/>
      <c r="T583" s="1"/>
      <c r="U583" s="1"/>
      <c r="V583" s="1"/>
      <c r="W583" s="1"/>
      <c r="X583" s="1"/>
      <c r="Y583" s="1"/>
      <c r="Z583" s="1"/>
    </row>
    <row r="584" spans="1:26" ht="15.75" customHeight="1" x14ac:dyDescent="0.3">
      <c r="A584" s="148"/>
      <c r="B584" s="6"/>
      <c r="C584" s="6"/>
      <c r="D584" s="82"/>
      <c r="E584" s="6"/>
      <c r="F584" s="6"/>
      <c r="G584" s="6"/>
      <c r="H584" s="82"/>
      <c r="I584" s="6"/>
      <c r="J584" s="6"/>
      <c r="K584" s="1"/>
      <c r="L584" s="1"/>
      <c r="M584" s="1"/>
      <c r="N584" s="1"/>
      <c r="O584" s="1"/>
      <c r="P584" s="1"/>
      <c r="Q584" s="1"/>
      <c r="R584" s="1"/>
      <c r="S584" s="1"/>
      <c r="T584" s="1"/>
      <c r="U584" s="1"/>
      <c r="V584" s="1"/>
      <c r="W584" s="1"/>
      <c r="X584" s="1"/>
      <c r="Y584" s="1"/>
      <c r="Z584" s="1"/>
    </row>
    <row r="585" spans="1:26" ht="15.75" customHeight="1" x14ac:dyDescent="0.3">
      <c r="A585" s="148"/>
      <c r="B585" s="6"/>
      <c r="C585" s="6"/>
      <c r="D585" s="82"/>
      <c r="E585" s="6"/>
      <c r="F585" s="6"/>
      <c r="G585" s="6"/>
      <c r="H585" s="82"/>
      <c r="I585" s="6"/>
      <c r="J585" s="6"/>
      <c r="K585" s="1"/>
      <c r="L585" s="1"/>
      <c r="M585" s="1"/>
      <c r="N585" s="1"/>
      <c r="O585" s="1"/>
      <c r="P585" s="1"/>
      <c r="Q585" s="1"/>
      <c r="R585" s="1"/>
      <c r="S585" s="1"/>
      <c r="T585" s="1"/>
      <c r="U585" s="1"/>
      <c r="V585" s="1"/>
      <c r="W585" s="1"/>
      <c r="X585" s="1"/>
      <c r="Y585" s="1"/>
      <c r="Z585" s="1"/>
    </row>
    <row r="586" spans="1:26" ht="15.75" customHeight="1" x14ac:dyDescent="0.3">
      <c r="A586" s="148"/>
      <c r="B586" s="6"/>
      <c r="C586" s="6"/>
      <c r="D586" s="82"/>
      <c r="E586" s="6"/>
      <c r="F586" s="6"/>
      <c r="G586" s="6"/>
      <c r="H586" s="82"/>
      <c r="I586" s="6"/>
      <c r="J586" s="6"/>
      <c r="K586" s="1"/>
      <c r="L586" s="1"/>
      <c r="M586" s="1"/>
      <c r="N586" s="1"/>
      <c r="O586" s="1"/>
      <c r="P586" s="1"/>
      <c r="Q586" s="1"/>
      <c r="R586" s="1"/>
      <c r="S586" s="1"/>
      <c r="T586" s="1"/>
      <c r="U586" s="1"/>
      <c r="V586" s="1"/>
      <c r="W586" s="1"/>
      <c r="X586" s="1"/>
      <c r="Y586" s="1"/>
      <c r="Z586" s="1"/>
    </row>
    <row r="587" spans="1:26" ht="15.75" customHeight="1" x14ac:dyDescent="0.3">
      <c r="A587" s="148"/>
      <c r="B587" s="6"/>
      <c r="C587" s="6"/>
      <c r="D587" s="82"/>
      <c r="E587" s="6"/>
      <c r="F587" s="6"/>
      <c r="G587" s="6"/>
      <c r="H587" s="82"/>
      <c r="I587" s="6"/>
      <c r="J587" s="6"/>
      <c r="K587" s="1"/>
      <c r="L587" s="1"/>
      <c r="M587" s="1"/>
      <c r="N587" s="1"/>
      <c r="O587" s="1"/>
      <c r="P587" s="1"/>
      <c r="Q587" s="1"/>
      <c r="R587" s="1"/>
      <c r="S587" s="1"/>
      <c r="T587" s="1"/>
      <c r="U587" s="1"/>
      <c r="V587" s="1"/>
      <c r="W587" s="1"/>
      <c r="X587" s="1"/>
      <c r="Y587" s="1"/>
      <c r="Z587" s="1"/>
    </row>
    <row r="588" spans="1:26" ht="15.75" customHeight="1" x14ac:dyDescent="0.3">
      <c r="A588" s="148"/>
      <c r="B588" s="6"/>
      <c r="C588" s="6"/>
      <c r="D588" s="82"/>
      <c r="E588" s="6"/>
      <c r="F588" s="6"/>
      <c r="G588" s="6"/>
      <c r="H588" s="82"/>
      <c r="I588" s="6"/>
      <c r="J588" s="6"/>
      <c r="K588" s="1"/>
      <c r="L588" s="1"/>
      <c r="M588" s="1"/>
      <c r="N588" s="1"/>
      <c r="O588" s="1"/>
      <c r="P588" s="1"/>
      <c r="Q588" s="1"/>
      <c r="R588" s="1"/>
      <c r="S588" s="1"/>
      <c r="T588" s="1"/>
      <c r="U588" s="1"/>
      <c r="V588" s="1"/>
      <c r="W588" s="1"/>
      <c r="X588" s="1"/>
      <c r="Y588" s="1"/>
      <c r="Z588" s="1"/>
    </row>
    <row r="589" spans="1:26" ht="15.75" customHeight="1" x14ac:dyDescent="0.3">
      <c r="A589" s="148"/>
      <c r="B589" s="6"/>
      <c r="C589" s="6"/>
      <c r="D589" s="82"/>
      <c r="E589" s="6"/>
      <c r="F589" s="6"/>
      <c r="G589" s="6"/>
      <c r="H589" s="82"/>
      <c r="I589" s="6"/>
      <c r="J589" s="6"/>
      <c r="K589" s="1"/>
      <c r="L589" s="1"/>
      <c r="M589" s="1"/>
      <c r="N589" s="1"/>
      <c r="O589" s="1"/>
      <c r="P589" s="1"/>
      <c r="Q589" s="1"/>
      <c r="R589" s="1"/>
      <c r="S589" s="1"/>
      <c r="T589" s="1"/>
      <c r="U589" s="1"/>
      <c r="V589" s="1"/>
      <c r="W589" s="1"/>
      <c r="X589" s="1"/>
      <c r="Y589" s="1"/>
      <c r="Z589" s="1"/>
    </row>
    <row r="590" spans="1:26" ht="15.75" customHeight="1" x14ac:dyDescent="0.3">
      <c r="A590" s="148"/>
      <c r="B590" s="6"/>
      <c r="C590" s="6"/>
      <c r="D590" s="82"/>
      <c r="E590" s="6"/>
      <c r="F590" s="6"/>
      <c r="G590" s="6"/>
      <c r="H590" s="82"/>
      <c r="I590" s="6"/>
      <c r="J590" s="6"/>
      <c r="K590" s="1"/>
      <c r="L590" s="1"/>
      <c r="M590" s="1"/>
      <c r="N590" s="1"/>
      <c r="O590" s="1"/>
      <c r="P590" s="1"/>
      <c r="Q590" s="1"/>
      <c r="R590" s="1"/>
      <c r="S590" s="1"/>
      <c r="T590" s="1"/>
      <c r="U590" s="1"/>
      <c r="V590" s="1"/>
      <c r="W590" s="1"/>
      <c r="X590" s="1"/>
      <c r="Y590" s="1"/>
      <c r="Z590" s="1"/>
    </row>
    <row r="591" spans="1:26" ht="15.75" customHeight="1" x14ac:dyDescent="0.3">
      <c r="A591" s="148"/>
      <c r="B591" s="6"/>
      <c r="C591" s="6"/>
      <c r="D591" s="82"/>
      <c r="E591" s="6"/>
      <c r="F591" s="6"/>
      <c r="G591" s="6"/>
      <c r="H591" s="82"/>
      <c r="I591" s="6"/>
      <c r="J591" s="6"/>
      <c r="K591" s="1"/>
      <c r="L591" s="1"/>
      <c r="M591" s="1"/>
      <c r="N591" s="1"/>
      <c r="O591" s="1"/>
      <c r="P591" s="1"/>
      <c r="Q591" s="1"/>
      <c r="R591" s="1"/>
      <c r="S591" s="1"/>
      <c r="T591" s="1"/>
      <c r="U591" s="1"/>
      <c r="V591" s="1"/>
      <c r="W591" s="1"/>
      <c r="X591" s="1"/>
      <c r="Y591" s="1"/>
      <c r="Z591" s="1"/>
    </row>
    <row r="592" spans="1:26" ht="15.75" customHeight="1" x14ac:dyDescent="0.3">
      <c r="A592" s="148"/>
      <c r="B592" s="6"/>
      <c r="C592" s="6"/>
      <c r="D592" s="82"/>
      <c r="E592" s="6"/>
      <c r="F592" s="6"/>
      <c r="G592" s="6"/>
      <c r="H592" s="82"/>
      <c r="I592" s="6"/>
      <c r="J592" s="6"/>
      <c r="K592" s="1"/>
      <c r="L592" s="1"/>
      <c r="M592" s="1"/>
      <c r="N592" s="1"/>
      <c r="O592" s="1"/>
      <c r="P592" s="1"/>
      <c r="Q592" s="1"/>
      <c r="R592" s="1"/>
      <c r="S592" s="1"/>
      <c r="T592" s="1"/>
      <c r="U592" s="1"/>
      <c r="V592" s="1"/>
      <c r="W592" s="1"/>
      <c r="X592" s="1"/>
      <c r="Y592" s="1"/>
      <c r="Z592" s="1"/>
    </row>
    <row r="593" spans="1:26" ht="15.75" customHeight="1" x14ac:dyDescent="0.3">
      <c r="A593" s="148"/>
      <c r="B593" s="6"/>
      <c r="C593" s="6"/>
      <c r="D593" s="82"/>
      <c r="E593" s="6"/>
      <c r="F593" s="6"/>
      <c r="G593" s="6"/>
      <c r="H593" s="82"/>
      <c r="I593" s="6"/>
      <c r="J593" s="6"/>
      <c r="K593" s="1"/>
      <c r="L593" s="1"/>
      <c r="M593" s="1"/>
      <c r="N593" s="1"/>
      <c r="O593" s="1"/>
      <c r="P593" s="1"/>
      <c r="Q593" s="1"/>
      <c r="R593" s="1"/>
      <c r="S593" s="1"/>
      <c r="T593" s="1"/>
      <c r="U593" s="1"/>
      <c r="V593" s="1"/>
      <c r="W593" s="1"/>
      <c r="X593" s="1"/>
      <c r="Y593" s="1"/>
      <c r="Z593" s="1"/>
    </row>
    <row r="594" spans="1:26" ht="15.75" customHeight="1" x14ac:dyDescent="0.3">
      <c r="A594" s="148"/>
      <c r="B594" s="6"/>
      <c r="C594" s="6"/>
      <c r="D594" s="82"/>
      <c r="E594" s="6"/>
      <c r="F594" s="6"/>
      <c r="G594" s="6"/>
      <c r="H594" s="82"/>
      <c r="I594" s="6"/>
      <c r="J594" s="6"/>
      <c r="K594" s="1"/>
      <c r="L594" s="1"/>
      <c r="M594" s="1"/>
      <c r="N594" s="1"/>
      <c r="O594" s="1"/>
      <c r="P594" s="1"/>
      <c r="Q594" s="1"/>
      <c r="R594" s="1"/>
      <c r="S594" s="1"/>
      <c r="T594" s="1"/>
      <c r="U594" s="1"/>
      <c r="V594" s="1"/>
      <c r="W594" s="1"/>
      <c r="X594" s="1"/>
      <c r="Y594" s="1"/>
      <c r="Z594" s="1"/>
    </row>
    <row r="595" spans="1:26" ht="15.75" customHeight="1" x14ac:dyDescent="0.3">
      <c r="A595" s="148"/>
      <c r="B595" s="6"/>
      <c r="C595" s="6"/>
      <c r="D595" s="82"/>
      <c r="E595" s="6"/>
      <c r="F595" s="6"/>
      <c r="G595" s="6"/>
      <c r="H595" s="82"/>
      <c r="I595" s="6"/>
      <c r="J595" s="6"/>
      <c r="K595" s="1"/>
      <c r="L595" s="1"/>
      <c r="M595" s="1"/>
      <c r="N595" s="1"/>
      <c r="O595" s="1"/>
      <c r="P595" s="1"/>
      <c r="Q595" s="1"/>
      <c r="R595" s="1"/>
      <c r="S595" s="1"/>
      <c r="T595" s="1"/>
      <c r="U595" s="1"/>
      <c r="V595" s="1"/>
      <c r="W595" s="1"/>
      <c r="X595" s="1"/>
      <c r="Y595" s="1"/>
      <c r="Z595" s="1"/>
    </row>
    <row r="596" spans="1:26" ht="15.75" customHeight="1" x14ac:dyDescent="0.3">
      <c r="A596" s="148"/>
      <c r="B596" s="6"/>
      <c r="C596" s="6"/>
      <c r="D596" s="82"/>
      <c r="E596" s="6"/>
      <c r="F596" s="6"/>
      <c r="G596" s="6"/>
      <c r="H596" s="82"/>
      <c r="I596" s="6"/>
      <c r="J596" s="6"/>
      <c r="K596" s="1"/>
      <c r="L596" s="1"/>
      <c r="M596" s="1"/>
      <c r="N596" s="1"/>
      <c r="O596" s="1"/>
      <c r="P596" s="1"/>
      <c r="Q596" s="1"/>
      <c r="R596" s="1"/>
      <c r="S596" s="1"/>
      <c r="T596" s="1"/>
      <c r="U596" s="1"/>
      <c r="V596" s="1"/>
      <c r="W596" s="1"/>
      <c r="X596" s="1"/>
      <c r="Y596" s="1"/>
      <c r="Z596" s="1"/>
    </row>
    <row r="597" spans="1:26" ht="15.75" customHeight="1" x14ac:dyDescent="0.3">
      <c r="A597" s="148"/>
      <c r="B597" s="6"/>
      <c r="C597" s="6"/>
      <c r="D597" s="82"/>
      <c r="E597" s="6"/>
      <c r="F597" s="6"/>
      <c r="G597" s="6"/>
      <c r="H597" s="82"/>
      <c r="I597" s="6"/>
      <c r="J597" s="6"/>
      <c r="K597" s="1"/>
      <c r="L597" s="1"/>
      <c r="M597" s="1"/>
      <c r="N597" s="1"/>
      <c r="O597" s="1"/>
      <c r="P597" s="1"/>
      <c r="Q597" s="1"/>
      <c r="R597" s="1"/>
      <c r="S597" s="1"/>
      <c r="T597" s="1"/>
      <c r="U597" s="1"/>
      <c r="V597" s="1"/>
      <c r="W597" s="1"/>
      <c r="X597" s="1"/>
      <c r="Y597" s="1"/>
      <c r="Z597" s="1"/>
    </row>
    <row r="598" spans="1:26" ht="15.75" customHeight="1" x14ac:dyDescent="0.3">
      <c r="A598" s="148"/>
      <c r="B598" s="6"/>
      <c r="C598" s="6"/>
      <c r="D598" s="82"/>
      <c r="E598" s="6"/>
      <c r="F598" s="6"/>
      <c r="G598" s="6"/>
      <c r="H598" s="82"/>
      <c r="I598" s="6"/>
      <c r="J598" s="6"/>
      <c r="K598" s="1"/>
      <c r="L598" s="1"/>
      <c r="M598" s="1"/>
      <c r="N598" s="1"/>
      <c r="O598" s="1"/>
      <c r="P598" s="1"/>
      <c r="Q598" s="1"/>
      <c r="R598" s="1"/>
      <c r="S598" s="1"/>
      <c r="T598" s="1"/>
      <c r="U598" s="1"/>
      <c r="V598" s="1"/>
      <c r="W598" s="1"/>
      <c r="X598" s="1"/>
      <c r="Y598" s="1"/>
      <c r="Z598" s="1"/>
    </row>
    <row r="599" spans="1:26" ht="15.75" customHeight="1" x14ac:dyDescent="0.3">
      <c r="A599" s="148"/>
      <c r="B599" s="6"/>
      <c r="C599" s="6"/>
      <c r="D599" s="82"/>
      <c r="E599" s="6"/>
      <c r="F599" s="6"/>
      <c r="G599" s="6"/>
      <c r="H599" s="82"/>
      <c r="I599" s="6"/>
      <c r="J599" s="6"/>
      <c r="K599" s="1"/>
      <c r="L599" s="1"/>
      <c r="M599" s="1"/>
      <c r="N599" s="1"/>
      <c r="O599" s="1"/>
      <c r="P599" s="1"/>
      <c r="Q599" s="1"/>
      <c r="R599" s="1"/>
      <c r="S599" s="1"/>
      <c r="T599" s="1"/>
      <c r="U599" s="1"/>
      <c r="V599" s="1"/>
      <c r="W599" s="1"/>
      <c r="X599" s="1"/>
      <c r="Y599" s="1"/>
      <c r="Z599" s="1"/>
    </row>
    <row r="600" spans="1:26" ht="15.75" customHeight="1" x14ac:dyDescent="0.3">
      <c r="A600" s="148"/>
      <c r="B600" s="6"/>
      <c r="C600" s="6"/>
      <c r="D600" s="82"/>
      <c r="E600" s="6"/>
      <c r="F600" s="6"/>
      <c r="G600" s="6"/>
      <c r="H600" s="82"/>
      <c r="I600" s="6"/>
      <c r="J600" s="6"/>
      <c r="K600" s="1"/>
      <c r="L600" s="1"/>
      <c r="M600" s="1"/>
      <c r="N600" s="1"/>
      <c r="O600" s="1"/>
      <c r="P600" s="1"/>
      <c r="Q600" s="1"/>
      <c r="R600" s="1"/>
      <c r="S600" s="1"/>
      <c r="T600" s="1"/>
      <c r="U600" s="1"/>
      <c r="V600" s="1"/>
      <c r="W600" s="1"/>
      <c r="X600" s="1"/>
      <c r="Y600" s="1"/>
      <c r="Z600" s="1"/>
    </row>
    <row r="601" spans="1:26" ht="15.75" customHeight="1" x14ac:dyDescent="0.3">
      <c r="A601" s="148"/>
      <c r="B601" s="6"/>
      <c r="C601" s="6"/>
      <c r="D601" s="82"/>
      <c r="E601" s="6"/>
      <c r="F601" s="6"/>
      <c r="G601" s="6"/>
      <c r="H601" s="82"/>
      <c r="I601" s="6"/>
      <c r="J601" s="6"/>
      <c r="K601" s="1"/>
      <c r="L601" s="1"/>
      <c r="M601" s="1"/>
      <c r="N601" s="1"/>
      <c r="O601" s="1"/>
      <c r="P601" s="1"/>
      <c r="Q601" s="1"/>
      <c r="R601" s="1"/>
      <c r="S601" s="1"/>
      <c r="T601" s="1"/>
      <c r="U601" s="1"/>
      <c r="V601" s="1"/>
      <c r="W601" s="1"/>
      <c r="X601" s="1"/>
      <c r="Y601" s="1"/>
      <c r="Z601" s="1"/>
    </row>
    <row r="602" spans="1:26" ht="15.75" customHeight="1" x14ac:dyDescent="0.3">
      <c r="A602" s="148"/>
      <c r="B602" s="6"/>
      <c r="C602" s="6"/>
      <c r="D602" s="82"/>
      <c r="E602" s="6"/>
      <c r="F602" s="6"/>
      <c r="G602" s="6"/>
      <c r="H602" s="82"/>
      <c r="I602" s="6"/>
      <c r="J602" s="6"/>
      <c r="K602" s="1"/>
      <c r="L602" s="1"/>
      <c r="M602" s="1"/>
      <c r="N602" s="1"/>
      <c r="O602" s="1"/>
      <c r="P602" s="1"/>
      <c r="Q602" s="1"/>
      <c r="R602" s="1"/>
      <c r="S602" s="1"/>
      <c r="T602" s="1"/>
      <c r="U602" s="1"/>
      <c r="V602" s="1"/>
      <c r="W602" s="1"/>
      <c r="X602" s="1"/>
      <c r="Y602" s="1"/>
      <c r="Z602" s="1"/>
    </row>
    <row r="603" spans="1:26" ht="15.75" customHeight="1" x14ac:dyDescent="0.3">
      <c r="A603" s="148"/>
      <c r="B603" s="6"/>
      <c r="C603" s="6"/>
      <c r="D603" s="82"/>
      <c r="E603" s="6"/>
      <c r="F603" s="6"/>
      <c r="G603" s="6"/>
      <c r="H603" s="82"/>
      <c r="I603" s="6"/>
      <c r="J603" s="6"/>
      <c r="K603" s="1"/>
      <c r="L603" s="1"/>
      <c r="M603" s="1"/>
      <c r="N603" s="1"/>
      <c r="O603" s="1"/>
      <c r="P603" s="1"/>
      <c r="Q603" s="1"/>
      <c r="R603" s="1"/>
      <c r="S603" s="1"/>
      <c r="T603" s="1"/>
      <c r="U603" s="1"/>
      <c r="V603" s="1"/>
      <c r="W603" s="1"/>
      <c r="X603" s="1"/>
      <c r="Y603" s="1"/>
      <c r="Z603" s="1"/>
    </row>
    <row r="604" spans="1:26" ht="15.75" customHeight="1" x14ac:dyDescent="0.3">
      <c r="A604" s="148"/>
      <c r="B604" s="6"/>
      <c r="C604" s="6"/>
      <c r="D604" s="82"/>
      <c r="E604" s="6"/>
      <c r="F604" s="6"/>
      <c r="G604" s="6"/>
      <c r="H604" s="82"/>
      <c r="I604" s="6"/>
      <c r="J604" s="6"/>
      <c r="K604" s="1"/>
      <c r="L604" s="1"/>
      <c r="M604" s="1"/>
      <c r="N604" s="1"/>
      <c r="O604" s="1"/>
      <c r="P604" s="1"/>
      <c r="Q604" s="1"/>
      <c r="R604" s="1"/>
      <c r="S604" s="1"/>
      <c r="T604" s="1"/>
      <c r="U604" s="1"/>
      <c r="V604" s="1"/>
      <c r="W604" s="1"/>
      <c r="X604" s="1"/>
      <c r="Y604" s="1"/>
      <c r="Z604" s="1"/>
    </row>
    <row r="605" spans="1:26" ht="15.75" customHeight="1" x14ac:dyDescent="0.3">
      <c r="A605" s="148"/>
      <c r="B605" s="6"/>
      <c r="C605" s="6"/>
      <c r="D605" s="82"/>
      <c r="E605" s="6"/>
      <c r="F605" s="6"/>
      <c r="G605" s="6"/>
      <c r="H605" s="82"/>
      <c r="I605" s="6"/>
      <c r="J605" s="6"/>
      <c r="K605" s="1"/>
      <c r="L605" s="1"/>
      <c r="M605" s="1"/>
      <c r="N605" s="1"/>
      <c r="O605" s="1"/>
      <c r="P605" s="1"/>
      <c r="Q605" s="1"/>
      <c r="R605" s="1"/>
      <c r="S605" s="1"/>
      <c r="T605" s="1"/>
      <c r="U605" s="1"/>
      <c r="V605" s="1"/>
      <c r="W605" s="1"/>
      <c r="X605" s="1"/>
      <c r="Y605" s="1"/>
      <c r="Z605" s="1"/>
    </row>
    <row r="606" spans="1:26" ht="15.75" customHeight="1" x14ac:dyDescent="0.3">
      <c r="A606" s="148"/>
      <c r="B606" s="6"/>
      <c r="C606" s="6"/>
      <c r="D606" s="82"/>
      <c r="E606" s="6"/>
      <c r="F606" s="6"/>
      <c r="G606" s="6"/>
      <c r="H606" s="82"/>
      <c r="I606" s="6"/>
      <c r="J606" s="6"/>
      <c r="K606" s="1"/>
      <c r="L606" s="1"/>
      <c r="M606" s="1"/>
      <c r="N606" s="1"/>
      <c r="O606" s="1"/>
      <c r="P606" s="1"/>
      <c r="Q606" s="1"/>
      <c r="R606" s="1"/>
      <c r="S606" s="1"/>
      <c r="T606" s="1"/>
      <c r="U606" s="1"/>
      <c r="V606" s="1"/>
      <c r="W606" s="1"/>
      <c r="X606" s="1"/>
      <c r="Y606" s="1"/>
      <c r="Z606" s="1"/>
    </row>
    <row r="607" spans="1:26" ht="15.75" customHeight="1" x14ac:dyDescent="0.3">
      <c r="A607" s="148"/>
      <c r="B607" s="6"/>
      <c r="C607" s="6"/>
      <c r="D607" s="82"/>
      <c r="E607" s="6"/>
      <c r="F607" s="6"/>
      <c r="G607" s="6"/>
      <c r="H607" s="82"/>
      <c r="I607" s="6"/>
      <c r="J607" s="6"/>
      <c r="K607" s="1"/>
      <c r="L607" s="1"/>
      <c r="M607" s="1"/>
      <c r="N607" s="1"/>
      <c r="O607" s="1"/>
      <c r="P607" s="1"/>
      <c r="Q607" s="1"/>
      <c r="R607" s="1"/>
      <c r="S607" s="1"/>
      <c r="T607" s="1"/>
      <c r="U607" s="1"/>
      <c r="V607" s="1"/>
      <c r="W607" s="1"/>
      <c r="X607" s="1"/>
      <c r="Y607" s="1"/>
      <c r="Z607" s="1"/>
    </row>
    <row r="608" spans="1:26" ht="15.75" customHeight="1" x14ac:dyDescent="0.3">
      <c r="A608" s="148"/>
      <c r="B608" s="6"/>
      <c r="C608" s="6"/>
      <c r="D608" s="82"/>
      <c r="E608" s="6"/>
      <c r="F608" s="6"/>
      <c r="G608" s="6"/>
      <c r="H608" s="82"/>
      <c r="I608" s="6"/>
      <c r="J608" s="6"/>
      <c r="K608" s="1"/>
      <c r="L608" s="1"/>
      <c r="M608" s="1"/>
      <c r="N608" s="1"/>
      <c r="O608" s="1"/>
      <c r="P608" s="1"/>
      <c r="Q608" s="1"/>
      <c r="R608" s="1"/>
      <c r="S608" s="1"/>
      <c r="T608" s="1"/>
      <c r="U608" s="1"/>
      <c r="V608" s="1"/>
      <c r="W608" s="1"/>
      <c r="X608" s="1"/>
      <c r="Y608" s="1"/>
      <c r="Z608" s="1"/>
    </row>
    <row r="609" spans="1:26" ht="15.75" customHeight="1" x14ac:dyDescent="0.3">
      <c r="A609" s="148"/>
      <c r="B609" s="6"/>
      <c r="C609" s="6"/>
      <c r="D609" s="82"/>
      <c r="E609" s="6"/>
      <c r="F609" s="6"/>
      <c r="G609" s="6"/>
      <c r="H609" s="82"/>
      <c r="I609" s="6"/>
      <c r="J609" s="6"/>
      <c r="K609" s="1"/>
      <c r="L609" s="1"/>
      <c r="M609" s="1"/>
      <c r="N609" s="1"/>
      <c r="O609" s="1"/>
      <c r="P609" s="1"/>
      <c r="Q609" s="1"/>
      <c r="R609" s="1"/>
      <c r="S609" s="1"/>
      <c r="T609" s="1"/>
      <c r="U609" s="1"/>
      <c r="V609" s="1"/>
      <c r="W609" s="1"/>
      <c r="X609" s="1"/>
      <c r="Y609" s="1"/>
      <c r="Z609" s="1"/>
    </row>
    <row r="610" spans="1:26" ht="15.75" customHeight="1" x14ac:dyDescent="0.3">
      <c r="A610" s="148"/>
      <c r="B610" s="6"/>
      <c r="C610" s="6"/>
      <c r="D610" s="82"/>
      <c r="E610" s="6"/>
      <c r="F610" s="6"/>
      <c r="G610" s="6"/>
      <c r="H610" s="82"/>
      <c r="I610" s="6"/>
      <c r="J610" s="6"/>
      <c r="K610" s="1"/>
      <c r="L610" s="1"/>
      <c r="M610" s="1"/>
      <c r="N610" s="1"/>
      <c r="O610" s="1"/>
      <c r="P610" s="1"/>
      <c r="Q610" s="1"/>
      <c r="R610" s="1"/>
      <c r="S610" s="1"/>
      <c r="T610" s="1"/>
      <c r="U610" s="1"/>
      <c r="V610" s="1"/>
      <c r="W610" s="1"/>
      <c r="X610" s="1"/>
      <c r="Y610" s="1"/>
      <c r="Z610" s="1"/>
    </row>
    <row r="611" spans="1:26" ht="15.75" customHeight="1" x14ac:dyDescent="0.3">
      <c r="A611" s="148"/>
      <c r="B611" s="6"/>
      <c r="C611" s="6"/>
      <c r="D611" s="82"/>
      <c r="E611" s="6"/>
      <c r="F611" s="6"/>
      <c r="G611" s="6"/>
      <c r="H611" s="82"/>
      <c r="I611" s="6"/>
      <c r="J611" s="6"/>
      <c r="K611" s="1"/>
      <c r="L611" s="1"/>
      <c r="M611" s="1"/>
      <c r="N611" s="1"/>
      <c r="O611" s="1"/>
      <c r="P611" s="1"/>
      <c r="Q611" s="1"/>
      <c r="R611" s="1"/>
      <c r="S611" s="1"/>
      <c r="T611" s="1"/>
      <c r="U611" s="1"/>
      <c r="V611" s="1"/>
      <c r="W611" s="1"/>
      <c r="X611" s="1"/>
      <c r="Y611" s="1"/>
      <c r="Z611" s="1"/>
    </row>
    <row r="612" spans="1:26" ht="15.75" customHeight="1" x14ac:dyDescent="0.3">
      <c r="A612" s="148"/>
      <c r="B612" s="6"/>
      <c r="C612" s="6"/>
      <c r="D612" s="82"/>
      <c r="E612" s="6"/>
      <c r="F612" s="6"/>
      <c r="G612" s="6"/>
      <c r="H612" s="82"/>
      <c r="I612" s="6"/>
      <c r="J612" s="6"/>
      <c r="K612" s="1"/>
      <c r="L612" s="1"/>
      <c r="M612" s="1"/>
      <c r="N612" s="1"/>
      <c r="O612" s="1"/>
      <c r="P612" s="1"/>
      <c r="Q612" s="1"/>
      <c r="R612" s="1"/>
      <c r="S612" s="1"/>
      <c r="T612" s="1"/>
      <c r="U612" s="1"/>
      <c r="V612" s="1"/>
      <c r="W612" s="1"/>
      <c r="X612" s="1"/>
      <c r="Y612" s="1"/>
      <c r="Z612" s="1"/>
    </row>
    <row r="613" spans="1:26" ht="15.75" customHeight="1" x14ac:dyDescent="0.3">
      <c r="A613" s="148"/>
      <c r="B613" s="6"/>
      <c r="C613" s="6"/>
      <c r="D613" s="82"/>
      <c r="E613" s="6"/>
      <c r="F613" s="6"/>
      <c r="G613" s="6"/>
      <c r="H613" s="82"/>
      <c r="I613" s="6"/>
      <c r="J613" s="6"/>
      <c r="K613" s="1"/>
      <c r="L613" s="1"/>
      <c r="M613" s="1"/>
      <c r="N613" s="1"/>
      <c r="O613" s="1"/>
      <c r="P613" s="1"/>
      <c r="Q613" s="1"/>
      <c r="R613" s="1"/>
      <c r="S613" s="1"/>
      <c r="T613" s="1"/>
      <c r="U613" s="1"/>
      <c r="V613" s="1"/>
      <c r="W613" s="1"/>
      <c r="X613" s="1"/>
      <c r="Y613" s="1"/>
      <c r="Z613" s="1"/>
    </row>
    <row r="614" spans="1:26" ht="15.75" customHeight="1" x14ac:dyDescent="0.3">
      <c r="A614" s="148"/>
      <c r="B614" s="6"/>
      <c r="C614" s="6"/>
      <c r="D614" s="82"/>
      <c r="E614" s="6"/>
      <c r="F614" s="6"/>
      <c r="G614" s="6"/>
      <c r="H614" s="82"/>
      <c r="I614" s="6"/>
      <c r="J614" s="6"/>
      <c r="K614" s="1"/>
      <c r="L614" s="1"/>
      <c r="M614" s="1"/>
      <c r="N614" s="1"/>
      <c r="O614" s="1"/>
      <c r="P614" s="1"/>
      <c r="Q614" s="1"/>
      <c r="R614" s="1"/>
      <c r="S614" s="1"/>
      <c r="T614" s="1"/>
      <c r="U614" s="1"/>
      <c r="V614" s="1"/>
      <c r="W614" s="1"/>
      <c r="X614" s="1"/>
      <c r="Y614" s="1"/>
      <c r="Z614" s="1"/>
    </row>
    <row r="615" spans="1:26" ht="15.75" customHeight="1" x14ac:dyDescent="0.3">
      <c r="A615" s="148"/>
      <c r="B615" s="6"/>
      <c r="C615" s="6"/>
      <c r="D615" s="82"/>
      <c r="E615" s="6"/>
      <c r="F615" s="6"/>
      <c r="G615" s="6"/>
      <c r="H615" s="82"/>
      <c r="I615" s="6"/>
      <c r="J615" s="6"/>
      <c r="K615" s="1"/>
      <c r="L615" s="1"/>
      <c r="M615" s="1"/>
      <c r="N615" s="1"/>
      <c r="O615" s="1"/>
      <c r="P615" s="1"/>
      <c r="Q615" s="1"/>
      <c r="R615" s="1"/>
      <c r="S615" s="1"/>
      <c r="T615" s="1"/>
      <c r="U615" s="1"/>
      <c r="V615" s="1"/>
      <c r="W615" s="1"/>
      <c r="X615" s="1"/>
      <c r="Y615" s="1"/>
      <c r="Z615" s="1"/>
    </row>
    <row r="616" spans="1:26" ht="15.75" customHeight="1" x14ac:dyDescent="0.3">
      <c r="A616" s="148"/>
      <c r="B616" s="6"/>
      <c r="C616" s="6"/>
      <c r="D616" s="82"/>
      <c r="E616" s="6"/>
      <c r="F616" s="6"/>
      <c r="G616" s="6"/>
      <c r="H616" s="82"/>
      <c r="I616" s="6"/>
      <c r="J616" s="6"/>
      <c r="K616" s="1"/>
      <c r="L616" s="1"/>
      <c r="M616" s="1"/>
      <c r="N616" s="1"/>
      <c r="O616" s="1"/>
      <c r="P616" s="1"/>
      <c r="Q616" s="1"/>
      <c r="R616" s="1"/>
      <c r="S616" s="1"/>
      <c r="T616" s="1"/>
      <c r="U616" s="1"/>
      <c r="V616" s="1"/>
      <c r="W616" s="1"/>
      <c r="X616" s="1"/>
      <c r="Y616" s="1"/>
      <c r="Z616" s="1"/>
    </row>
    <row r="617" spans="1:26" ht="15.75" customHeight="1" x14ac:dyDescent="0.3">
      <c r="A617" s="148"/>
      <c r="B617" s="6"/>
      <c r="C617" s="6"/>
      <c r="D617" s="82"/>
      <c r="E617" s="6"/>
      <c r="F617" s="6"/>
      <c r="G617" s="6"/>
      <c r="H617" s="82"/>
      <c r="I617" s="6"/>
      <c r="J617" s="6"/>
      <c r="K617" s="1"/>
      <c r="L617" s="1"/>
      <c r="M617" s="1"/>
      <c r="N617" s="1"/>
      <c r="O617" s="1"/>
      <c r="P617" s="1"/>
      <c r="Q617" s="1"/>
      <c r="R617" s="1"/>
      <c r="S617" s="1"/>
      <c r="T617" s="1"/>
      <c r="U617" s="1"/>
      <c r="V617" s="1"/>
      <c r="W617" s="1"/>
      <c r="X617" s="1"/>
      <c r="Y617" s="1"/>
      <c r="Z617" s="1"/>
    </row>
    <row r="618" spans="1:26" ht="15.75" customHeight="1" x14ac:dyDescent="0.3">
      <c r="A618" s="148"/>
      <c r="B618" s="6"/>
      <c r="C618" s="6"/>
      <c r="D618" s="82"/>
      <c r="E618" s="6"/>
      <c r="F618" s="6"/>
      <c r="G618" s="6"/>
      <c r="H618" s="82"/>
      <c r="I618" s="6"/>
      <c r="J618" s="6"/>
      <c r="K618" s="1"/>
      <c r="L618" s="1"/>
      <c r="M618" s="1"/>
      <c r="N618" s="1"/>
      <c r="O618" s="1"/>
      <c r="P618" s="1"/>
      <c r="Q618" s="1"/>
      <c r="R618" s="1"/>
      <c r="S618" s="1"/>
      <c r="T618" s="1"/>
      <c r="U618" s="1"/>
      <c r="V618" s="1"/>
      <c r="W618" s="1"/>
      <c r="X618" s="1"/>
      <c r="Y618" s="1"/>
      <c r="Z618" s="1"/>
    </row>
    <row r="619" spans="1:26" ht="15.75" customHeight="1" x14ac:dyDescent="0.3">
      <c r="A619" s="148"/>
      <c r="B619" s="6"/>
      <c r="C619" s="6"/>
      <c r="D619" s="82"/>
      <c r="E619" s="6"/>
      <c r="F619" s="6"/>
      <c r="G619" s="6"/>
      <c r="H619" s="82"/>
      <c r="I619" s="6"/>
      <c r="J619" s="6"/>
      <c r="K619" s="1"/>
      <c r="L619" s="1"/>
      <c r="M619" s="1"/>
      <c r="N619" s="1"/>
      <c r="O619" s="1"/>
      <c r="P619" s="1"/>
      <c r="Q619" s="1"/>
      <c r="R619" s="1"/>
      <c r="S619" s="1"/>
      <c r="T619" s="1"/>
      <c r="U619" s="1"/>
      <c r="V619" s="1"/>
      <c r="W619" s="1"/>
      <c r="X619" s="1"/>
      <c r="Y619" s="1"/>
      <c r="Z619" s="1"/>
    </row>
    <row r="620" spans="1:26" ht="15.75" customHeight="1" x14ac:dyDescent="0.3">
      <c r="A620" s="148"/>
      <c r="B620" s="6"/>
      <c r="C620" s="6"/>
      <c r="D620" s="82"/>
      <c r="E620" s="6"/>
      <c r="F620" s="6"/>
      <c r="G620" s="6"/>
      <c r="H620" s="82"/>
      <c r="I620" s="6"/>
      <c r="J620" s="6"/>
      <c r="K620" s="1"/>
      <c r="L620" s="1"/>
      <c r="M620" s="1"/>
      <c r="N620" s="1"/>
      <c r="O620" s="1"/>
      <c r="P620" s="1"/>
      <c r="Q620" s="1"/>
      <c r="R620" s="1"/>
      <c r="S620" s="1"/>
      <c r="T620" s="1"/>
      <c r="U620" s="1"/>
      <c r="V620" s="1"/>
      <c r="W620" s="1"/>
      <c r="X620" s="1"/>
      <c r="Y620" s="1"/>
      <c r="Z620" s="1"/>
    </row>
    <row r="621" spans="1:26" ht="15.75" customHeight="1" x14ac:dyDescent="0.3">
      <c r="A621" s="148"/>
      <c r="B621" s="6"/>
      <c r="C621" s="6"/>
      <c r="D621" s="82"/>
      <c r="E621" s="6"/>
      <c r="F621" s="6"/>
      <c r="G621" s="6"/>
      <c r="H621" s="82"/>
      <c r="I621" s="6"/>
      <c r="J621" s="6"/>
      <c r="K621" s="1"/>
      <c r="L621" s="1"/>
      <c r="M621" s="1"/>
      <c r="N621" s="1"/>
      <c r="O621" s="1"/>
      <c r="P621" s="1"/>
      <c r="Q621" s="1"/>
      <c r="R621" s="1"/>
      <c r="S621" s="1"/>
      <c r="T621" s="1"/>
      <c r="U621" s="1"/>
      <c r="V621" s="1"/>
      <c r="W621" s="1"/>
      <c r="X621" s="1"/>
      <c r="Y621" s="1"/>
      <c r="Z621" s="1"/>
    </row>
    <row r="622" spans="1:26" ht="15.75" customHeight="1" x14ac:dyDescent="0.3">
      <c r="A622" s="148"/>
      <c r="B622" s="6"/>
      <c r="C622" s="6"/>
      <c r="D622" s="82"/>
      <c r="E622" s="6"/>
      <c r="F622" s="6"/>
      <c r="G622" s="6"/>
      <c r="H622" s="82"/>
      <c r="I622" s="6"/>
      <c r="J622" s="6"/>
      <c r="K622" s="1"/>
      <c r="L622" s="1"/>
      <c r="M622" s="1"/>
      <c r="N622" s="1"/>
      <c r="O622" s="1"/>
      <c r="P622" s="1"/>
      <c r="Q622" s="1"/>
      <c r="R622" s="1"/>
      <c r="S622" s="1"/>
      <c r="T622" s="1"/>
      <c r="U622" s="1"/>
      <c r="V622" s="1"/>
      <c r="W622" s="1"/>
      <c r="X622" s="1"/>
      <c r="Y622" s="1"/>
      <c r="Z622" s="1"/>
    </row>
    <row r="623" spans="1:26" ht="15.75" customHeight="1" x14ac:dyDescent="0.3">
      <c r="A623" s="148"/>
      <c r="B623" s="6"/>
      <c r="C623" s="6"/>
      <c r="D623" s="82"/>
      <c r="E623" s="6"/>
      <c r="F623" s="6"/>
      <c r="G623" s="6"/>
      <c r="H623" s="82"/>
      <c r="I623" s="6"/>
      <c r="J623" s="6"/>
      <c r="K623" s="1"/>
      <c r="L623" s="1"/>
      <c r="M623" s="1"/>
      <c r="N623" s="1"/>
      <c r="O623" s="1"/>
      <c r="P623" s="1"/>
      <c r="Q623" s="1"/>
      <c r="R623" s="1"/>
      <c r="S623" s="1"/>
      <c r="T623" s="1"/>
      <c r="U623" s="1"/>
      <c r="V623" s="1"/>
      <c r="W623" s="1"/>
      <c r="X623" s="1"/>
      <c r="Y623" s="1"/>
      <c r="Z623" s="1"/>
    </row>
    <row r="624" spans="1:26" ht="15.75" customHeight="1" x14ac:dyDescent="0.3">
      <c r="A624" s="148"/>
      <c r="B624" s="6"/>
      <c r="C624" s="6"/>
      <c r="D624" s="82"/>
      <c r="E624" s="6"/>
      <c r="F624" s="6"/>
      <c r="G624" s="6"/>
      <c r="H624" s="82"/>
      <c r="I624" s="6"/>
      <c r="J624" s="6"/>
      <c r="K624" s="1"/>
      <c r="L624" s="1"/>
      <c r="M624" s="1"/>
      <c r="N624" s="1"/>
      <c r="O624" s="1"/>
      <c r="P624" s="1"/>
      <c r="Q624" s="1"/>
      <c r="R624" s="1"/>
      <c r="S624" s="1"/>
      <c r="T624" s="1"/>
      <c r="U624" s="1"/>
      <c r="V624" s="1"/>
      <c r="W624" s="1"/>
      <c r="X624" s="1"/>
      <c r="Y624" s="1"/>
      <c r="Z624" s="1"/>
    </row>
    <row r="625" spans="1:26" ht="15.75" customHeight="1" x14ac:dyDescent="0.3">
      <c r="A625" s="148"/>
      <c r="B625" s="6"/>
      <c r="C625" s="6"/>
      <c r="D625" s="82"/>
      <c r="E625" s="6"/>
      <c r="F625" s="6"/>
      <c r="G625" s="6"/>
      <c r="H625" s="82"/>
      <c r="I625" s="6"/>
      <c r="J625" s="6"/>
      <c r="K625" s="1"/>
      <c r="L625" s="1"/>
      <c r="M625" s="1"/>
      <c r="N625" s="1"/>
      <c r="O625" s="1"/>
      <c r="P625" s="1"/>
      <c r="Q625" s="1"/>
      <c r="R625" s="1"/>
      <c r="S625" s="1"/>
      <c r="T625" s="1"/>
      <c r="U625" s="1"/>
      <c r="V625" s="1"/>
      <c r="W625" s="1"/>
      <c r="X625" s="1"/>
      <c r="Y625" s="1"/>
      <c r="Z625" s="1"/>
    </row>
    <row r="626" spans="1:26" ht="15.75" customHeight="1" x14ac:dyDescent="0.3">
      <c r="A626" s="148"/>
      <c r="B626" s="6"/>
      <c r="C626" s="6"/>
      <c r="D626" s="82"/>
      <c r="E626" s="6"/>
      <c r="F626" s="6"/>
      <c r="G626" s="6"/>
      <c r="H626" s="82"/>
      <c r="I626" s="6"/>
      <c r="J626" s="6"/>
      <c r="K626" s="1"/>
      <c r="L626" s="1"/>
      <c r="M626" s="1"/>
      <c r="N626" s="1"/>
      <c r="O626" s="1"/>
      <c r="P626" s="1"/>
      <c r="Q626" s="1"/>
      <c r="R626" s="1"/>
      <c r="S626" s="1"/>
      <c r="T626" s="1"/>
      <c r="U626" s="1"/>
      <c r="V626" s="1"/>
      <c r="W626" s="1"/>
      <c r="X626" s="1"/>
      <c r="Y626" s="1"/>
      <c r="Z626" s="1"/>
    </row>
    <row r="627" spans="1:26" ht="15.75" customHeight="1" x14ac:dyDescent="0.3">
      <c r="A627" s="148"/>
      <c r="B627" s="6"/>
      <c r="C627" s="6"/>
      <c r="D627" s="82"/>
      <c r="E627" s="6"/>
      <c r="F627" s="6"/>
      <c r="G627" s="6"/>
      <c r="H627" s="82"/>
      <c r="I627" s="6"/>
      <c r="J627" s="6"/>
      <c r="K627" s="1"/>
      <c r="L627" s="1"/>
      <c r="M627" s="1"/>
      <c r="N627" s="1"/>
      <c r="O627" s="1"/>
      <c r="P627" s="1"/>
      <c r="Q627" s="1"/>
      <c r="R627" s="1"/>
      <c r="S627" s="1"/>
      <c r="T627" s="1"/>
      <c r="U627" s="1"/>
      <c r="V627" s="1"/>
      <c r="W627" s="1"/>
      <c r="X627" s="1"/>
      <c r="Y627" s="1"/>
      <c r="Z627" s="1"/>
    </row>
    <row r="628" spans="1:26" ht="15.75" customHeight="1" x14ac:dyDescent="0.3">
      <c r="A628" s="148"/>
      <c r="B628" s="6"/>
      <c r="C628" s="6"/>
      <c r="D628" s="82"/>
      <c r="E628" s="6"/>
      <c r="F628" s="6"/>
      <c r="G628" s="6"/>
      <c r="H628" s="82"/>
      <c r="I628" s="6"/>
      <c r="J628" s="6"/>
      <c r="K628" s="1"/>
      <c r="L628" s="1"/>
      <c r="M628" s="1"/>
      <c r="N628" s="1"/>
      <c r="O628" s="1"/>
      <c r="P628" s="1"/>
      <c r="Q628" s="1"/>
      <c r="R628" s="1"/>
      <c r="S628" s="1"/>
      <c r="T628" s="1"/>
      <c r="U628" s="1"/>
      <c r="V628" s="1"/>
      <c r="W628" s="1"/>
      <c r="X628" s="1"/>
      <c r="Y628" s="1"/>
      <c r="Z628" s="1"/>
    </row>
    <row r="629" spans="1:26" ht="15.75" customHeight="1" x14ac:dyDescent="0.3">
      <c r="A629" s="148"/>
      <c r="B629" s="6"/>
      <c r="C629" s="6"/>
      <c r="D629" s="82"/>
      <c r="E629" s="6"/>
      <c r="F629" s="6"/>
      <c r="G629" s="6"/>
      <c r="H629" s="82"/>
      <c r="I629" s="6"/>
      <c r="J629" s="6"/>
      <c r="K629" s="1"/>
      <c r="L629" s="1"/>
      <c r="M629" s="1"/>
      <c r="N629" s="1"/>
      <c r="O629" s="1"/>
      <c r="P629" s="1"/>
      <c r="Q629" s="1"/>
      <c r="R629" s="1"/>
      <c r="S629" s="1"/>
      <c r="T629" s="1"/>
      <c r="U629" s="1"/>
      <c r="V629" s="1"/>
      <c r="W629" s="1"/>
      <c r="X629" s="1"/>
      <c r="Y629" s="1"/>
      <c r="Z629" s="1"/>
    </row>
    <row r="630" spans="1:26" ht="15.75" customHeight="1" x14ac:dyDescent="0.3">
      <c r="A630" s="148"/>
      <c r="B630" s="6"/>
      <c r="C630" s="6"/>
      <c r="D630" s="82"/>
      <c r="E630" s="6"/>
      <c r="F630" s="6"/>
      <c r="G630" s="6"/>
      <c r="H630" s="82"/>
      <c r="I630" s="6"/>
      <c r="J630" s="6"/>
      <c r="K630" s="1"/>
      <c r="L630" s="1"/>
      <c r="M630" s="1"/>
      <c r="N630" s="1"/>
      <c r="O630" s="1"/>
      <c r="P630" s="1"/>
      <c r="Q630" s="1"/>
      <c r="R630" s="1"/>
      <c r="S630" s="1"/>
      <c r="T630" s="1"/>
      <c r="U630" s="1"/>
      <c r="V630" s="1"/>
      <c r="W630" s="1"/>
      <c r="X630" s="1"/>
      <c r="Y630" s="1"/>
      <c r="Z630" s="1"/>
    </row>
    <row r="631" spans="1:26" ht="15.75" customHeight="1" x14ac:dyDescent="0.3">
      <c r="A631" s="148"/>
      <c r="B631" s="6"/>
      <c r="C631" s="6"/>
      <c r="D631" s="82"/>
      <c r="E631" s="6"/>
      <c r="F631" s="6"/>
      <c r="G631" s="6"/>
      <c r="H631" s="82"/>
      <c r="I631" s="6"/>
      <c r="J631" s="6"/>
      <c r="K631" s="1"/>
      <c r="L631" s="1"/>
      <c r="M631" s="1"/>
      <c r="N631" s="1"/>
      <c r="O631" s="1"/>
      <c r="P631" s="1"/>
      <c r="Q631" s="1"/>
      <c r="R631" s="1"/>
      <c r="S631" s="1"/>
      <c r="T631" s="1"/>
      <c r="U631" s="1"/>
      <c r="V631" s="1"/>
      <c r="W631" s="1"/>
      <c r="X631" s="1"/>
      <c r="Y631" s="1"/>
      <c r="Z631" s="1"/>
    </row>
    <row r="632" spans="1:26" ht="15.75" customHeight="1" x14ac:dyDescent="0.3">
      <c r="A632" s="148"/>
      <c r="B632" s="6"/>
      <c r="C632" s="6"/>
      <c r="D632" s="82"/>
      <c r="E632" s="6"/>
      <c r="F632" s="6"/>
      <c r="G632" s="6"/>
      <c r="H632" s="82"/>
      <c r="I632" s="6"/>
      <c r="J632" s="6"/>
      <c r="K632" s="1"/>
      <c r="L632" s="1"/>
      <c r="M632" s="1"/>
      <c r="N632" s="1"/>
      <c r="O632" s="1"/>
      <c r="P632" s="1"/>
      <c r="Q632" s="1"/>
      <c r="R632" s="1"/>
      <c r="S632" s="1"/>
      <c r="T632" s="1"/>
      <c r="U632" s="1"/>
      <c r="V632" s="1"/>
      <c r="W632" s="1"/>
      <c r="X632" s="1"/>
      <c r="Y632" s="1"/>
      <c r="Z632" s="1"/>
    </row>
    <row r="633" spans="1:26" ht="15.75" customHeight="1" x14ac:dyDescent="0.3">
      <c r="A633" s="148"/>
      <c r="B633" s="6"/>
      <c r="C633" s="6"/>
      <c r="D633" s="82"/>
      <c r="E633" s="6"/>
      <c r="F633" s="6"/>
      <c r="G633" s="6"/>
      <c r="H633" s="82"/>
      <c r="I633" s="6"/>
      <c r="J633" s="6"/>
      <c r="K633" s="1"/>
      <c r="L633" s="1"/>
      <c r="M633" s="1"/>
      <c r="N633" s="1"/>
      <c r="O633" s="1"/>
      <c r="P633" s="1"/>
      <c r="Q633" s="1"/>
      <c r="R633" s="1"/>
      <c r="S633" s="1"/>
      <c r="T633" s="1"/>
      <c r="U633" s="1"/>
      <c r="V633" s="1"/>
      <c r="W633" s="1"/>
      <c r="X633" s="1"/>
      <c r="Y633" s="1"/>
      <c r="Z633" s="1"/>
    </row>
    <row r="634" spans="1:26" ht="15.75" customHeight="1" x14ac:dyDescent="0.3">
      <c r="A634" s="148"/>
      <c r="B634" s="6"/>
      <c r="C634" s="6"/>
      <c r="D634" s="82"/>
      <c r="E634" s="6"/>
      <c r="F634" s="6"/>
      <c r="G634" s="6"/>
      <c r="H634" s="82"/>
      <c r="I634" s="6"/>
      <c r="J634" s="6"/>
      <c r="K634" s="1"/>
      <c r="L634" s="1"/>
      <c r="M634" s="1"/>
      <c r="N634" s="1"/>
      <c r="O634" s="1"/>
      <c r="P634" s="1"/>
      <c r="Q634" s="1"/>
      <c r="R634" s="1"/>
      <c r="S634" s="1"/>
      <c r="T634" s="1"/>
      <c r="U634" s="1"/>
      <c r="V634" s="1"/>
      <c r="W634" s="1"/>
      <c r="X634" s="1"/>
      <c r="Y634" s="1"/>
      <c r="Z634" s="1"/>
    </row>
    <row r="635" spans="1:26" ht="15.75" customHeight="1" x14ac:dyDescent="0.3">
      <c r="A635" s="148"/>
      <c r="B635" s="6"/>
      <c r="C635" s="6"/>
      <c r="D635" s="82"/>
      <c r="E635" s="6"/>
      <c r="F635" s="6"/>
      <c r="G635" s="6"/>
      <c r="H635" s="82"/>
      <c r="I635" s="6"/>
      <c r="J635" s="6"/>
      <c r="K635" s="1"/>
      <c r="L635" s="1"/>
      <c r="M635" s="1"/>
      <c r="N635" s="1"/>
      <c r="O635" s="1"/>
      <c r="P635" s="1"/>
      <c r="Q635" s="1"/>
      <c r="R635" s="1"/>
      <c r="S635" s="1"/>
      <c r="T635" s="1"/>
      <c r="U635" s="1"/>
      <c r="V635" s="1"/>
      <c r="W635" s="1"/>
      <c r="X635" s="1"/>
      <c r="Y635" s="1"/>
      <c r="Z635" s="1"/>
    </row>
    <row r="636" spans="1:26" ht="15.75" customHeight="1" x14ac:dyDescent="0.3">
      <c r="A636" s="148"/>
      <c r="B636" s="6"/>
      <c r="C636" s="6"/>
      <c r="D636" s="82"/>
      <c r="E636" s="6"/>
      <c r="F636" s="6"/>
      <c r="G636" s="6"/>
      <c r="H636" s="82"/>
      <c r="I636" s="6"/>
      <c r="J636" s="6"/>
      <c r="K636" s="1"/>
      <c r="L636" s="1"/>
      <c r="M636" s="1"/>
      <c r="N636" s="1"/>
      <c r="O636" s="1"/>
      <c r="P636" s="1"/>
      <c r="Q636" s="1"/>
      <c r="R636" s="1"/>
      <c r="S636" s="1"/>
      <c r="T636" s="1"/>
      <c r="U636" s="1"/>
      <c r="V636" s="1"/>
      <c r="W636" s="1"/>
      <c r="X636" s="1"/>
      <c r="Y636" s="1"/>
      <c r="Z636" s="1"/>
    </row>
    <row r="637" spans="1:26" ht="15.75" customHeight="1" x14ac:dyDescent="0.3">
      <c r="A637" s="148"/>
      <c r="B637" s="6"/>
      <c r="C637" s="6"/>
      <c r="D637" s="82"/>
      <c r="E637" s="6"/>
      <c r="F637" s="6"/>
      <c r="G637" s="6"/>
      <c r="H637" s="82"/>
      <c r="I637" s="6"/>
      <c r="J637" s="6"/>
      <c r="K637" s="1"/>
      <c r="L637" s="1"/>
      <c r="M637" s="1"/>
      <c r="N637" s="1"/>
      <c r="O637" s="1"/>
      <c r="P637" s="1"/>
      <c r="Q637" s="1"/>
      <c r="R637" s="1"/>
      <c r="S637" s="1"/>
      <c r="T637" s="1"/>
      <c r="U637" s="1"/>
      <c r="V637" s="1"/>
      <c r="W637" s="1"/>
      <c r="X637" s="1"/>
      <c r="Y637" s="1"/>
      <c r="Z637" s="1"/>
    </row>
    <row r="638" spans="1:26" ht="15.75" customHeight="1" x14ac:dyDescent="0.3">
      <c r="A638" s="148"/>
      <c r="B638" s="6"/>
      <c r="C638" s="6"/>
      <c r="D638" s="82"/>
      <c r="E638" s="6"/>
      <c r="F638" s="6"/>
      <c r="G638" s="6"/>
      <c r="H638" s="82"/>
      <c r="I638" s="6"/>
      <c r="J638" s="6"/>
      <c r="K638" s="1"/>
      <c r="L638" s="1"/>
      <c r="M638" s="1"/>
      <c r="N638" s="1"/>
      <c r="O638" s="1"/>
      <c r="P638" s="1"/>
      <c r="Q638" s="1"/>
      <c r="R638" s="1"/>
      <c r="S638" s="1"/>
      <c r="T638" s="1"/>
      <c r="U638" s="1"/>
      <c r="V638" s="1"/>
      <c r="W638" s="1"/>
      <c r="X638" s="1"/>
      <c r="Y638" s="1"/>
      <c r="Z638" s="1"/>
    </row>
    <row r="639" spans="1:26" ht="15.75" customHeight="1" x14ac:dyDescent="0.3">
      <c r="A639" s="148"/>
      <c r="B639" s="6"/>
      <c r="C639" s="6"/>
      <c r="D639" s="82"/>
      <c r="E639" s="6"/>
      <c r="F639" s="6"/>
      <c r="G639" s="6"/>
      <c r="H639" s="82"/>
      <c r="I639" s="6"/>
      <c r="J639" s="6"/>
      <c r="K639" s="1"/>
      <c r="L639" s="1"/>
      <c r="M639" s="1"/>
      <c r="N639" s="1"/>
      <c r="O639" s="1"/>
      <c r="P639" s="1"/>
      <c r="Q639" s="1"/>
      <c r="R639" s="1"/>
      <c r="S639" s="1"/>
      <c r="T639" s="1"/>
      <c r="U639" s="1"/>
      <c r="V639" s="1"/>
      <c r="W639" s="1"/>
      <c r="X639" s="1"/>
      <c r="Y639" s="1"/>
      <c r="Z639" s="1"/>
    </row>
    <row r="640" spans="1:26" ht="15.75" customHeight="1" x14ac:dyDescent="0.3">
      <c r="A640" s="148"/>
      <c r="B640" s="6"/>
      <c r="C640" s="6"/>
      <c r="D640" s="82"/>
      <c r="E640" s="6"/>
      <c r="F640" s="6"/>
      <c r="G640" s="6"/>
      <c r="H640" s="82"/>
      <c r="I640" s="6"/>
      <c r="J640" s="6"/>
      <c r="K640" s="1"/>
      <c r="L640" s="1"/>
      <c r="M640" s="1"/>
      <c r="N640" s="1"/>
      <c r="O640" s="1"/>
      <c r="P640" s="1"/>
      <c r="Q640" s="1"/>
      <c r="R640" s="1"/>
      <c r="S640" s="1"/>
      <c r="T640" s="1"/>
      <c r="U640" s="1"/>
      <c r="V640" s="1"/>
      <c r="W640" s="1"/>
      <c r="X640" s="1"/>
      <c r="Y640" s="1"/>
      <c r="Z640" s="1"/>
    </row>
    <row r="641" spans="1:26" ht="15.75" customHeight="1" x14ac:dyDescent="0.3">
      <c r="A641" s="148"/>
      <c r="B641" s="6"/>
      <c r="C641" s="6"/>
      <c r="D641" s="82"/>
      <c r="E641" s="6"/>
      <c r="F641" s="6"/>
      <c r="G641" s="6"/>
      <c r="H641" s="82"/>
      <c r="I641" s="6"/>
      <c r="J641" s="6"/>
      <c r="K641" s="1"/>
      <c r="L641" s="1"/>
      <c r="M641" s="1"/>
      <c r="N641" s="1"/>
      <c r="O641" s="1"/>
      <c r="P641" s="1"/>
      <c r="Q641" s="1"/>
      <c r="R641" s="1"/>
      <c r="S641" s="1"/>
      <c r="T641" s="1"/>
      <c r="U641" s="1"/>
      <c r="V641" s="1"/>
      <c r="W641" s="1"/>
      <c r="X641" s="1"/>
      <c r="Y641" s="1"/>
      <c r="Z641" s="1"/>
    </row>
    <row r="642" spans="1:26" ht="15.75" customHeight="1" x14ac:dyDescent="0.3">
      <c r="A642" s="148"/>
      <c r="B642" s="6"/>
      <c r="C642" s="6"/>
      <c r="D642" s="82"/>
      <c r="E642" s="6"/>
      <c r="F642" s="6"/>
      <c r="G642" s="6"/>
      <c r="H642" s="82"/>
      <c r="I642" s="6"/>
      <c r="J642" s="6"/>
      <c r="K642" s="1"/>
      <c r="L642" s="1"/>
      <c r="M642" s="1"/>
      <c r="N642" s="1"/>
      <c r="O642" s="1"/>
      <c r="P642" s="1"/>
      <c r="Q642" s="1"/>
      <c r="R642" s="1"/>
      <c r="S642" s="1"/>
      <c r="T642" s="1"/>
      <c r="U642" s="1"/>
      <c r="V642" s="1"/>
      <c r="W642" s="1"/>
      <c r="X642" s="1"/>
      <c r="Y642" s="1"/>
      <c r="Z642" s="1"/>
    </row>
    <row r="643" spans="1:26" ht="15.75" customHeight="1" x14ac:dyDescent="0.3">
      <c r="A643" s="148"/>
      <c r="B643" s="6"/>
      <c r="C643" s="6"/>
      <c r="D643" s="82"/>
      <c r="E643" s="6"/>
      <c r="F643" s="6"/>
      <c r="G643" s="6"/>
      <c r="H643" s="82"/>
      <c r="I643" s="6"/>
      <c r="J643" s="6"/>
      <c r="K643" s="1"/>
      <c r="L643" s="1"/>
      <c r="M643" s="1"/>
      <c r="N643" s="1"/>
      <c r="O643" s="1"/>
      <c r="P643" s="1"/>
      <c r="Q643" s="1"/>
      <c r="R643" s="1"/>
      <c r="S643" s="1"/>
      <c r="T643" s="1"/>
      <c r="U643" s="1"/>
      <c r="V643" s="1"/>
      <c r="W643" s="1"/>
      <c r="X643" s="1"/>
      <c r="Y643" s="1"/>
      <c r="Z643" s="1"/>
    </row>
    <row r="644" spans="1:26" ht="15.75" customHeight="1" x14ac:dyDescent="0.3">
      <c r="A644" s="148"/>
      <c r="B644" s="6"/>
      <c r="C644" s="6"/>
      <c r="D644" s="82"/>
      <c r="E644" s="6"/>
      <c r="F644" s="6"/>
      <c r="G644" s="6"/>
      <c r="H644" s="82"/>
      <c r="I644" s="6"/>
      <c r="J644" s="6"/>
      <c r="K644" s="1"/>
      <c r="L644" s="1"/>
      <c r="M644" s="1"/>
      <c r="N644" s="1"/>
      <c r="O644" s="1"/>
      <c r="P644" s="1"/>
      <c r="Q644" s="1"/>
      <c r="R644" s="1"/>
      <c r="S644" s="1"/>
      <c r="T644" s="1"/>
      <c r="U644" s="1"/>
      <c r="V644" s="1"/>
      <c r="W644" s="1"/>
      <c r="X644" s="1"/>
      <c r="Y644" s="1"/>
      <c r="Z644" s="1"/>
    </row>
    <row r="645" spans="1:26" ht="15.75" customHeight="1" x14ac:dyDescent="0.3">
      <c r="A645" s="148"/>
      <c r="B645" s="6"/>
      <c r="C645" s="6"/>
      <c r="D645" s="82"/>
      <c r="E645" s="6"/>
      <c r="F645" s="6"/>
      <c r="G645" s="6"/>
      <c r="H645" s="82"/>
      <c r="I645" s="6"/>
      <c r="J645" s="6"/>
      <c r="K645" s="1"/>
      <c r="L645" s="1"/>
      <c r="M645" s="1"/>
      <c r="N645" s="1"/>
      <c r="O645" s="1"/>
      <c r="P645" s="1"/>
      <c r="Q645" s="1"/>
      <c r="R645" s="1"/>
      <c r="S645" s="1"/>
      <c r="T645" s="1"/>
      <c r="U645" s="1"/>
      <c r="V645" s="1"/>
      <c r="W645" s="1"/>
      <c r="X645" s="1"/>
      <c r="Y645" s="1"/>
      <c r="Z645" s="1"/>
    </row>
    <row r="646" spans="1:26" ht="15.75" customHeight="1" x14ac:dyDescent="0.3">
      <c r="A646" s="148"/>
      <c r="B646" s="6"/>
      <c r="C646" s="6"/>
      <c r="D646" s="82"/>
      <c r="E646" s="6"/>
      <c r="F646" s="6"/>
      <c r="G646" s="6"/>
      <c r="H646" s="82"/>
      <c r="I646" s="6"/>
      <c r="J646" s="6"/>
      <c r="K646" s="1"/>
      <c r="L646" s="1"/>
      <c r="M646" s="1"/>
      <c r="N646" s="1"/>
      <c r="O646" s="1"/>
      <c r="P646" s="1"/>
      <c r="Q646" s="1"/>
      <c r="R646" s="1"/>
      <c r="S646" s="1"/>
      <c r="T646" s="1"/>
      <c r="U646" s="1"/>
      <c r="V646" s="1"/>
      <c r="W646" s="1"/>
      <c r="X646" s="1"/>
      <c r="Y646" s="1"/>
      <c r="Z646" s="1"/>
    </row>
    <row r="647" spans="1:26" ht="15.75" customHeight="1" x14ac:dyDescent="0.3">
      <c r="A647" s="148"/>
      <c r="B647" s="6"/>
      <c r="C647" s="6"/>
      <c r="D647" s="82"/>
      <c r="E647" s="6"/>
      <c r="F647" s="6"/>
      <c r="G647" s="6"/>
      <c r="H647" s="82"/>
      <c r="I647" s="6"/>
      <c r="J647" s="6"/>
      <c r="K647" s="1"/>
      <c r="L647" s="1"/>
      <c r="M647" s="1"/>
      <c r="N647" s="1"/>
      <c r="O647" s="1"/>
      <c r="P647" s="1"/>
      <c r="Q647" s="1"/>
      <c r="R647" s="1"/>
      <c r="S647" s="1"/>
      <c r="T647" s="1"/>
      <c r="U647" s="1"/>
      <c r="V647" s="1"/>
      <c r="W647" s="1"/>
      <c r="X647" s="1"/>
      <c r="Y647" s="1"/>
      <c r="Z647" s="1"/>
    </row>
    <row r="648" spans="1:26" ht="15.75" customHeight="1" x14ac:dyDescent="0.3">
      <c r="A648" s="148"/>
      <c r="B648" s="6"/>
      <c r="C648" s="6"/>
      <c r="D648" s="82"/>
      <c r="E648" s="6"/>
      <c r="F648" s="6"/>
      <c r="G648" s="6"/>
      <c r="H648" s="82"/>
      <c r="I648" s="6"/>
      <c r="J648" s="6"/>
      <c r="K648" s="1"/>
      <c r="L648" s="1"/>
      <c r="M648" s="1"/>
      <c r="N648" s="1"/>
      <c r="O648" s="1"/>
      <c r="P648" s="1"/>
      <c r="Q648" s="1"/>
      <c r="R648" s="1"/>
      <c r="S648" s="1"/>
      <c r="T648" s="1"/>
      <c r="U648" s="1"/>
      <c r="V648" s="1"/>
      <c r="W648" s="1"/>
      <c r="X648" s="1"/>
      <c r="Y648" s="1"/>
      <c r="Z648" s="1"/>
    </row>
    <row r="649" spans="1:26" ht="15.75" customHeight="1" x14ac:dyDescent="0.3">
      <c r="A649" s="148"/>
      <c r="B649" s="6"/>
      <c r="C649" s="6"/>
      <c r="D649" s="82"/>
      <c r="E649" s="6"/>
      <c r="F649" s="6"/>
      <c r="G649" s="6"/>
      <c r="H649" s="82"/>
      <c r="I649" s="6"/>
      <c r="J649" s="6"/>
      <c r="K649" s="1"/>
      <c r="L649" s="1"/>
      <c r="M649" s="1"/>
      <c r="N649" s="1"/>
      <c r="O649" s="1"/>
      <c r="P649" s="1"/>
      <c r="Q649" s="1"/>
      <c r="R649" s="1"/>
      <c r="S649" s="1"/>
      <c r="T649" s="1"/>
      <c r="U649" s="1"/>
      <c r="V649" s="1"/>
      <c r="W649" s="1"/>
      <c r="X649" s="1"/>
      <c r="Y649" s="1"/>
      <c r="Z649" s="1"/>
    </row>
    <row r="650" spans="1:26" ht="15.75" customHeight="1" x14ac:dyDescent="0.3">
      <c r="A650" s="148"/>
      <c r="B650" s="6"/>
      <c r="C650" s="6"/>
      <c r="D650" s="82"/>
      <c r="E650" s="6"/>
      <c r="F650" s="6"/>
      <c r="G650" s="6"/>
      <c r="H650" s="82"/>
      <c r="I650" s="6"/>
      <c r="J650" s="6"/>
      <c r="K650" s="1"/>
      <c r="L650" s="1"/>
      <c r="M650" s="1"/>
      <c r="N650" s="1"/>
      <c r="O650" s="1"/>
      <c r="P650" s="1"/>
      <c r="Q650" s="1"/>
      <c r="R650" s="1"/>
      <c r="S650" s="1"/>
      <c r="T650" s="1"/>
      <c r="U650" s="1"/>
      <c r="V650" s="1"/>
      <c r="W650" s="1"/>
      <c r="X650" s="1"/>
      <c r="Y650" s="1"/>
      <c r="Z650" s="1"/>
    </row>
    <row r="651" spans="1:26" ht="15.75" customHeight="1" x14ac:dyDescent="0.3">
      <c r="A651" s="148"/>
      <c r="B651" s="6"/>
      <c r="C651" s="6"/>
      <c r="D651" s="82"/>
      <c r="E651" s="6"/>
      <c r="F651" s="6"/>
      <c r="G651" s="6"/>
      <c r="H651" s="82"/>
      <c r="I651" s="6"/>
      <c r="J651" s="6"/>
      <c r="K651" s="1"/>
      <c r="L651" s="1"/>
      <c r="M651" s="1"/>
      <c r="N651" s="1"/>
      <c r="O651" s="1"/>
      <c r="P651" s="1"/>
      <c r="Q651" s="1"/>
      <c r="R651" s="1"/>
      <c r="S651" s="1"/>
      <c r="T651" s="1"/>
      <c r="U651" s="1"/>
      <c r="V651" s="1"/>
      <c r="W651" s="1"/>
      <c r="X651" s="1"/>
      <c r="Y651" s="1"/>
      <c r="Z651" s="1"/>
    </row>
    <row r="652" spans="1:26" ht="15.75" customHeight="1" x14ac:dyDescent="0.3">
      <c r="A652" s="148"/>
      <c r="B652" s="6"/>
      <c r="C652" s="6"/>
      <c r="D652" s="82"/>
      <c r="E652" s="6"/>
      <c r="F652" s="6"/>
      <c r="G652" s="6"/>
      <c r="H652" s="82"/>
      <c r="I652" s="6"/>
      <c r="J652" s="6"/>
      <c r="K652" s="1"/>
      <c r="L652" s="1"/>
      <c r="M652" s="1"/>
      <c r="N652" s="1"/>
      <c r="O652" s="1"/>
      <c r="P652" s="1"/>
      <c r="Q652" s="1"/>
      <c r="R652" s="1"/>
      <c r="S652" s="1"/>
      <c r="T652" s="1"/>
      <c r="U652" s="1"/>
      <c r="V652" s="1"/>
      <c r="W652" s="1"/>
      <c r="X652" s="1"/>
      <c r="Y652" s="1"/>
      <c r="Z652" s="1"/>
    </row>
    <row r="653" spans="1:26" ht="15.75" customHeight="1" x14ac:dyDescent="0.3">
      <c r="A653" s="148"/>
      <c r="B653" s="6"/>
      <c r="C653" s="6"/>
      <c r="D653" s="82"/>
      <c r="E653" s="6"/>
      <c r="F653" s="6"/>
      <c r="G653" s="6"/>
      <c r="H653" s="82"/>
      <c r="I653" s="6"/>
      <c r="J653" s="6"/>
      <c r="K653" s="1"/>
      <c r="L653" s="1"/>
      <c r="M653" s="1"/>
      <c r="N653" s="1"/>
      <c r="O653" s="1"/>
      <c r="P653" s="1"/>
      <c r="Q653" s="1"/>
      <c r="R653" s="1"/>
      <c r="S653" s="1"/>
      <c r="T653" s="1"/>
      <c r="U653" s="1"/>
      <c r="V653" s="1"/>
      <c r="W653" s="1"/>
      <c r="X653" s="1"/>
      <c r="Y653" s="1"/>
      <c r="Z653" s="1"/>
    </row>
    <row r="654" spans="1:26" ht="15.75" customHeight="1" x14ac:dyDescent="0.3">
      <c r="A654" s="148"/>
      <c r="B654" s="6"/>
      <c r="C654" s="6"/>
      <c r="D654" s="82"/>
      <c r="E654" s="6"/>
      <c r="F654" s="6"/>
      <c r="G654" s="6"/>
      <c r="H654" s="82"/>
      <c r="I654" s="6"/>
      <c r="J654" s="6"/>
      <c r="K654" s="1"/>
      <c r="L654" s="1"/>
      <c r="M654" s="1"/>
      <c r="N654" s="1"/>
      <c r="O654" s="1"/>
      <c r="P654" s="1"/>
      <c r="Q654" s="1"/>
      <c r="R654" s="1"/>
      <c r="S654" s="1"/>
      <c r="T654" s="1"/>
      <c r="U654" s="1"/>
      <c r="V654" s="1"/>
      <c r="W654" s="1"/>
      <c r="X654" s="1"/>
      <c r="Y654" s="1"/>
      <c r="Z654" s="1"/>
    </row>
    <row r="655" spans="1:26" ht="15.75" customHeight="1" x14ac:dyDescent="0.3">
      <c r="A655" s="148"/>
      <c r="B655" s="6"/>
      <c r="C655" s="6"/>
      <c r="D655" s="82"/>
      <c r="E655" s="6"/>
      <c r="F655" s="6"/>
      <c r="G655" s="6"/>
      <c r="H655" s="82"/>
      <c r="I655" s="6"/>
      <c r="J655" s="6"/>
      <c r="K655" s="1"/>
      <c r="L655" s="1"/>
      <c r="M655" s="1"/>
      <c r="N655" s="1"/>
      <c r="O655" s="1"/>
      <c r="P655" s="1"/>
      <c r="Q655" s="1"/>
      <c r="R655" s="1"/>
      <c r="S655" s="1"/>
      <c r="T655" s="1"/>
      <c r="U655" s="1"/>
      <c r="V655" s="1"/>
      <c r="W655" s="1"/>
      <c r="X655" s="1"/>
      <c r="Y655" s="1"/>
      <c r="Z655" s="1"/>
    </row>
    <row r="656" spans="1:26" ht="15.75" customHeight="1" x14ac:dyDescent="0.3">
      <c r="A656" s="148"/>
      <c r="B656" s="6"/>
      <c r="C656" s="6"/>
      <c r="D656" s="82"/>
      <c r="E656" s="6"/>
      <c r="F656" s="6"/>
      <c r="G656" s="6"/>
      <c r="H656" s="82"/>
      <c r="I656" s="6"/>
      <c r="J656" s="6"/>
      <c r="K656" s="1"/>
      <c r="L656" s="1"/>
      <c r="M656" s="1"/>
      <c r="N656" s="1"/>
      <c r="O656" s="1"/>
      <c r="P656" s="1"/>
      <c r="Q656" s="1"/>
      <c r="R656" s="1"/>
      <c r="S656" s="1"/>
      <c r="T656" s="1"/>
      <c r="U656" s="1"/>
      <c r="V656" s="1"/>
      <c r="W656" s="1"/>
      <c r="X656" s="1"/>
      <c r="Y656" s="1"/>
      <c r="Z656" s="1"/>
    </row>
    <row r="657" spans="1:26" ht="15.75" customHeight="1" x14ac:dyDescent="0.3">
      <c r="A657" s="148"/>
      <c r="B657" s="6"/>
      <c r="C657" s="6"/>
      <c r="D657" s="82"/>
      <c r="E657" s="6"/>
      <c r="F657" s="6"/>
      <c r="G657" s="6"/>
      <c r="H657" s="82"/>
      <c r="I657" s="6"/>
      <c r="J657" s="6"/>
      <c r="K657" s="1"/>
      <c r="L657" s="1"/>
      <c r="M657" s="1"/>
      <c r="N657" s="1"/>
      <c r="O657" s="1"/>
      <c r="P657" s="1"/>
      <c r="Q657" s="1"/>
      <c r="R657" s="1"/>
      <c r="S657" s="1"/>
      <c r="T657" s="1"/>
      <c r="U657" s="1"/>
      <c r="V657" s="1"/>
      <c r="W657" s="1"/>
      <c r="X657" s="1"/>
      <c r="Y657" s="1"/>
      <c r="Z657" s="1"/>
    </row>
    <row r="658" spans="1:26" ht="15.75" customHeight="1" x14ac:dyDescent="0.3">
      <c r="A658" s="148"/>
      <c r="B658" s="6"/>
      <c r="C658" s="6"/>
      <c r="D658" s="82"/>
      <c r="E658" s="6"/>
      <c r="F658" s="6"/>
      <c r="G658" s="6"/>
      <c r="H658" s="82"/>
      <c r="I658" s="6"/>
      <c r="J658" s="6"/>
      <c r="K658" s="1"/>
      <c r="L658" s="1"/>
      <c r="M658" s="1"/>
      <c r="N658" s="1"/>
      <c r="O658" s="1"/>
      <c r="P658" s="1"/>
      <c r="Q658" s="1"/>
      <c r="R658" s="1"/>
      <c r="S658" s="1"/>
      <c r="T658" s="1"/>
      <c r="U658" s="1"/>
      <c r="V658" s="1"/>
      <c r="W658" s="1"/>
      <c r="X658" s="1"/>
      <c r="Y658" s="1"/>
      <c r="Z658" s="1"/>
    </row>
    <row r="659" spans="1:26" ht="15.75" customHeight="1" x14ac:dyDescent="0.3">
      <c r="A659" s="148"/>
      <c r="B659" s="6"/>
      <c r="C659" s="6"/>
      <c r="D659" s="82"/>
      <c r="E659" s="6"/>
      <c r="F659" s="6"/>
      <c r="G659" s="6"/>
      <c r="H659" s="82"/>
      <c r="I659" s="6"/>
      <c r="J659" s="6"/>
      <c r="K659" s="1"/>
      <c r="L659" s="1"/>
      <c r="M659" s="1"/>
      <c r="N659" s="1"/>
      <c r="O659" s="1"/>
      <c r="P659" s="1"/>
      <c r="Q659" s="1"/>
      <c r="R659" s="1"/>
      <c r="S659" s="1"/>
      <c r="T659" s="1"/>
      <c r="U659" s="1"/>
      <c r="V659" s="1"/>
      <c r="W659" s="1"/>
      <c r="X659" s="1"/>
      <c r="Y659" s="1"/>
      <c r="Z659" s="1"/>
    </row>
    <row r="660" spans="1:26" ht="15.75" customHeight="1" x14ac:dyDescent="0.3">
      <c r="A660" s="148"/>
      <c r="B660" s="6"/>
      <c r="C660" s="6"/>
      <c r="D660" s="82"/>
      <c r="E660" s="6"/>
      <c r="F660" s="6"/>
      <c r="G660" s="6"/>
      <c r="H660" s="82"/>
      <c r="I660" s="6"/>
      <c r="J660" s="6"/>
      <c r="K660" s="1"/>
      <c r="L660" s="1"/>
      <c r="M660" s="1"/>
      <c r="N660" s="1"/>
      <c r="O660" s="1"/>
      <c r="P660" s="1"/>
      <c r="Q660" s="1"/>
      <c r="R660" s="1"/>
      <c r="S660" s="1"/>
      <c r="T660" s="1"/>
      <c r="U660" s="1"/>
      <c r="V660" s="1"/>
      <c r="W660" s="1"/>
      <c r="X660" s="1"/>
      <c r="Y660" s="1"/>
      <c r="Z660" s="1"/>
    </row>
    <row r="661" spans="1:26" ht="15.75" customHeight="1" x14ac:dyDescent="0.3">
      <c r="A661" s="148"/>
      <c r="B661" s="6"/>
      <c r="C661" s="6"/>
      <c r="D661" s="82"/>
      <c r="E661" s="6"/>
      <c r="F661" s="6"/>
      <c r="G661" s="6"/>
      <c r="H661" s="82"/>
      <c r="I661" s="6"/>
      <c r="J661" s="6"/>
      <c r="K661" s="1"/>
      <c r="L661" s="1"/>
      <c r="M661" s="1"/>
      <c r="N661" s="1"/>
      <c r="O661" s="1"/>
      <c r="P661" s="1"/>
      <c r="Q661" s="1"/>
      <c r="R661" s="1"/>
      <c r="S661" s="1"/>
      <c r="T661" s="1"/>
      <c r="U661" s="1"/>
      <c r="V661" s="1"/>
      <c r="W661" s="1"/>
      <c r="X661" s="1"/>
      <c r="Y661" s="1"/>
      <c r="Z661" s="1"/>
    </row>
    <row r="662" spans="1:26" ht="15.75" customHeight="1" x14ac:dyDescent="0.3">
      <c r="A662" s="148"/>
      <c r="B662" s="6"/>
      <c r="C662" s="6"/>
      <c r="D662" s="82"/>
      <c r="E662" s="6"/>
      <c r="F662" s="6"/>
      <c r="G662" s="6"/>
      <c r="H662" s="82"/>
      <c r="I662" s="6"/>
      <c r="J662" s="6"/>
      <c r="K662" s="1"/>
      <c r="L662" s="1"/>
      <c r="M662" s="1"/>
      <c r="N662" s="1"/>
      <c r="O662" s="1"/>
      <c r="P662" s="1"/>
      <c r="Q662" s="1"/>
      <c r="R662" s="1"/>
      <c r="S662" s="1"/>
      <c r="T662" s="1"/>
      <c r="U662" s="1"/>
      <c r="V662" s="1"/>
      <c r="W662" s="1"/>
      <c r="X662" s="1"/>
      <c r="Y662" s="1"/>
      <c r="Z662" s="1"/>
    </row>
    <row r="663" spans="1:26" ht="15.75" customHeight="1" x14ac:dyDescent="0.3">
      <c r="A663" s="148"/>
      <c r="B663" s="6"/>
      <c r="C663" s="6"/>
      <c r="D663" s="82"/>
      <c r="E663" s="6"/>
      <c r="F663" s="6"/>
      <c r="G663" s="6"/>
      <c r="H663" s="82"/>
      <c r="I663" s="6"/>
      <c r="J663" s="6"/>
      <c r="K663" s="1"/>
      <c r="L663" s="1"/>
      <c r="M663" s="1"/>
      <c r="N663" s="1"/>
      <c r="O663" s="1"/>
      <c r="P663" s="1"/>
      <c r="Q663" s="1"/>
      <c r="R663" s="1"/>
      <c r="S663" s="1"/>
      <c r="T663" s="1"/>
      <c r="U663" s="1"/>
      <c r="V663" s="1"/>
      <c r="W663" s="1"/>
      <c r="X663" s="1"/>
      <c r="Y663" s="1"/>
      <c r="Z663" s="1"/>
    </row>
    <row r="664" spans="1:26" ht="15.75" customHeight="1" x14ac:dyDescent="0.3">
      <c r="A664" s="148"/>
      <c r="B664" s="6"/>
      <c r="C664" s="6"/>
      <c r="D664" s="82"/>
      <c r="E664" s="6"/>
      <c r="F664" s="6"/>
      <c r="G664" s="6"/>
      <c r="H664" s="82"/>
      <c r="I664" s="6"/>
      <c r="J664" s="6"/>
      <c r="K664" s="1"/>
      <c r="L664" s="1"/>
      <c r="M664" s="1"/>
      <c r="N664" s="1"/>
      <c r="O664" s="1"/>
      <c r="P664" s="1"/>
      <c r="Q664" s="1"/>
      <c r="R664" s="1"/>
      <c r="S664" s="1"/>
      <c r="T664" s="1"/>
      <c r="U664" s="1"/>
      <c r="V664" s="1"/>
      <c r="W664" s="1"/>
      <c r="X664" s="1"/>
      <c r="Y664" s="1"/>
      <c r="Z664" s="1"/>
    </row>
    <row r="665" spans="1:26" ht="15.75" customHeight="1" x14ac:dyDescent="0.3">
      <c r="A665" s="148"/>
      <c r="B665" s="6"/>
      <c r="C665" s="6"/>
      <c r="D665" s="82"/>
      <c r="E665" s="6"/>
      <c r="F665" s="6"/>
      <c r="G665" s="6"/>
      <c r="H665" s="82"/>
      <c r="I665" s="6"/>
      <c r="J665" s="6"/>
      <c r="K665" s="1"/>
      <c r="L665" s="1"/>
      <c r="M665" s="1"/>
      <c r="N665" s="1"/>
      <c r="O665" s="1"/>
      <c r="P665" s="1"/>
      <c r="Q665" s="1"/>
      <c r="R665" s="1"/>
      <c r="S665" s="1"/>
      <c r="T665" s="1"/>
      <c r="U665" s="1"/>
      <c r="V665" s="1"/>
      <c r="W665" s="1"/>
      <c r="X665" s="1"/>
      <c r="Y665" s="1"/>
      <c r="Z665" s="1"/>
    </row>
    <row r="666" spans="1:26" ht="15.75" customHeight="1" x14ac:dyDescent="0.3">
      <c r="A666" s="148"/>
      <c r="B666" s="6"/>
      <c r="C666" s="6"/>
      <c r="D666" s="82"/>
      <c r="E666" s="6"/>
      <c r="F666" s="6"/>
      <c r="G666" s="6"/>
      <c r="H666" s="82"/>
      <c r="I666" s="6"/>
      <c r="J666" s="6"/>
      <c r="K666" s="1"/>
      <c r="L666" s="1"/>
      <c r="M666" s="1"/>
      <c r="N666" s="1"/>
      <c r="O666" s="1"/>
      <c r="P666" s="1"/>
      <c r="Q666" s="1"/>
      <c r="R666" s="1"/>
      <c r="S666" s="1"/>
      <c r="T666" s="1"/>
      <c r="U666" s="1"/>
      <c r="V666" s="1"/>
      <c r="W666" s="1"/>
      <c r="X666" s="1"/>
      <c r="Y666" s="1"/>
      <c r="Z666" s="1"/>
    </row>
    <row r="667" spans="1:26" ht="15.75" customHeight="1" x14ac:dyDescent="0.3">
      <c r="A667" s="148"/>
      <c r="B667" s="6"/>
      <c r="C667" s="6"/>
      <c r="D667" s="82"/>
      <c r="E667" s="6"/>
      <c r="F667" s="6"/>
      <c r="G667" s="6"/>
      <c r="H667" s="82"/>
      <c r="I667" s="6"/>
      <c r="J667" s="6"/>
      <c r="K667" s="1"/>
      <c r="L667" s="1"/>
      <c r="M667" s="1"/>
      <c r="N667" s="1"/>
      <c r="O667" s="1"/>
      <c r="P667" s="1"/>
      <c r="Q667" s="1"/>
      <c r="R667" s="1"/>
      <c r="S667" s="1"/>
      <c r="T667" s="1"/>
      <c r="U667" s="1"/>
      <c r="V667" s="1"/>
      <c r="W667" s="1"/>
      <c r="X667" s="1"/>
      <c r="Y667" s="1"/>
      <c r="Z667" s="1"/>
    </row>
    <row r="668" spans="1:26" ht="15.75" customHeight="1" x14ac:dyDescent="0.3">
      <c r="A668" s="148"/>
      <c r="B668" s="6"/>
      <c r="C668" s="6"/>
      <c r="D668" s="82"/>
      <c r="E668" s="6"/>
      <c r="F668" s="6"/>
      <c r="G668" s="6"/>
      <c r="H668" s="82"/>
      <c r="I668" s="6"/>
      <c r="J668" s="6"/>
      <c r="K668" s="1"/>
      <c r="L668" s="1"/>
      <c r="M668" s="1"/>
      <c r="N668" s="1"/>
      <c r="O668" s="1"/>
      <c r="P668" s="1"/>
      <c r="Q668" s="1"/>
      <c r="R668" s="1"/>
      <c r="S668" s="1"/>
      <c r="T668" s="1"/>
      <c r="U668" s="1"/>
      <c r="V668" s="1"/>
      <c r="W668" s="1"/>
      <c r="X668" s="1"/>
      <c r="Y668" s="1"/>
      <c r="Z668" s="1"/>
    </row>
    <row r="669" spans="1:26" ht="15.75" customHeight="1" x14ac:dyDescent="0.3">
      <c r="A669" s="148"/>
      <c r="B669" s="6"/>
      <c r="C669" s="6"/>
      <c r="D669" s="82"/>
      <c r="E669" s="6"/>
      <c r="F669" s="6"/>
      <c r="G669" s="6"/>
      <c r="H669" s="82"/>
      <c r="I669" s="6"/>
      <c r="J669" s="6"/>
      <c r="K669" s="1"/>
      <c r="L669" s="1"/>
      <c r="M669" s="1"/>
      <c r="N669" s="1"/>
      <c r="O669" s="1"/>
      <c r="P669" s="1"/>
      <c r="Q669" s="1"/>
      <c r="R669" s="1"/>
      <c r="S669" s="1"/>
      <c r="T669" s="1"/>
      <c r="U669" s="1"/>
      <c r="V669" s="1"/>
      <c r="W669" s="1"/>
      <c r="X669" s="1"/>
      <c r="Y669" s="1"/>
      <c r="Z669" s="1"/>
    </row>
    <row r="670" spans="1:26" ht="15.75" customHeight="1" x14ac:dyDescent="0.3">
      <c r="A670" s="148"/>
      <c r="B670" s="6"/>
      <c r="C670" s="6"/>
      <c r="D670" s="82"/>
      <c r="E670" s="6"/>
      <c r="F670" s="6"/>
      <c r="G670" s="6"/>
      <c r="H670" s="82"/>
      <c r="I670" s="6"/>
      <c r="J670" s="6"/>
      <c r="K670" s="1"/>
      <c r="L670" s="1"/>
      <c r="M670" s="1"/>
      <c r="N670" s="1"/>
      <c r="O670" s="1"/>
      <c r="P670" s="1"/>
      <c r="Q670" s="1"/>
      <c r="R670" s="1"/>
      <c r="S670" s="1"/>
      <c r="T670" s="1"/>
      <c r="U670" s="1"/>
      <c r="V670" s="1"/>
      <c r="W670" s="1"/>
      <c r="X670" s="1"/>
      <c r="Y670" s="1"/>
      <c r="Z670" s="1"/>
    </row>
    <row r="671" spans="1:26" ht="15.75" customHeight="1" x14ac:dyDescent="0.3">
      <c r="A671" s="148"/>
      <c r="B671" s="6"/>
      <c r="C671" s="6"/>
      <c r="D671" s="82"/>
      <c r="E671" s="6"/>
      <c r="F671" s="6"/>
      <c r="G671" s="6"/>
      <c r="H671" s="82"/>
      <c r="I671" s="6"/>
      <c r="J671" s="6"/>
      <c r="K671" s="1"/>
      <c r="L671" s="1"/>
      <c r="M671" s="1"/>
      <c r="N671" s="1"/>
      <c r="O671" s="1"/>
      <c r="P671" s="1"/>
      <c r="Q671" s="1"/>
      <c r="R671" s="1"/>
      <c r="S671" s="1"/>
      <c r="T671" s="1"/>
      <c r="U671" s="1"/>
      <c r="V671" s="1"/>
      <c r="W671" s="1"/>
      <c r="X671" s="1"/>
      <c r="Y671" s="1"/>
      <c r="Z671" s="1"/>
    </row>
    <row r="672" spans="1:26" ht="15.75" customHeight="1" x14ac:dyDescent="0.3">
      <c r="A672" s="148"/>
      <c r="B672" s="6"/>
      <c r="C672" s="6"/>
      <c r="D672" s="82"/>
      <c r="E672" s="6"/>
      <c r="F672" s="6"/>
      <c r="G672" s="6"/>
      <c r="H672" s="82"/>
      <c r="I672" s="6"/>
      <c r="J672" s="6"/>
      <c r="K672" s="1"/>
      <c r="L672" s="1"/>
      <c r="M672" s="1"/>
      <c r="N672" s="1"/>
      <c r="O672" s="1"/>
      <c r="P672" s="1"/>
      <c r="Q672" s="1"/>
      <c r="R672" s="1"/>
      <c r="S672" s="1"/>
      <c r="T672" s="1"/>
      <c r="U672" s="1"/>
      <c r="V672" s="1"/>
      <c r="W672" s="1"/>
      <c r="X672" s="1"/>
      <c r="Y672" s="1"/>
      <c r="Z672" s="1"/>
    </row>
    <row r="673" spans="1:26" ht="15.75" customHeight="1" x14ac:dyDescent="0.3">
      <c r="A673" s="148"/>
      <c r="B673" s="6"/>
      <c r="C673" s="6"/>
      <c r="D673" s="82"/>
      <c r="E673" s="6"/>
      <c r="F673" s="6"/>
      <c r="G673" s="6"/>
      <c r="H673" s="82"/>
      <c r="I673" s="6"/>
      <c r="J673" s="6"/>
      <c r="K673" s="1"/>
      <c r="L673" s="1"/>
      <c r="M673" s="1"/>
      <c r="N673" s="1"/>
      <c r="O673" s="1"/>
      <c r="P673" s="1"/>
      <c r="Q673" s="1"/>
      <c r="R673" s="1"/>
      <c r="S673" s="1"/>
      <c r="T673" s="1"/>
      <c r="U673" s="1"/>
      <c r="V673" s="1"/>
      <c r="W673" s="1"/>
      <c r="X673" s="1"/>
      <c r="Y673" s="1"/>
      <c r="Z673" s="1"/>
    </row>
    <row r="674" spans="1:26" ht="15.75" customHeight="1" x14ac:dyDescent="0.3">
      <c r="A674" s="148"/>
      <c r="B674" s="6"/>
      <c r="C674" s="6"/>
      <c r="D674" s="82"/>
      <c r="E674" s="6"/>
      <c r="F674" s="6"/>
      <c r="G674" s="6"/>
      <c r="H674" s="82"/>
      <c r="I674" s="6"/>
      <c r="J674" s="6"/>
      <c r="K674" s="1"/>
      <c r="L674" s="1"/>
      <c r="M674" s="1"/>
      <c r="N674" s="1"/>
      <c r="O674" s="1"/>
      <c r="P674" s="1"/>
      <c r="Q674" s="1"/>
      <c r="R674" s="1"/>
      <c r="S674" s="1"/>
      <c r="T674" s="1"/>
      <c r="U674" s="1"/>
      <c r="V674" s="1"/>
      <c r="W674" s="1"/>
      <c r="X674" s="1"/>
      <c r="Y674" s="1"/>
      <c r="Z674" s="1"/>
    </row>
    <row r="675" spans="1:26" ht="15.75" customHeight="1" x14ac:dyDescent="0.3">
      <c r="A675" s="148"/>
      <c r="B675" s="6"/>
      <c r="C675" s="6"/>
      <c r="D675" s="82"/>
      <c r="E675" s="6"/>
      <c r="F675" s="6"/>
      <c r="G675" s="6"/>
      <c r="H675" s="82"/>
      <c r="I675" s="6"/>
      <c r="J675" s="6"/>
      <c r="K675" s="1"/>
      <c r="L675" s="1"/>
      <c r="M675" s="1"/>
      <c r="N675" s="1"/>
      <c r="O675" s="1"/>
      <c r="P675" s="1"/>
      <c r="Q675" s="1"/>
      <c r="R675" s="1"/>
      <c r="S675" s="1"/>
      <c r="T675" s="1"/>
      <c r="U675" s="1"/>
      <c r="V675" s="1"/>
      <c r="W675" s="1"/>
      <c r="X675" s="1"/>
      <c r="Y675" s="1"/>
      <c r="Z675" s="1"/>
    </row>
    <row r="676" spans="1:26" ht="15.75" customHeight="1" x14ac:dyDescent="0.3">
      <c r="A676" s="148"/>
      <c r="B676" s="6"/>
      <c r="C676" s="6"/>
      <c r="D676" s="82"/>
      <c r="E676" s="6"/>
      <c r="F676" s="6"/>
      <c r="G676" s="6"/>
      <c r="H676" s="82"/>
      <c r="I676" s="6"/>
      <c r="J676" s="6"/>
      <c r="K676" s="1"/>
      <c r="L676" s="1"/>
      <c r="M676" s="1"/>
      <c r="N676" s="1"/>
      <c r="O676" s="1"/>
      <c r="P676" s="1"/>
      <c r="Q676" s="1"/>
      <c r="R676" s="1"/>
      <c r="S676" s="1"/>
      <c r="T676" s="1"/>
      <c r="U676" s="1"/>
      <c r="V676" s="1"/>
      <c r="W676" s="1"/>
      <c r="X676" s="1"/>
      <c r="Y676" s="1"/>
      <c r="Z676" s="1"/>
    </row>
    <row r="677" spans="1:26" ht="15.75" customHeight="1" x14ac:dyDescent="0.3">
      <c r="A677" s="148"/>
      <c r="B677" s="6"/>
      <c r="C677" s="6"/>
      <c r="D677" s="82"/>
      <c r="E677" s="6"/>
      <c r="F677" s="6"/>
      <c r="G677" s="6"/>
      <c r="H677" s="82"/>
      <c r="I677" s="6"/>
      <c r="J677" s="6"/>
      <c r="K677" s="1"/>
      <c r="L677" s="1"/>
      <c r="M677" s="1"/>
      <c r="N677" s="1"/>
      <c r="O677" s="1"/>
      <c r="P677" s="1"/>
      <c r="Q677" s="1"/>
      <c r="R677" s="1"/>
      <c r="S677" s="1"/>
      <c r="T677" s="1"/>
      <c r="U677" s="1"/>
      <c r="V677" s="1"/>
      <c r="W677" s="1"/>
      <c r="X677" s="1"/>
      <c r="Y677" s="1"/>
      <c r="Z677" s="1"/>
    </row>
    <row r="678" spans="1:26" ht="15.75" customHeight="1" x14ac:dyDescent="0.3">
      <c r="A678" s="148"/>
      <c r="B678" s="6"/>
      <c r="C678" s="6"/>
      <c r="D678" s="82"/>
      <c r="E678" s="6"/>
      <c r="F678" s="6"/>
      <c r="G678" s="6"/>
      <c r="H678" s="82"/>
      <c r="I678" s="6"/>
      <c r="J678" s="6"/>
      <c r="K678" s="1"/>
      <c r="L678" s="1"/>
      <c r="M678" s="1"/>
      <c r="N678" s="1"/>
      <c r="O678" s="1"/>
      <c r="P678" s="1"/>
      <c r="Q678" s="1"/>
      <c r="R678" s="1"/>
      <c r="S678" s="1"/>
      <c r="T678" s="1"/>
      <c r="U678" s="1"/>
      <c r="V678" s="1"/>
      <c r="W678" s="1"/>
      <c r="X678" s="1"/>
      <c r="Y678" s="1"/>
      <c r="Z678" s="1"/>
    </row>
    <row r="679" spans="1:26" ht="15.75" customHeight="1" x14ac:dyDescent="0.3">
      <c r="A679" s="148"/>
      <c r="B679" s="6"/>
      <c r="C679" s="6"/>
      <c r="D679" s="82"/>
      <c r="E679" s="6"/>
      <c r="F679" s="6"/>
      <c r="G679" s="6"/>
      <c r="H679" s="82"/>
      <c r="I679" s="6"/>
      <c r="J679" s="6"/>
      <c r="K679" s="1"/>
      <c r="L679" s="1"/>
      <c r="M679" s="1"/>
      <c r="N679" s="1"/>
      <c r="O679" s="1"/>
      <c r="P679" s="1"/>
      <c r="Q679" s="1"/>
      <c r="R679" s="1"/>
      <c r="S679" s="1"/>
      <c r="T679" s="1"/>
      <c r="U679" s="1"/>
      <c r="V679" s="1"/>
      <c r="W679" s="1"/>
      <c r="X679" s="1"/>
      <c r="Y679" s="1"/>
      <c r="Z679" s="1"/>
    </row>
    <row r="680" spans="1:26" ht="15.75" customHeight="1" x14ac:dyDescent="0.3">
      <c r="A680" s="148"/>
      <c r="B680" s="6"/>
      <c r="C680" s="6"/>
      <c r="D680" s="82"/>
      <c r="E680" s="6"/>
      <c r="F680" s="6"/>
      <c r="G680" s="6"/>
      <c r="H680" s="82"/>
      <c r="I680" s="6"/>
      <c r="J680" s="6"/>
      <c r="K680" s="1"/>
      <c r="L680" s="1"/>
      <c r="M680" s="1"/>
      <c r="N680" s="1"/>
      <c r="O680" s="1"/>
      <c r="P680" s="1"/>
      <c r="Q680" s="1"/>
      <c r="R680" s="1"/>
      <c r="S680" s="1"/>
      <c r="T680" s="1"/>
      <c r="U680" s="1"/>
      <c r="V680" s="1"/>
      <c r="W680" s="1"/>
      <c r="X680" s="1"/>
      <c r="Y680" s="1"/>
      <c r="Z680" s="1"/>
    </row>
    <row r="681" spans="1:26" ht="15.75" customHeight="1" x14ac:dyDescent="0.3">
      <c r="A681" s="148"/>
      <c r="B681" s="6"/>
      <c r="C681" s="6"/>
      <c r="D681" s="82"/>
      <c r="E681" s="6"/>
      <c r="F681" s="6"/>
      <c r="G681" s="6"/>
      <c r="H681" s="82"/>
      <c r="I681" s="6"/>
      <c r="J681" s="6"/>
      <c r="K681" s="1"/>
      <c r="L681" s="1"/>
      <c r="M681" s="1"/>
      <c r="N681" s="1"/>
      <c r="O681" s="1"/>
      <c r="P681" s="1"/>
      <c r="Q681" s="1"/>
      <c r="R681" s="1"/>
      <c r="S681" s="1"/>
      <c r="T681" s="1"/>
      <c r="U681" s="1"/>
      <c r="V681" s="1"/>
      <c r="W681" s="1"/>
      <c r="X681" s="1"/>
      <c r="Y681" s="1"/>
      <c r="Z681" s="1"/>
    </row>
    <row r="682" spans="1:26" ht="15.75" customHeight="1" x14ac:dyDescent="0.3">
      <c r="A682" s="148"/>
      <c r="B682" s="6"/>
      <c r="C682" s="6"/>
      <c r="D682" s="82"/>
      <c r="E682" s="6"/>
      <c r="F682" s="6"/>
      <c r="G682" s="6"/>
      <c r="H682" s="82"/>
      <c r="I682" s="6"/>
      <c r="J682" s="6"/>
      <c r="K682" s="1"/>
      <c r="L682" s="1"/>
      <c r="M682" s="1"/>
      <c r="N682" s="1"/>
      <c r="O682" s="1"/>
      <c r="P682" s="1"/>
      <c r="Q682" s="1"/>
      <c r="R682" s="1"/>
      <c r="S682" s="1"/>
      <c r="T682" s="1"/>
      <c r="U682" s="1"/>
      <c r="V682" s="1"/>
      <c r="W682" s="1"/>
      <c r="X682" s="1"/>
      <c r="Y682" s="1"/>
      <c r="Z682" s="1"/>
    </row>
    <row r="683" spans="1:26" ht="15.75" customHeight="1" x14ac:dyDescent="0.3">
      <c r="A683" s="148"/>
      <c r="B683" s="6"/>
      <c r="C683" s="6"/>
      <c r="D683" s="82"/>
      <c r="E683" s="6"/>
      <c r="F683" s="6"/>
      <c r="G683" s="6"/>
      <c r="H683" s="82"/>
      <c r="I683" s="6"/>
      <c r="J683" s="6"/>
      <c r="K683" s="1"/>
      <c r="L683" s="1"/>
      <c r="M683" s="1"/>
      <c r="N683" s="1"/>
      <c r="O683" s="1"/>
      <c r="P683" s="1"/>
      <c r="Q683" s="1"/>
      <c r="R683" s="1"/>
      <c r="S683" s="1"/>
      <c r="T683" s="1"/>
      <c r="U683" s="1"/>
      <c r="V683" s="1"/>
      <c r="W683" s="1"/>
      <c r="X683" s="1"/>
      <c r="Y683" s="1"/>
      <c r="Z683" s="1"/>
    </row>
    <row r="684" spans="1:26" ht="15.75" customHeight="1" x14ac:dyDescent="0.3">
      <c r="A684" s="148"/>
      <c r="B684" s="6"/>
      <c r="C684" s="6"/>
      <c r="D684" s="82"/>
      <c r="E684" s="6"/>
      <c r="F684" s="6"/>
      <c r="G684" s="6"/>
      <c r="H684" s="82"/>
      <c r="I684" s="6"/>
      <c r="J684" s="6"/>
      <c r="K684" s="1"/>
      <c r="L684" s="1"/>
      <c r="M684" s="1"/>
      <c r="N684" s="1"/>
      <c r="O684" s="1"/>
      <c r="P684" s="1"/>
      <c r="Q684" s="1"/>
      <c r="R684" s="1"/>
      <c r="S684" s="1"/>
      <c r="T684" s="1"/>
      <c r="U684" s="1"/>
      <c r="V684" s="1"/>
      <c r="W684" s="1"/>
      <c r="X684" s="1"/>
      <c r="Y684" s="1"/>
      <c r="Z684" s="1"/>
    </row>
    <row r="685" spans="1:26" ht="15.75" customHeight="1" x14ac:dyDescent="0.3">
      <c r="A685" s="148"/>
      <c r="B685" s="6"/>
      <c r="C685" s="6"/>
      <c r="D685" s="82"/>
      <c r="E685" s="6"/>
      <c r="F685" s="6"/>
      <c r="G685" s="6"/>
      <c r="H685" s="82"/>
      <c r="I685" s="6"/>
      <c r="J685" s="6"/>
      <c r="K685" s="1"/>
      <c r="L685" s="1"/>
      <c r="M685" s="1"/>
      <c r="N685" s="1"/>
      <c r="O685" s="1"/>
      <c r="P685" s="1"/>
      <c r="Q685" s="1"/>
      <c r="R685" s="1"/>
      <c r="S685" s="1"/>
      <c r="T685" s="1"/>
      <c r="U685" s="1"/>
      <c r="V685" s="1"/>
      <c r="W685" s="1"/>
      <c r="X685" s="1"/>
      <c r="Y685" s="1"/>
      <c r="Z685" s="1"/>
    </row>
    <row r="686" spans="1:26" ht="15.75" customHeight="1" x14ac:dyDescent="0.3">
      <c r="A686" s="148"/>
      <c r="B686" s="6"/>
      <c r="C686" s="6"/>
      <c r="D686" s="82"/>
      <c r="E686" s="6"/>
      <c r="F686" s="6"/>
      <c r="G686" s="6"/>
      <c r="H686" s="82"/>
      <c r="I686" s="6"/>
      <c r="J686" s="6"/>
      <c r="K686" s="1"/>
      <c r="L686" s="1"/>
      <c r="M686" s="1"/>
      <c r="N686" s="1"/>
      <c r="O686" s="1"/>
      <c r="P686" s="1"/>
      <c r="Q686" s="1"/>
      <c r="R686" s="1"/>
      <c r="S686" s="1"/>
      <c r="T686" s="1"/>
      <c r="U686" s="1"/>
      <c r="V686" s="1"/>
      <c r="W686" s="1"/>
      <c r="X686" s="1"/>
      <c r="Y686" s="1"/>
      <c r="Z686" s="1"/>
    </row>
    <row r="687" spans="1:26" ht="15.75" customHeight="1" x14ac:dyDescent="0.3">
      <c r="A687" s="148"/>
      <c r="B687" s="6"/>
      <c r="C687" s="6"/>
      <c r="D687" s="82"/>
      <c r="E687" s="6"/>
      <c r="F687" s="6"/>
      <c r="G687" s="6"/>
      <c r="H687" s="82"/>
      <c r="I687" s="6"/>
      <c r="J687" s="6"/>
      <c r="K687" s="1"/>
      <c r="L687" s="1"/>
      <c r="M687" s="1"/>
      <c r="N687" s="1"/>
      <c r="O687" s="1"/>
      <c r="P687" s="1"/>
      <c r="Q687" s="1"/>
      <c r="R687" s="1"/>
      <c r="S687" s="1"/>
      <c r="T687" s="1"/>
      <c r="U687" s="1"/>
      <c r="V687" s="1"/>
      <c r="W687" s="1"/>
      <c r="X687" s="1"/>
      <c r="Y687" s="1"/>
      <c r="Z687" s="1"/>
    </row>
    <row r="688" spans="1:26" ht="15.75" customHeight="1" x14ac:dyDescent="0.3">
      <c r="A688" s="148"/>
      <c r="B688" s="6"/>
      <c r="C688" s="6"/>
      <c r="D688" s="82"/>
      <c r="E688" s="6"/>
      <c r="F688" s="6"/>
      <c r="G688" s="6"/>
      <c r="H688" s="82"/>
      <c r="I688" s="6"/>
      <c r="J688" s="6"/>
      <c r="K688" s="1"/>
      <c r="L688" s="1"/>
      <c r="M688" s="1"/>
      <c r="N688" s="1"/>
      <c r="O688" s="1"/>
      <c r="P688" s="1"/>
      <c r="Q688" s="1"/>
      <c r="R688" s="1"/>
      <c r="S688" s="1"/>
      <c r="T688" s="1"/>
      <c r="U688" s="1"/>
      <c r="V688" s="1"/>
      <c r="W688" s="1"/>
      <c r="X688" s="1"/>
      <c r="Y688" s="1"/>
      <c r="Z688" s="1"/>
    </row>
    <row r="689" spans="1:26" ht="15.75" customHeight="1" x14ac:dyDescent="0.3">
      <c r="A689" s="148"/>
      <c r="B689" s="6"/>
      <c r="C689" s="6"/>
      <c r="D689" s="82"/>
      <c r="E689" s="6"/>
      <c r="F689" s="6"/>
      <c r="G689" s="6"/>
      <c r="H689" s="82"/>
      <c r="I689" s="6"/>
      <c r="J689" s="6"/>
      <c r="K689" s="1"/>
      <c r="L689" s="1"/>
      <c r="M689" s="1"/>
      <c r="N689" s="1"/>
      <c r="O689" s="1"/>
      <c r="P689" s="1"/>
      <c r="Q689" s="1"/>
      <c r="R689" s="1"/>
      <c r="S689" s="1"/>
      <c r="T689" s="1"/>
      <c r="U689" s="1"/>
      <c r="V689" s="1"/>
      <c r="W689" s="1"/>
      <c r="X689" s="1"/>
      <c r="Y689" s="1"/>
      <c r="Z689" s="1"/>
    </row>
    <row r="690" spans="1:26" ht="15.75" customHeight="1" x14ac:dyDescent="0.3">
      <c r="A690" s="148"/>
      <c r="B690" s="6"/>
      <c r="C690" s="6"/>
      <c r="D690" s="82"/>
      <c r="E690" s="6"/>
      <c r="F690" s="6"/>
      <c r="G690" s="6"/>
      <c r="H690" s="82"/>
      <c r="I690" s="6"/>
      <c r="J690" s="6"/>
      <c r="K690" s="1"/>
      <c r="L690" s="1"/>
      <c r="M690" s="1"/>
      <c r="N690" s="1"/>
      <c r="O690" s="1"/>
      <c r="P690" s="1"/>
      <c r="Q690" s="1"/>
      <c r="R690" s="1"/>
      <c r="S690" s="1"/>
      <c r="T690" s="1"/>
      <c r="U690" s="1"/>
      <c r="V690" s="1"/>
      <c r="W690" s="1"/>
      <c r="X690" s="1"/>
      <c r="Y690" s="1"/>
      <c r="Z690" s="1"/>
    </row>
    <row r="691" spans="1:26" ht="15.75" customHeight="1" x14ac:dyDescent="0.3">
      <c r="A691" s="148"/>
      <c r="B691" s="6"/>
      <c r="C691" s="6"/>
      <c r="D691" s="82"/>
      <c r="E691" s="6"/>
      <c r="F691" s="6"/>
      <c r="G691" s="6"/>
      <c r="H691" s="82"/>
      <c r="I691" s="6"/>
      <c r="J691" s="6"/>
      <c r="K691" s="1"/>
      <c r="L691" s="1"/>
      <c r="M691" s="1"/>
      <c r="N691" s="1"/>
      <c r="O691" s="1"/>
      <c r="P691" s="1"/>
      <c r="Q691" s="1"/>
      <c r="R691" s="1"/>
      <c r="S691" s="1"/>
      <c r="T691" s="1"/>
      <c r="U691" s="1"/>
      <c r="V691" s="1"/>
      <c r="W691" s="1"/>
      <c r="X691" s="1"/>
      <c r="Y691" s="1"/>
      <c r="Z691" s="1"/>
    </row>
    <row r="692" spans="1:26" ht="15.75" customHeight="1" x14ac:dyDescent="0.3">
      <c r="A692" s="148"/>
      <c r="B692" s="6"/>
      <c r="C692" s="6"/>
      <c r="D692" s="82"/>
      <c r="E692" s="6"/>
      <c r="F692" s="6"/>
      <c r="G692" s="6"/>
      <c r="H692" s="82"/>
      <c r="I692" s="6"/>
      <c r="J692" s="6"/>
      <c r="K692" s="1"/>
      <c r="L692" s="1"/>
      <c r="M692" s="1"/>
      <c r="N692" s="1"/>
      <c r="O692" s="1"/>
      <c r="P692" s="1"/>
      <c r="Q692" s="1"/>
      <c r="R692" s="1"/>
      <c r="S692" s="1"/>
      <c r="T692" s="1"/>
      <c r="U692" s="1"/>
      <c r="V692" s="1"/>
      <c r="W692" s="1"/>
      <c r="X692" s="1"/>
      <c r="Y692" s="1"/>
      <c r="Z692" s="1"/>
    </row>
    <row r="693" spans="1:26" ht="15.75" customHeight="1" x14ac:dyDescent="0.3">
      <c r="A693" s="148"/>
      <c r="B693" s="6"/>
      <c r="C693" s="6"/>
      <c r="D693" s="82"/>
      <c r="E693" s="6"/>
      <c r="F693" s="6"/>
      <c r="G693" s="6"/>
      <c r="H693" s="82"/>
      <c r="I693" s="6"/>
      <c r="J693" s="6"/>
      <c r="K693" s="1"/>
      <c r="L693" s="1"/>
      <c r="M693" s="1"/>
      <c r="N693" s="1"/>
      <c r="O693" s="1"/>
      <c r="P693" s="1"/>
      <c r="Q693" s="1"/>
      <c r="R693" s="1"/>
      <c r="S693" s="1"/>
      <c r="T693" s="1"/>
      <c r="U693" s="1"/>
      <c r="V693" s="1"/>
      <c r="W693" s="1"/>
      <c r="X693" s="1"/>
      <c r="Y693" s="1"/>
      <c r="Z693" s="1"/>
    </row>
    <row r="694" spans="1:26" ht="15.75" customHeight="1" x14ac:dyDescent="0.3">
      <c r="A694" s="148"/>
      <c r="B694" s="6"/>
      <c r="C694" s="6"/>
      <c r="D694" s="82"/>
      <c r="E694" s="6"/>
      <c r="F694" s="6"/>
      <c r="G694" s="6"/>
      <c r="H694" s="82"/>
      <c r="I694" s="6"/>
      <c r="J694" s="6"/>
      <c r="K694" s="1"/>
      <c r="L694" s="1"/>
      <c r="M694" s="1"/>
      <c r="N694" s="1"/>
      <c r="O694" s="1"/>
      <c r="P694" s="1"/>
      <c r="Q694" s="1"/>
      <c r="R694" s="1"/>
      <c r="S694" s="1"/>
      <c r="T694" s="1"/>
      <c r="U694" s="1"/>
      <c r="V694" s="1"/>
      <c r="W694" s="1"/>
      <c r="X694" s="1"/>
      <c r="Y694" s="1"/>
      <c r="Z694" s="1"/>
    </row>
    <row r="695" spans="1:26" ht="15.75" customHeight="1" x14ac:dyDescent="0.3">
      <c r="A695" s="148"/>
      <c r="B695" s="6"/>
      <c r="C695" s="6"/>
      <c r="D695" s="82"/>
      <c r="E695" s="6"/>
      <c r="F695" s="6"/>
      <c r="G695" s="6"/>
      <c r="H695" s="82"/>
      <c r="I695" s="6"/>
      <c r="J695" s="6"/>
      <c r="K695" s="1"/>
      <c r="L695" s="1"/>
      <c r="M695" s="1"/>
      <c r="N695" s="1"/>
      <c r="O695" s="1"/>
      <c r="P695" s="1"/>
      <c r="Q695" s="1"/>
      <c r="R695" s="1"/>
      <c r="S695" s="1"/>
      <c r="T695" s="1"/>
      <c r="U695" s="1"/>
      <c r="V695" s="1"/>
      <c r="W695" s="1"/>
      <c r="X695" s="1"/>
      <c r="Y695" s="1"/>
      <c r="Z695" s="1"/>
    </row>
    <row r="696" spans="1:26" ht="15.75" customHeight="1" x14ac:dyDescent="0.3">
      <c r="A696" s="148"/>
      <c r="B696" s="6"/>
      <c r="C696" s="6"/>
      <c r="D696" s="82"/>
      <c r="E696" s="6"/>
      <c r="F696" s="6"/>
      <c r="G696" s="6"/>
      <c r="H696" s="82"/>
      <c r="I696" s="6"/>
      <c r="J696" s="6"/>
      <c r="K696" s="1"/>
      <c r="L696" s="1"/>
      <c r="M696" s="1"/>
      <c r="N696" s="1"/>
      <c r="O696" s="1"/>
      <c r="P696" s="1"/>
      <c r="Q696" s="1"/>
      <c r="R696" s="1"/>
      <c r="S696" s="1"/>
      <c r="T696" s="1"/>
      <c r="U696" s="1"/>
      <c r="V696" s="1"/>
      <c r="W696" s="1"/>
      <c r="X696" s="1"/>
      <c r="Y696" s="1"/>
      <c r="Z696" s="1"/>
    </row>
    <row r="697" spans="1:26" ht="15.75" customHeight="1" x14ac:dyDescent="0.3">
      <c r="A697" s="148"/>
      <c r="B697" s="6"/>
      <c r="C697" s="6"/>
      <c r="D697" s="82"/>
      <c r="E697" s="6"/>
      <c r="F697" s="6"/>
      <c r="G697" s="6"/>
      <c r="H697" s="82"/>
      <c r="I697" s="6"/>
      <c r="J697" s="6"/>
      <c r="K697" s="1"/>
      <c r="L697" s="1"/>
      <c r="M697" s="1"/>
      <c r="N697" s="1"/>
      <c r="O697" s="1"/>
      <c r="P697" s="1"/>
      <c r="Q697" s="1"/>
      <c r="R697" s="1"/>
      <c r="S697" s="1"/>
      <c r="T697" s="1"/>
      <c r="U697" s="1"/>
      <c r="V697" s="1"/>
      <c r="W697" s="1"/>
      <c r="X697" s="1"/>
      <c r="Y697" s="1"/>
      <c r="Z697" s="1"/>
    </row>
    <row r="698" spans="1:26" ht="15.75" customHeight="1" x14ac:dyDescent="0.3">
      <c r="A698" s="148"/>
      <c r="B698" s="6"/>
      <c r="C698" s="6"/>
      <c r="D698" s="82"/>
      <c r="E698" s="6"/>
      <c r="F698" s="6"/>
      <c r="G698" s="6"/>
      <c r="H698" s="82"/>
      <c r="I698" s="6"/>
      <c r="J698" s="6"/>
      <c r="K698" s="1"/>
      <c r="L698" s="1"/>
      <c r="M698" s="1"/>
      <c r="N698" s="1"/>
      <c r="O698" s="1"/>
      <c r="P698" s="1"/>
      <c r="Q698" s="1"/>
      <c r="R698" s="1"/>
      <c r="S698" s="1"/>
      <c r="T698" s="1"/>
      <c r="U698" s="1"/>
      <c r="V698" s="1"/>
      <c r="W698" s="1"/>
      <c r="X698" s="1"/>
      <c r="Y698" s="1"/>
      <c r="Z698" s="1"/>
    </row>
    <row r="699" spans="1:26" ht="15.75" customHeight="1" x14ac:dyDescent="0.3">
      <c r="A699" s="148"/>
      <c r="B699" s="6"/>
      <c r="C699" s="6"/>
      <c r="D699" s="82"/>
      <c r="E699" s="6"/>
      <c r="F699" s="6"/>
      <c r="G699" s="6"/>
      <c r="H699" s="82"/>
      <c r="I699" s="6"/>
      <c r="J699" s="6"/>
      <c r="K699" s="1"/>
      <c r="L699" s="1"/>
      <c r="M699" s="1"/>
      <c r="N699" s="1"/>
      <c r="O699" s="1"/>
      <c r="P699" s="1"/>
      <c r="Q699" s="1"/>
      <c r="R699" s="1"/>
      <c r="S699" s="1"/>
      <c r="T699" s="1"/>
      <c r="U699" s="1"/>
      <c r="V699" s="1"/>
      <c r="W699" s="1"/>
      <c r="X699" s="1"/>
      <c r="Y699" s="1"/>
      <c r="Z699" s="1"/>
    </row>
    <row r="700" spans="1:26" ht="15.75" customHeight="1" x14ac:dyDescent="0.3">
      <c r="A700" s="148"/>
      <c r="B700" s="6"/>
      <c r="C700" s="6"/>
      <c r="D700" s="82"/>
      <c r="E700" s="6"/>
      <c r="F700" s="6"/>
      <c r="G700" s="6"/>
      <c r="H700" s="82"/>
      <c r="I700" s="6"/>
      <c r="J700" s="6"/>
      <c r="K700" s="1"/>
      <c r="L700" s="1"/>
      <c r="M700" s="1"/>
      <c r="N700" s="1"/>
      <c r="O700" s="1"/>
      <c r="P700" s="1"/>
      <c r="Q700" s="1"/>
      <c r="R700" s="1"/>
      <c r="S700" s="1"/>
      <c r="T700" s="1"/>
      <c r="U700" s="1"/>
      <c r="V700" s="1"/>
      <c r="W700" s="1"/>
      <c r="X700" s="1"/>
      <c r="Y700" s="1"/>
      <c r="Z700" s="1"/>
    </row>
    <row r="701" spans="1:26" ht="15.75" customHeight="1" x14ac:dyDescent="0.3">
      <c r="A701" s="148"/>
      <c r="B701" s="6"/>
      <c r="C701" s="6"/>
      <c r="D701" s="82"/>
      <c r="E701" s="6"/>
      <c r="F701" s="6"/>
      <c r="G701" s="6"/>
      <c r="H701" s="82"/>
      <c r="I701" s="6"/>
      <c r="J701" s="6"/>
      <c r="K701" s="1"/>
      <c r="L701" s="1"/>
      <c r="M701" s="1"/>
      <c r="N701" s="1"/>
      <c r="O701" s="1"/>
      <c r="P701" s="1"/>
      <c r="Q701" s="1"/>
      <c r="R701" s="1"/>
      <c r="S701" s="1"/>
      <c r="T701" s="1"/>
      <c r="U701" s="1"/>
      <c r="V701" s="1"/>
      <c r="W701" s="1"/>
      <c r="X701" s="1"/>
      <c r="Y701" s="1"/>
      <c r="Z701" s="1"/>
    </row>
    <row r="702" spans="1:26" ht="15.75" customHeight="1" x14ac:dyDescent="0.3">
      <c r="A702" s="148"/>
      <c r="B702" s="6"/>
      <c r="C702" s="6"/>
      <c r="D702" s="82"/>
      <c r="E702" s="6"/>
      <c r="F702" s="6"/>
      <c r="G702" s="6"/>
      <c r="H702" s="82"/>
      <c r="I702" s="6"/>
      <c r="J702" s="6"/>
      <c r="K702" s="1"/>
      <c r="L702" s="1"/>
      <c r="M702" s="1"/>
      <c r="N702" s="1"/>
      <c r="O702" s="1"/>
      <c r="P702" s="1"/>
      <c r="Q702" s="1"/>
      <c r="R702" s="1"/>
      <c r="S702" s="1"/>
      <c r="T702" s="1"/>
      <c r="U702" s="1"/>
      <c r="V702" s="1"/>
      <c r="W702" s="1"/>
      <c r="X702" s="1"/>
      <c r="Y702" s="1"/>
      <c r="Z702" s="1"/>
    </row>
    <row r="703" spans="1:26" ht="15.75" customHeight="1" x14ac:dyDescent="0.3">
      <c r="A703" s="148"/>
      <c r="B703" s="6"/>
      <c r="C703" s="6"/>
      <c r="D703" s="82"/>
      <c r="E703" s="6"/>
      <c r="F703" s="6"/>
      <c r="G703" s="6"/>
      <c r="H703" s="82"/>
      <c r="I703" s="6"/>
      <c r="J703" s="6"/>
      <c r="K703" s="1"/>
      <c r="L703" s="1"/>
      <c r="M703" s="1"/>
      <c r="N703" s="1"/>
      <c r="O703" s="1"/>
      <c r="P703" s="1"/>
      <c r="Q703" s="1"/>
      <c r="R703" s="1"/>
      <c r="S703" s="1"/>
      <c r="T703" s="1"/>
      <c r="U703" s="1"/>
      <c r="V703" s="1"/>
      <c r="W703" s="1"/>
      <c r="X703" s="1"/>
      <c r="Y703" s="1"/>
      <c r="Z703" s="1"/>
    </row>
    <row r="704" spans="1:26" ht="15.75" customHeight="1" x14ac:dyDescent="0.3">
      <c r="A704" s="148"/>
      <c r="B704" s="6"/>
      <c r="C704" s="6"/>
      <c r="D704" s="82"/>
      <c r="E704" s="6"/>
      <c r="F704" s="6"/>
      <c r="G704" s="6"/>
      <c r="H704" s="82"/>
      <c r="I704" s="6"/>
      <c r="J704" s="6"/>
      <c r="K704" s="1"/>
      <c r="L704" s="1"/>
      <c r="M704" s="1"/>
      <c r="N704" s="1"/>
      <c r="O704" s="1"/>
      <c r="P704" s="1"/>
      <c r="Q704" s="1"/>
      <c r="R704" s="1"/>
      <c r="S704" s="1"/>
      <c r="T704" s="1"/>
      <c r="U704" s="1"/>
      <c r="V704" s="1"/>
      <c r="W704" s="1"/>
      <c r="X704" s="1"/>
      <c r="Y704" s="1"/>
      <c r="Z704" s="1"/>
    </row>
    <row r="705" spans="1:26" ht="15.75" customHeight="1" x14ac:dyDescent="0.3">
      <c r="A705" s="148"/>
      <c r="B705" s="6"/>
      <c r="C705" s="6"/>
      <c r="D705" s="82"/>
      <c r="E705" s="6"/>
      <c r="F705" s="6"/>
      <c r="G705" s="6"/>
      <c r="H705" s="82"/>
      <c r="I705" s="6"/>
      <c r="J705" s="6"/>
      <c r="K705" s="1"/>
      <c r="L705" s="1"/>
      <c r="M705" s="1"/>
      <c r="N705" s="1"/>
      <c r="O705" s="1"/>
      <c r="P705" s="1"/>
      <c r="Q705" s="1"/>
      <c r="R705" s="1"/>
      <c r="S705" s="1"/>
      <c r="T705" s="1"/>
      <c r="U705" s="1"/>
      <c r="V705" s="1"/>
      <c r="W705" s="1"/>
      <c r="X705" s="1"/>
      <c r="Y705" s="1"/>
      <c r="Z705" s="1"/>
    </row>
    <row r="706" spans="1:26" ht="15.75" customHeight="1" x14ac:dyDescent="0.3">
      <c r="A706" s="148"/>
      <c r="B706" s="6"/>
      <c r="C706" s="6"/>
      <c r="D706" s="82"/>
      <c r="E706" s="6"/>
      <c r="F706" s="6"/>
      <c r="G706" s="6"/>
      <c r="H706" s="82"/>
      <c r="I706" s="6"/>
      <c r="J706" s="6"/>
      <c r="K706" s="1"/>
      <c r="L706" s="1"/>
      <c r="M706" s="1"/>
      <c r="N706" s="1"/>
      <c r="O706" s="1"/>
      <c r="P706" s="1"/>
      <c r="Q706" s="1"/>
      <c r="R706" s="1"/>
      <c r="S706" s="1"/>
      <c r="T706" s="1"/>
      <c r="U706" s="1"/>
      <c r="V706" s="1"/>
      <c r="W706" s="1"/>
      <c r="X706" s="1"/>
      <c r="Y706" s="1"/>
      <c r="Z706" s="1"/>
    </row>
    <row r="707" spans="1:26" ht="15.75" customHeight="1" x14ac:dyDescent="0.3">
      <c r="A707" s="148"/>
      <c r="B707" s="6"/>
      <c r="C707" s="6"/>
      <c r="D707" s="82"/>
      <c r="E707" s="6"/>
      <c r="F707" s="6"/>
      <c r="G707" s="6"/>
      <c r="H707" s="82"/>
      <c r="I707" s="6"/>
      <c r="J707" s="6"/>
      <c r="K707" s="1"/>
      <c r="L707" s="1"/>
      <c r="M707" s="1"/>
      <c r="N707" s="1"/>
      <c r="O707" s="1"/>
      <c r="P707" s="1"/>
      <c r="Q707" s="1"/>
      <c r="R707" s="1"/>
      <c r="S707" s="1"/>
      <c r="T707" s="1"/>
      <c r="U707" s="1"/>
      <c r="V707" s="1"/>
      <c r="W707" s="1"/>
      <c r="X707" s="1"/>
      <c r="Y707" s="1"/>
      <c r="Z707" s="1"/>
    </row>
    <row r="708" spans="1:26" ht="15.75" customHeight="1" x14ac:dyDescent="0.3">
      <c r="A708" s="148"/>
      <c r="B708" s="6"/>
      <c r="C708" s="6"/>
      <c r="D708" s="82"/>
      <c r="E708" s="6"/>
      <c r="F708" s="6"/>
      <c r="G708" s="6"/>
      <c r="H708" s="82"/>
      <c r="I708" s="6"/>
      <c r="J708" s="6"/>
      <c r="K708" s="1"/>
      <c r="L708" s="1"/>
      <c r="M708" s="1"/>
      <c r="N708" s="1"/>
      <c r="O708" s="1"/>
      <c r="P708" s="1"/>
      <c r="Q708" s="1"/>
      <c r="R708" s="1"/>
      <c r="S708" s="1"/>
      <c r="T708" s="1"/>
      <c r="U708" s="1"/>
      <c r="V708" s="1"/>
      <c r="W708" s="1"/>
      <c r="X708" s="1"/>
      <c r="Y708" s="1"/>
      <c r="Z708" s="1"/>
    </row>
    <row r="709" spans="1:26" ht="15.75" customHeight="1" x14ac:dyDescent="0.3">
      <c r="A709" s="148"/>
      <c r="B709" s="6"/>
      <c r="C709" s="6"/>
      <c r="D709" s="82"/>
      <c r="E709" s="6"/>
      <c r="F709" s="6"/>
      <c r="G709" s="6"/>
      <c r="H709" s="82"/>
      <c r="I709" s="6"/>
      <c r="J709" s="6"/>
      <c r="K709" s="1"/>
      <c r="L709" s="1"/>
      <c r="M709" s="1"/>
      <c r="N709" s="1"/>
      <c r="O709" s="1"/>
      <c r="P709" s="1"/>
      <c r="Q709" s="1"/>
      <c r="R709" s="1"/>
      <c r="S709" s="1"/>
      <c r="T709" s="1"/>
      <c r="U709" s="1"/>
      <c r="V709" s="1"/>
      <c r="W709" s="1"/>
      <c r="X709" s="1"/>
      <c r="Y709" s="1"/>
      <c r="Z709" s="1"/>
    </row>
    <row r="710" spans="1:26" ht="15.75" customHeight="1" x14ac:dyDescent="0.3">
      <c r="A710" s="148"/>
      <c r="B710" s="6"/>
      <c r="C710" s="6"/>
      <c r="D710" s="82"/>
      <c r="E710" s="6"/>
      <c r="F710" s="6"/>
      <c r="G710" s="6"/>
      <c r="H710" s="82"/>
      <c r="I710" s="6"/>
      <c r="J710" s="6"/>
      <c r="K710" s="1"/>
      <c r="L710" s="1"/>
      <c r="M710" s="1"/>
      <c r="N710" s="1"/>
      <c r="O710" s="1"/>
      <c r="P710" s="1"/>
      <c r="Q710" s="1"/>
      <c r="R710" s="1"/>
      <c r="S710" s="1"/>
      <c r="T710" s="1"/>
      <c r="U710" s="1"/>
      <c r="V710" s="1"/>
      <c r="W710" s="1"/>
      <c r="X710" s="1"/>
      <c r="Y710" s="1"/>
      <c r="Z710" s="1"/>
    </row>
    <row r="711" spans="1:26" ht="15.75" customHeight="1" x14ac:dyDescent="0.3">
      <c r="A711" s="148"/>
      <c r="B711" s="6"/>
      <c r="C711" s="6"/>
      <c r="D711" s="82"/>
      <c r="E711" s="6"/>
      <c r="F711" s="6"/>
      <c r="G711" s="6"/>
      <c r="H711" s="82"/>
      <c r="I711" s="6"/>
      <c r="J711" s="6"/>
      <c r="K711" s="1"/>
      <c r="L711" s="1"/>
      <c r="M711" s="1"/>
      <c r="N711" s="1"/>
      <c r="O711" s="1"/>
      <c r="P711" s="1"/>
      <c r="Q711" s="1"/>
      <c r="R711" s="1"/>
      <c r="S711" s="1"/>
      <c r="T711" s="1"/>
      <c r="U711" s="1"/>
      <c r="V711" s="1"/>
      <c r="W711" s="1"/>
      <c r="X711" s="1"/>
      <c r="Y711" s="1"/>
      <c r="Z711" s="1"/>
    </row>
    <row r="712" spans="1:26" ht="15.75" customHeight="1" x14ac:dyDescent="0.3">
      <c r="A712" s="148"/>
      <c r="B712" s="6"/>
      <c r="C712" s="6"/>
      <c r="D712" s="82"/>
      <c r="E712" s="6"/>
      <c r="F712" s="6"/>
      <c r="G712" s="6"/>
      <c r="H712" s="82"/>
      <c r="I712" s="6"/>
      <c r="J712" s="6"/>
      <c r="K712" s="1"/>
      <c r="L712" s="1"/>
      <c r="M712" s="1"/>
      <c r="N712" s="1"/>
      <c r="O712" s="1"/>
      <c r="P712" s="1"/>
      <c r="Q712" s="1"/>
      <c r="R712" s="1"/>
      <c r="S712" s="1"/>
      <c r="T712" s="1"/>
      <c r="U712" s="1"/>
      <c r="V712" s="1"/>
      <c r="W712" s="1"/>
      <c r="X712" s="1"/>
      <c r="Y712" s="1"/>
      <c r="Z712" s="1"/>
    </row>
    <row r="713" spans="1:26" ht="15.75" customHeight="1" x14ac:dyDescent="0.3">
      <c r="A713" s="148"/>
      <c r="B713" s="6"/>
      <c r="C713" s="6"/>
      <c r="D713" s="82"/>
      <c r="E713" s="6"/>
      <c r="F713" s="6"/>
      <c r="G713" s="6"/>
      <c r="H713" s="82"/>
      <c r="I713" s="6"/>
      <c r="J713" s="6"/>
      <c r="K713" s="1"/>
      <c r="L713" s="1"/>
      <c r="M713" s="1"/>
      <c r="N713" s="1"/>
      <c r="O713" s="1"/>
      <c r="P713" s="1"/>
      <c r="Q713" s="1"/>
      <c r="R713" s="1"/>
      <c r="S713" s="1"/>
      <c r="T713" s="1"/>
      <c r="U713" s="1"/>
      <c r="V713" s="1"/>
      <c r="W713" s="1"/>
      <c r="X713" s="1"/>
      <c r="Y713" s="1"/>
      <c r="Z713" s="1"/>
    </row>
    <row r="714" spans="1:26" ht="15.75" customHeight="1" x14ac:dyDescent="0.3">
      <c r="A714" s="148"/>
      <c r="B714" s="6"/>
      <c r="C714" s="6"/>
      <c r="D714" s="82"/>
      <c r="E714" s="6"/>
      <c r="F714" s="6"/>
      <c r="G714" s="6"/>
      <c r="H714" s="82"/>
      <c r="I714" s="6"/>
      <c r="J714" s="6"/>
      <c r="K714" s="1"/>
      <c r="L714" s="1"/>
      <c r="M714" s="1"/>
      <c r="N714" s="1"/>
      <c r="O714" s="1"/>
      <c r="P714" s="1"/>
      <c r="Q714" s="1"/>
      <c r="R714" s="1"/>
      <c r="S714" s="1"/>
      <c r="T714" s="1"/>
      <c r="U714" s="1"/>
      <c r="V714" s="1"/>
      <c r="W714" s="1"/>
      <c r="X714" s="1"/>
      <c r="Y714" s="1"/>
      <c r="Z714" s="1"/>
    </row>
    <row r="715" spans="1:26" ht="15.75" customHeight="1" x14ac:dyDescent="0.3">
      <c r="A715" s="148"/>
      <c r="B715" s="6"/>
      <c r="C715" s="6"/>
      <c r="D715" s="82"/>
      <c r="E715" s="6"/>
      <c r="F715" s="6"/>
      <c r="G715" s="6"/>
      <c r="H715" s="82"/>
      <c r="I715" s="6"/>
      <c r="J715" s="6"/>
      <c r="K715" s="1"/>
      <c r="L715" s="1"/>
      <c r="M715" s="1"/>
      <c r="N715" s="1"/>
      <c r="O715" s="1"/>
      <c r="P715" s="1"/>
      <c r="Q715" s="1"/>
      <c r="R715" s="1"/>
      <c r="S715" s="1"/>
      <c r="T715" s="1"/>
      <c r="U715" s="1"/>
      <c r="V715" s="1"/>
      <c r="W715" s="1"/>
      <c r="X715" s="1"/>
      <c r="Y715" s="1"/>
      <c r="Z715" s="1"/>
    </row>
    <row r="716" spans="1:26" ht="15.75" customHeight="1" x14ac:dyDescent="0.3">
      <c r="A716" s="148"/>
      <c r="B716" s="6"/>
      <c r="C716" s="6"/>
      <c r="D716" s="82"/>
      <c r="E716" s="6"/>
      <c r="F716" s="6"/>
      <c r="G716" s="6"/>
      <c r="H716" s="82"/>
      <c r="I716" s="6"/>
      <c r="J716" s="6"/>
      <c r="K716" s="1"/>
      <c r="L716" s="1"/>
      <c r="M716" s="1"/>
      <c r="N716" s="1"/>
      <c r="O716" s="1"/>
      <c r="P716" s="1"/>
      <c r="Q716" s="1"/>
      <c r="R716" s="1"/>
      <c r="S716" s="1"/>
      <c r="T716" s="1"/>
      <c r="U716" s="1"/>
      <c r="V716" s="1"/>
      <c r="W716" s="1"/>
      <c r="X716" s="1"/>
      <c r="Y716" s="1"/>
      <c r="Z716" s="1"/>
    </row>
    <row r="717" spans="1:26" ht="15.75" customHeight="1" x14ac:dyDescent="0.3">
      <c r="A717" s="148"/>
      <c r="B717" s="6"/>
      <c r="C717" s="6"/>
      <c r="D717" s="82"/>
      <c r="E717" s="6"/>
      <c r="F717" s="6"/>
      <c r="G717" s="6"/>
      <c r="H717" s="82"/>
      <c r="I717" s="6"/>
      <c r="J717" s="6"/>
      <c r="K717" s="1"/>
      <c r="L717" s="1"/>
      <c r="M717" s="1"/>
      <c r="N717" s="1"/>
      <c r="O717" s="1"/>
      <c r="P717" s="1"/>
      <c r="Q717" s="1"/>
      <c r="R717" s="1"/>
      <c r="S717" s="1"/>
      <c r="T717" s="1"/>
      <c r="U717" s="1"/>
      <c r="V717" s="1"/>
      <c r="W717" s="1"/>
      <c r="X717" s="1"/>
      <c r="Y717" s="1"/>
      <c r="Z717" s="1"/>
    </row>
    <row r="718" spans="1:26" ht="15.75" customHeight="1" x14ac:dyDescent="0.3">
      <c r="A718" s="148"/>
      <c r="B718" s="6"/>
      <c r="C718" s="6"/>
      <c r="D718" s="82"/>
      <c r="E718" s="6"/>
      <c r="F718" s="6"/>
      <c r="G718" s="6"/>
      <c r="H718" s="82"/>
      <c r="I718" s="6"/>
      <c r="J718" s="6"/>
      <c r="K718" s="1"/>
      <c r="L718" s="1"/>
      <c r="M718" s="1"/>
      <c r="N718" s="1"/>
      <c r="O718" s="1"/>
      <c r="P718" s="1"/>
      <c r="Q718" s="1"/>
      <c r="R718" s="1"/>
      <c r="S718" s="1"/>
      <c r="T718" s="1"/>
      <c r="U718" s="1"/>
      <c r="V718" s="1"/>
      <c r="W718" s="1"/>
      <c r="X718" s="1"/>
      <c r="Y718" s="1"/>
      <c r="Z718" s="1"/>
    </row>
    <row r="719" spans="1:26" ht="15.75" customHeight="1" x14ac:dyDescent="0.3">
      <c r="A719" s="148"/>
      <c r="B719" s="6"/>
      <c r="C719" s="6"/>
      <c r="D719" s="82"/>
      <c r="E719" s="6"/>
      <c r="F719" s="6"/>
      <c r="G719" s="6"/>
      <c r="H719" s="82"/>
      <c r="I719" s="6"/>
      <c r="J719" s="6"/>
      <c r="K719" s="1"/>
      <c r="L719" s="1"/>
      <c r="M719" s="1"/>
      <c r="N719" s="1"/>
      <c r="O719" s="1"/>
      <c r="P719" s="1"/>
      <c r="Q719" s="1"/>
      <c r="R719" s="1"/>
      <c r="S719" s="1"/>
      <c r="T719" s="1"/>
      <c r="U719" s="1"/>
      <c r="V719" s="1"/>
      <c r="W719" s="1"/>
      <c r="X719" s="1"/>
      <c r="Y719" s="1"/>
      <c r="Z719" s="1"/>
    </row>
    <row r="720" spans="1:26" ht="15.75" customHeight="1" x14ac:dyDescent="0.3">
      <c r="A720" s="148"/>
      <c r="B720" s="6"/>
      <c r="C720" s="6"/>
      <c r="D720" s="82"/>
      <c r="E720" s="6"/>
      <c r="F720" s="6"/>
      <c r="G720" s="6"/>
      <c r="H720" s="82"/>
      <c r="I720" s="6"/>
      <c r="J720" s="6"/>
      <c r="K720" s="1"/>
      <c r="L720" s="1"/>
      <c r="M720" s="1"/>
      <c r="N720" s="1"/>
      <c r="O720" s="1"/>
      <c r="P720" s="1"/>
      <c r="Q720" s="1"/>
      <c r="R720" s="1"/>
      <c r="S720" s="1"/>
      <c r="T720" s="1"/>
      <c r="U720" s="1"/>
      <c r="V720" s="1"/>
      <c r="W720" s="1"/>
      <c r="X720" s="1"/>
      <c r="Y720" s="1"/>
      <c r="Z720" s="1"/>
    </row>
    <row r="721" spans="1:26" ht="15.75" customHeight="1" x14ac:dyDescent="0.3">
      <c r="A721" s="148"/>
      <c r="B721" s="6"/>
      <c r="C721" s="6"/>
      <c r="D721" s="82"/>
      <c r="E721" s="6"/>
      <c r="F721" s="6"/>
      <c r="G721" s="6"/>
      <c r="H721" s="82"/>
      <c r="I721" s="6"/>
      <c r="J721" s="6"/>
      <c r="K721" s="1"/>
      <c r="L721" s="1"/>
      <c r="M721" s="1"/>
      <c r="N721" s="1"/>
      <c r="O721" s="1"/>
      <c r="P721" s="1"/>
      <c r="Q721" s="1"/>
      <c r="R721" s="1"/>
      <c r="S721" s="1"/>
      <c r="T721" s="1"/>
      <c r="U721" s="1"/>
      <c r="V721" s="1"/>
      <c r="W721" s="1"/>
      <c r="X721" s="1"/>
      <c r="Y721" s="1"/>
      <c r="Z721" s="1"/>
    </row>
    <row r="722" spans="1:26" ht="15.75" customHeight="1" x14ac:dyDescent="0.3">
      <c r="A722" s="148"/>
      <c r="B722" s="6"/>
      <c r="C722" s="6"/>
      <c r="D722" s="82"/>
      <c r="E722" s="6"/>
      <c r="F722" s="6"/>
      <c r="G722" s="6"/>
      <c r="H722" s="82"/>
      <c r="I722" s="6"/>
      <c r="J722" s="6"/>
      <c r="K722" s="1"/>
      <c r="L722" s="1"/>
      <c r="M722" s="1"/>
      <c r="N722" s="1"/>
      <c r="O722" s="1"/>
      <c r="P722" s="1"/>
      <c r="Q722" s="1"/>
      <c r="R722" s="1"/>
      <c r="S722" s="1"/>
      <c r="T722" s="1"/>
      <c r="U722" s="1"/>
      <c r="V722" s="1"/>
      <c r="W722" s="1"/>
      <c r="X722" s="1"/>
      <c r="Y722" s="1"/>
      <c r="Z722" s="1"/>
    </row>
    <row r="723" spans="1:26" ht="15.75" customHeight="1" x14ac:dyDescent="0.3">
      <c r="A723" s="148"/>
      <c r="B723" s="6"/>
      <c r="C723" s="6"/>
      <c r="D723" s="82"/>
      <c r="E723" s="6"/>
      <c r="F723" s="6"/>
      <c r="G723" s="6"/>
      <c r="H723" s="82"/>
      <c r="I723" s="6"/>
      <c r="J723" s="6"/>
      <c r="K723" s="1"/>
      <c r="L723" s="1"/>
      <c r="M723" s="1"/>
      <c r="N723" s="1"/>
      <c r="O723" s="1"/>
      <c r="P723" s="1"/>
      <c r="Q723" s="1"/>
      <c r="R723" s="1"/>
      <c r="S723" s="1"/>
      <c r="T723" s="1"/>
      <c r="U723" s="1"/>
      <c r="V723" s="1"/>
      <c r="W723" s="1"/>
      <c r="X723" s="1"/>
      <c r="Y723" s="1"/>
      <c r="Z723" s="1"/>
    </row>
    <row r="724" spans="1:26" ht="15.75" customHeight="1" x14ac:dyDescent="0.3">
      <c r="A724" s="148"/>
      <c r="B724" s="6"/>
      <c r="C724" s="6"/>
      <c r="D724" s="82"/>
      <c r="E724" s="6"/>
      <c r="F724" s="6"/>
      <c r="G724" s="6"/>
      <c r="H724" s="82"/>
      <c r="I724" s="6"/>
      <c r="J724" s="6"/>
      <c r="K724" s="1"/>
      <c r="L724" s="1"/>
      <c r="M724" s="1"/>
      <c r="N724" s="1"/>
      <c r="O724" s="1"/>
      <c r="P724" s="1"/>
      <c r="Q724" s="1"/>
      <c r="R724" s="1"/>
      <c r="S724" s="1"/>
      <c r="T724" s="1"/>
      <c r="U724" s="1"/>
      <c r="V724" s="1"/>
      <c r="W724" s="1"/>
      <c r="X724" s="1"/>
      <c r="Y724" s="1"/>
      <c r="Z724" s="1"/>
    </row>
    <row r="725" spans="1:26" ht="15.75" customHeight="1" x14ac:dyDescent="0.3">
      <c r="A725" s="148"/>
      <c r="B725" s="6"/>
      <c r="C725" s="6"/>
      <c r="D725" s="82"/>
      <c r="E725" s="6"/>
      <c r="F725" s="6"/>
      <c r="G725" s="6"/>
      <c r="H725" s="82"/>
      <c r="I725" s="6"/>
      <c r="J725" s="6"/>
      <c r="K725" s="1"/>
      <c r="L725" s="1"/>
      <c r="M725" s="1"/>
      <c r="N725" s="1"/>
      <c r="O725" s="1"/>
      <c r="P725" s="1"/>
      <c r="Q725" s="1"/>
      <c r="R725" s="1"/>
      <c r="S725" s="1"/>
      <c r="T725" s="1"/>
      <c r="U725" s="1"/>
      <c r="V725" s="1"/>
      <c r="W725" s="1"/>
      <c r="X725" s="1"/>
      <c r="Y725" s="1"/>
      <c r="Z725" s="1"/>
    </row>
    <row r="726" spans="1:26" ht="15.75" customHeight="1" x14ac:dyDescent="0.3">
      <c r="A726" s="148"/>
      <c r="B726" s="6"/>
      <c r="C726" s="6"/>
      <c r="D726" s="82"/>
      <c r="E726" s="6"/>
      <c r="F726" s="6"/>
      <c r="G726" s="6"/>
      <c r="H726" s="82"/>
      <c r="I726" s="6"/>
      <c r="J726" s="6"/>
      <c r="K726" s="1"/>
      <c r="L726" s="1"/>
      <c r="M726" s="1"/>
      <c r="N726" s="1"/>
      <c r="O726" s="1"/>
      <c r="P726" s="1"/>
      <c r="Q726" s="1"/>
      <c r="R726" s="1"/>
      <c r="S726" s="1"/>
      <c r="T726" s="1"/>
      <c r="U726" s="1"/>
      <c r="V726" s="1"/>
      <c r="W726" s="1"/>
      <c r="X726" s="1"/>
      <c r="Y726" s="1"/>
      <c r="Z726" s="1"/>
    </row>
    <row r="727" spans="1:26" ht="15.75" customHeight="1" x14ac:dyDescent="0.3">
      <c r="A727" s="148"/>
      <c r="B727" s="6"/>
      <c r="C727" s="6"/>
      <c r="D727" s="82"/>
      <c r="E727" s="6"/>
      <c r="F727" s="6"/>
      <c r="G727" s="6"/>
      <c r="H727" s="82"/>
      <c r="I727" s="6"/>
      <c r="J727" s="6"/>
      <c r="K727" s="1"/>
      <c r="L727" s="1"/>
      <c r="M727" s="1"/>
      <c r="N727" s="1"/>
      <c r="O727" s="1"/>
      <c r="P727" s="1"/>
      <c r="Q727" s="1"/>
      <c r="R727" s="1"/>
      <c r="S727" s="1"/>
      <c r="T727" s="1"/>
      <c r="U727" s="1"/>
      <c r="V727" s="1"/>
      <c r="W727" s="1"/>
      <c r="X727" s="1"/>
      <c r="Y727" s="1"/>
      <c r="Z727" s="1"/>
    </row>
    <row r="728" spans="1:26" ht="15.75" customHeight="1" x14ac:dyDescent="0.3">
      <c r="A728" s="148"/>
      <c r="B728" s="6"/>
      <c r="C728" s="6"/>
      <c r="D728" s="82"/>
      <c r="E728" s="6"/>
      <c r="F728" s="6"/>
      <c r="G728" s="6"/>
      <c r="H728" s="82"/>
      <c r="I728" s="6"/>
      <c r="J728" s="6"/>
      <c r="K728" s="1"/>
      <c r="L728" s="1"/>
      <c r="M728" s="1"/>
      <c r="N728" s="1"/>
      <c r="O728" s="1"/>
      <c r="P728" s="1"/>
      <c r="Q728" s="1"/>
      <c r="R728" s="1"/>
      <c r="S728" s="1"/>
      <c r="T728" s="1"/>
      <c r="U728" s="1"/>
      <c r="V728" s="1"/>
      <c r="W728" s="1"/>
      <c r="X728" s="1"/>
      <c r="Y728" s="1"/>
      <c r="Z728" s="1"/>
    </row>
    <row r="729" spans="1:26" ht="15.75" customHeight="1" x14ac:dyDescent="0.3">
      <c r="A729" s="148"/>
      <c r="B729" s="6"/>
      <c r="C729" s="6"/>
      <c r="D729" s="82"/>
      <c r="E729" s="6"/>
      <c r="F729" s="6"/>
      <c r="G729" s="6"/>
      <c r="H729" s="82"/>
      <c r="I729" s="6"/>
      <c r="J729" s="6"/>
      <c r="K729" s="1"/>
      <c r="L729" s="1"/>
      <c r="M729" s="1"/>
      <c r="N729" s="1"/>
      <c r="O729" s="1"/>
      <c r="P729" s="1"/>
      <c r="Q729" s="1"/>
      <c r="R729" s="1"/>
      <c r="S729" s="1"/>
      <c r="T729" s="1"/>
      <c r="U729" s="1"/>
      <c r="V729" s="1"/>
      <c r="W729" s="1"/>
      <c r="X729" s="1"/>
      <c r="Y729" s="1"/>
      <c r="Z729" s="1"/>
    </row>
    <row r="730" spans="1:26" ht="15.75" customHeight="1" x14ac:dyDescent="0.3">
      <c r="A730" s="148"/>
      <c r="B730" s="6"/>
      <c r="C730" s="6"/>
      <c r="D730" s="82"/>
      <c r="E730" s="6"/>
      <c r="F730" s="6"/>
      <c r="G730" s="6"/>
      <c r="H730" s="82"/>
      <c r="I730" s="6"/>
      <c r="J730" s="6"/>
      <c r="K730" s="1"/>
      <c r="L730" s="1"/>
      <c r="M730" s="1"/>
      <c r="N730" s="1"/>
      <c r="O730" s="1"/>
      <c r="P730" s="1"/>
      <c r="Q730" s="1"/>
      <c r="R730" s="1"/>
      <c r="S730" s="1"/>
      <c r="T730" s="1"/>
      <c r="U730" s="1"/>
      <c r="V730" s="1"/>
      <c r="W730" s="1"/>
      <c r="X730" s="1"/>
      <c r="Y730" s="1"/>
      <c r="Z730" s="1"/>
    </row>
    <row r="731" spans="1:26" ht="15.75" customHeight="1" x14ac:dyDescent="0.3">
      <c r="A731" s="148"/>
      <c r="B731" s="6"/>
      <c r="C731" s="6"/>
      <c r="D731" s="82"/>
      <c r="E731" s="6"/>
      <c r="F731" s="6"/>
      <c r="G731" s="6"/>
      <c r="H731" s="82"/>
      <c r="I731" s="6"/>
      <c r="J731" s="6"/>
      <c r="K731" s="1"/>
      <c r="L731" s="1"/>
      <c r="M731" s="1"/>
      <c r="N731" s="1"/>
      <c r="O731" s="1"/>
      <c r="P731" s="1"/>
      <c r="Q731" s="1"/>
      <c r="R731" s="1"/>
      <c r="S731" s="1"/>
      <c r="T731" s="1"/>
      <c r="U731" s="1"/>
      <c r="V731" s="1"/>
      <c r="W731" s="1"/>
      <c r="X731" s="1"/>
      <c r="Y731" s="1"/>
      <c r="Z731" s="1"/>
    </row>
    <row r="732" spans="1:26" ht="15.75" customHeight="1" x14ac:dyDescent="0.3">
      <c r="A732" s="148"/>
      <c r="B732" s="6"/>
      <c r="C732" s="6"/>
      <c r="D732" s="82"/>
      <c r="E732" s="6"/>
      <c r="F732" s="6"/>
      <c r="G732" s="6"/>
      <c r="H732" s="82"/>
      <c r="I732" s="6"/>
      <c r="J732" s="6"/>
      <c r="K732" s="1"/>
      <c r="L732" s="1"/>
      <c r="M732" s="1"/>
      <c r="N732" s="1"/>
      <c r="O732" s="1"/>
      <c r="P732" s="1"/>
      <c r="Q732" s="1"/>
      <c r="R732" s="1"/>
      <c r="S732" s="1"/>
      <c r="T732" s="1"/>
      <c r="U732" s="1"/>
      <c r="V732" s="1"/>
      <c r="W732" s="1"/>
      <c r="X732" s="1"/>
      <c r="Y732" s="1"/>
      <c r="Z732" s="1"/>
    </row>
    <row r="733" spans="1:26" ht="15.75" customHeight="1" x14ac:dyDescent="0.3">
      <c r="A733" s="148"/>
      <c r="B733" s="6"/>
      <c r="C733" s="6"/>
      <c r="D733" s="82"/>
      <c r="E733" s="6"/>
      <c r="F733" s="6"/>
      <c r="G733" s="6"/>
      <c r="H733" s="82"/>
      <c r="I733" s="6"/>
      <c r="J733" s="6"/>
      <c r="K733" s="1"/>
      <c r="L733" s="1"/>
      <c r="M733" s="1"/>
      <c r="N733" s="1"/>
      <c r="O733" s="1"/>
      <c r="P733" s="1"/>
      <c r="Q733" s="1"/>
      <c r="R733" s="1"/>
      <c r="S733" s="1"/>
      <c r="T733" s="1"/>
      <c r="U733" s="1"/>
      <c r="V733" s="1"/>
      <c r="W733" s="1"/>
      <c r="X733" s="1"/>
      <c r="Y733" s="1"/>
      <c r="Z733" s="1"/>
    </row>
    <row r="734" spans="1:26" ht="15.75" customHeight="1" x14ac:dyDescent="0.3">
      <c r="A734" s="148"/>
      <c r="B734" s="6"/>
      <c r="C734" s="6"/>
      <c r="D734" s="82"/>
      <c r="E734" s="6"/>
      <c r="F734" s="6"/>
      <c r="G734" s="6"/>
      <c r="H734" s="82"/>
      <c r="I734" s="6"/>
      <c r="J734" s="6"/>
      <c r="K734" s="1"/>
      <c r="L734" s="1"/>
      <c r="M734" s="1"/>
      <c r="N734" s="1"/>
      <c r="O734" s="1"/>
      <c r="P734" s="1"/>
      <c r="Q734" s="1"/>
      <c r="R734" s="1"/>
      <c r="S734" s="1"/>
      <c r="T734" s="1"/>
      <c r="U734" s="1"/>
      <c r="V734" s="1"/>
      <c r="W734" s="1"/>
      <c r="X734" s="1"/>
      <c r="Y734" s="1"/>
      <c r="Z734" s="1"/>
    </row>
    <row r="735" spans="1:26" ht="15.75" customHeight="1" x14ac:dyDescent="0.3">
      <c r="A735" s="148"/>
      <c r="B735" s="6"/>
      <c r="C735" s="6"/>
      <c r="D735" s="82"/>
      <c r="E735" s="6"/>
      <c r="F735" s="6"/>
      <c r="G735" s="6"/>
      <c r="H735" s="82"/>
      <c r="I735" s="6"/>
      <c r="J735" s="6"/>
      <c r="K735" s="1"/>
      <c r="L735" s="1"/>
      <c r="M735" s="1"/>
      <c r="N735" s="1"/>
      <c r="O735" s="1"/>
      <c r="P735" s="1"/>
      <c r="Q735" s="1"/>
      <c r="R735" s="1"/>
      <c r="S735" s="1"/>
      <c r="T735" s="1"/>
      <c r="U735" s="1"/>
      <c r="V735" s="1"/>
      <c r="W735" s="1"/>
      <c r="X735" s="1"/>
      <c r="Y735" s="1"/>
      <c r="Z735" s="1"/>
    </row>
    <row r="736" spans="1:26" ht="15.75" customHeight="1" x14ac:dyDescent="0.3">
      <c r="A736" s="148"/>
      <c r="B736" s="6"/>
      <c r="C736" s="6"/>
      <c r="D736" s="82"/>
      <c r="E736" s="6"/>
      <c r="F736" s="6"/>
      <c r="G736" s="6"/>
      <c r="H736" s="82"/>
      <c r="I736" s="6"/>
      <c r="J736" s="6"/>
      <c r="K736" s="1"/>
      <c r="L736" s="1"/>
      <c r="M736" s="1"/>
      <c r="N736" s="1"/>
      <c r="O736" s="1"/>
      <c r="P736" s="1"/>
      <c r="Q736" s="1"/>
      <c r="R736" s="1"/>
      <c r="S736" s="1"/>
      <c r="T736" s="1"/>
      <c r="U736" s="1"/>
      <c r="V736" s="1"/>
      <c r="W736" s="1"/>
      <c r="X736" s="1"/>
      <c r="Y736" s="1"/>
      <c r="Z736" s="1"/>
    </row>
    <row r="737" spans="1:26" ht="15.75" customHeight="1" x14ac:dyDescent="0.3">
      <c r="A737" s="148"/>
      <c r="B737" s="6"/>
      <c r="C737" s="6"/>
      <c r="D737" s="82"/>
      <c r="E737" s="6"/>
      <c r="F737" s="6"/>
      <c r="G737" s="6"/>
      <c r="H737" s="82"/>
      <c r="I737" s="6"/>
      <c r="J737" s="6"/>
      <c r="K737" s="1"/>
      <c r="L737" s="1"/>
      <c r="M737" s="1"/>
      <c r="N737" s="1"/>
      <c r="O737" s="1"/>
      <c r="P737" s="1"/>
      <c r="Q737" s="1"/>
      <c r="R737" s="1"/>
      <c r="S737" s="1"/>
      <c r="T737" s="1"/>
      <c r="U737" s="1"/>
      <c r="V737" s="1"/>
      <c r="W737" s="1"/>
      <c r="X737" s="1"/>
      <c r="Y737" s="1"/>
      <c r="Z737" s="1"/>
    </row>
    <row r="738" spans="1:26" ht="15.75" customHeight="1" x14ac:dyDescent="0.3">
      <c r="A738" s="148"/>
      <c r="B738" s="6"/>
      <c r="C738" s="6"/>
      <c r="D738" s="82"/>
      <c r="E738" s="6"/>
      <c r="F738" s="6"/>
      <c r="G738" s="6"/>
      <c r="H738" s="82"/>
      <c r="I738" s="6"/>
      <c r="J738" s="6"/>
      <c r="K738" s="1"/>
      <c r="L738" s="1"/>
      <c r="M738" s="1"/>
      <c r="N738" s="1"/>
      <c r="O738" s="1"/>
      <c r="P738" s="1"/>
      <c r="Q738" s="1"/>
      <c r="R738" s="1"/>
      <c r="S738" s="1"/>
      <c r="T738" s="1"/>
      <c r="U738" s="1"/>
      <c r="V738" s="1"/>
      <c r="W738" s="1"/>
      <c r="X738" s="1"/>
      <c r="Y738" s="1"/>
      <c r="Z738" s="1"/>
    </row>
    <row r="739" spans="1:26" ht="15.75" customHeight="1" x14ac:dyDescent="0.3">
      <c r="A739" s="148"/>
      <c r="B739" s="6"/>
      <c r="C739" s="6"/>
      <c r="D739" s="82"/>
      <c r="E739" s="6"/>
      <c r="F739" s="6"/>
      <c r="G739" s="6"/>
      <c r="H739" s="82"/>
      <c r="I739" s="6"/>
      <c r="J739" s="6"/>
      <c r="K739" s="1"/>
      <c r="L739" s="1"/>
      <c r="M739" s="1"/>
      <c r="N739" s="1"/>
      <c r="O739" s="1"/>
      <c r="P739" s="1"/>
      <c r="Q739" s="1"/>
      <c r="R739" s="1"/>
      <c r="S739" s="1"/>
      <c r="T739" s="1"/>
      <c r="U739" s="1"/>
      <c r="V739" s="1"/>
      <c r="W739" s="1"/>
      <c r="X739" s="1"/>
      <c r="Y739" s="1"/>
      <c r="Z739" s="1"/>
    </row>
    <row r="740" spans="1:26" ht="15.75" customHeight="1" x14ac:dyDescent="0.3">
      <c r="A740" s="148"/>
      <c r="B740" s="6"/>
      <c r="C740" s="6"/>
      <c r="D740" s="82"/>
      <c r="E740" s="6"/>
      <c r="F740" s="6"/>
      <c r="G740" s="6"/>
      <c r="H740" s="82"/>
      <c r="I740" s="6"/>
      <c r="J740" s="6"/>
      <c r="K740" s="1"/>
      <c r="L740" s="1"/>
      <c r="M740" s="1"/>
      <c r="N740" s="1"/>
      <c r="O740" s="1"/>
      <c r="P740" s="1"/>
      <c r="Q740" s="1"/>
      <c r="R740" s="1"/>
      <c r="S740" s="1"/>
      <c r="T740" s="1"/>
      <c r="U740" s="1"/>
      <c r="V740" s="1"/>
      <c r="W740" s="1"/>
      <c r="X740" s="1"/>
      <c r="Y740" s="1"/>
      <c r="Z740" s="1"/>
    </row>
    <row r="741" spans="1:26" ht="15.75" customHeight="1" x14ac:dyDescent="0.3">
      <c r="A741" s="148"/>
      <c r="B741" s="6"/>
      <c r="C741" s="6"/>
      <c r="D741" s="82"/>
      <c r="E741" s="6"/>
      <c r="F741" s="6"/>
      <c r="G741" s="6"/>
      <c r="H741" s="82"/>
      <c r="I741" s="6"/>
      <c r="J741" s="6"/>
      <c r="K741" s="1"/>
      <c r="L741" s="1"/>
      <c r="M741" s="1"/>
      <c r="N741" s="1"/>
      <c r="O741" s="1"/>
      <c r="P741" s="1"/>
      <c r="Q741" s="1"/>
      <c r="R741" s="1"/>
      <c r="S741" s="1"/>
      <c r="T741" s="1"/>
      <c r="U741" s="1"/>
      <c r="V741" s="1"/>
      <c r="W741" s="1"/>
      <c r="X741" s="1"/>
      <c r="Y741" s="1"/>
      <c r="Z741" s="1"/>
    </row>
    <row r="742" spans="1:26" ht="15.75" customHeight="1" x14ac:dyDescent="0.3">
      <c r="A742" s="148"/>
      <c r="B742" s="6"/>
      <c r="C742" s="6"/>
      <c r="D742" s="82"/>
      <c r="E742" s="6"/>
      <c r="F742" s="6"/>
      <c r="G742" s="6"/>
      <c r="H742" s="82"/>
      <c r="I742" s="6"/>
      <c r="J742" s="6"/>
      <c r="K742" s="1"/>
      <c r="L742" s="1"/>
      <c r="M742" s="1"/>
      <c r="N742" s="1"/>
      <c r="O742" s="1"/>
      <c r="P742" s="1"/>
      <c r="Q742" s="1"/>
      <c r="R742" s="1"/>
      <c r="S742" s="1"/>
      <c r="T742" s="1"/>
      <c r="U742" s="1"/>
      <c r="V742" s="1"/>
      <c r="W742" s="1"/>
      <c r="X742" s="1"/>
      <c r="Y742" s="1"/>
      <c r="Z742" s="1"/>
    </row>
    <row r="743" spans="1:26" ht="15.75" customHeight="1" x14ac:dyDescent="0.3">
      <c r="A743" s="148"/>
      <c r="B743" s="6"/>
      <c r="C743" s="6"/>
      <c r="D743" s="82"/>
      <c r="E743" s="6"/>
      <c r="F743" s="6"/>
      <c r="G743" s="6"/>
      <c r="H743" s="82"/>
      <c r="I743" s="6"/>
      <c r="J743" s="6"/>
      <c r="K743" s="1"/>
      <c r="L743" s="1"/>
      <c r="M743" s="1"/>
      <c r="N743" s="1"/>
      <c r="O743" s="1"/>
      <c r="P743" s="1"/>
      <c r="Q743" s="1"/>
      <c r="R743" s="1"/>
      <c r="S743" s="1"/>
      <c r="T743" s="1"/>
      <c r="U743" s="1"/>
      <c r="V743" s="1"/>
      <c r="W743" s="1"/>
      <c r="X743" s="1"/>
      <c r="Y743" s="1"/>
      <c r="Z743" s="1"/>
    </row>
    <row r="744" spans="1:26" ht="15.75" customHeight="1" x14ac:dyDescent="0.3">
      <c r="A744" s="148"/>
      <c r="B744" s="6"/>
      <c r="C744" s="6"/>
      <c r="D744" s="82"/>
      <c r="E744" s="6"/>
      <c r="F744" s="6"/>
      <c r="G744" s="6"/>
      <c r="H744" s="82"/>
      <c r="I744" s="6"/>
      <c r="J744" s="6"/>
      <c r="K744" s="1"/>
      <c r="L744" s="1"/>
      <c r="M744" s="1"/>
      <c r="N744" s="1"/>
      <c r="O744" s="1"/>
      <c r="P744" s="1"/>
      <c r="Q744" s="1"/>
      <c r="R744" s="1"/>
      <c r="S744" s="1"/>
      <c r="T744" s="1"/>
      <c r="U744" s="1"/>
      <c r="V744" s="1"/>
      <c r="W744" s="1"/>
      <c r="X744" s="1"/>
      <c r="Y744" s="1"/>
      <c r="Z744" s="1"/>
    </row>
    <row r="745" spans="1:26" ht="15.75" customHeight="1" x14ac:dyDescent="0.3">
      <c r="A745" s="148"/>
      <c r="B745" s="6"/>
      <c r="C745" s="6"/>
      <c r="D745" s="82"/>
      <c r="E745" s="6"/>
      <c r="F745" s="6"/>
      <c r="G745" s="6"/>
      <c r="H745" s="82"/>
      <c r="I745" s="6"/>
      <c r="J745" s="6"/>
      <c r="K745" s="1"/>
      <c r="L745" s="1"/>
      <c r="M745" s="1"/>
      <c r="N745" s="1"/>
      <c r="O745" s="1"/>
      <c r="P745" s="1"/>
      <c r="Q745" s="1"/>
      <c r="R745" s="1"/>
      <c r="S745" s="1"/>
      <c r="T745" s="1"/>
      <c r="U745" s="1"/>
      <c r="V745" s="1"/>
      <c r="W745" s="1"/>
      <c r="X745" s="1"/>
      <c r="Y745" s="1"/>
      <c r="Z745" s="1"/>
    </row>
    <row r="746" spans="1:26" ht="15.75" customHeight="1" x14ac:dyDescent="0.3">
      <c r="A746" s="148"/>
      <c r="B746" s="6"/>
      <c r="C746" s="6"/>
      <c r="D746" s="82"/>
      <c r="E746" s="6"/>
      <c r="F746" s="6"/>
      <c r="G746" s="6"/>
      <c r="H746" s="82"/>
      <c r="I746" s="6"/>
      <c r="J746" s="6"/>
      <c r="K746" s="1"/>
      <c r="L746" s="1"/>
      <c r="M746" s="1"/>
      <c r="N746" s="1"/>
      <c r="O746" s="1"/>
      <c r="P746" s="1"/>
      <c r="Q746" s="1"/>
      <c r="R746" s="1"/>
      <c r="S746" s="1"/>
      <c r="T746" s="1"/>
      <c r="U746" s="1"/>
      <c r="V746" s="1"/>
      <c r="W746" s="1"/>
      <c r="X746" s="1"/>
      <c r="Y746" s="1"/>
      <c r="Z746" s="1"/>
    </row>
    <row r="747" spans="1:26" ht="15.75" customHeight="1" x14ac:dyDescent="0.3">
      <c r="A747" s="148"/>
      <c r="B747" s="6"/>
      <c r="C747" s="6"/>
      <c r="D747" s="82"/>
      <c r="E747" s="6"/>
      <c r="F747" s="6"/>
      <c r="G747" s="6"/>
      <c r="H747" s="82"/>
      <c r="I747" s="6"/>
      <c r="J747" s="6"/>
      <c r="K747" s="1"/>
      <c r="L747" s="1"/>
      <c r="M747" s="1"/>
      <c r="N747" s="1"/>
      <c r="O747" s="1"/>
      <c r="P747" s="1"/>
      <c r="Q747" s="1"/>
      <c r="R747" s="1"/>
      <c r="S747" s="1"/>
      <c r="T747" s="1"/>
      <c r="U747" s="1"/>
      <c r="V747" s="1"/>
      <c r="W747" s="1"/>
      <c r="X747" s="1"/>
      <c r="Y747" s="1"/>
      <c r="Z747" s="1"/>
    </row>
    <row r="748" spans="1:26" ht="15.75" customHeight="1" x14ac:dyDescent="0.3">
      <c r="A748" s="148"/>
      <c r="B748" s="6"/>
      <c r="C748" s="6"/>
      <c r="D748" s="82"/>
      <c r="E748" s="6"/>
      <c r="F748" s="6"/>
      <c r="G748" s="6"/>
      <c r="H748" s="82"/>
      <c r="I748" s="6"/>
      <c r="J748" s="6"/>
      <c r="K748" s="1"/>
      <c r="L748" s="1"/>
      <c r="M748" s="1"/>
      <c r="N748" s="1"/>
      <c r="O748" s="1"/>
      <c r="P748" s="1"/>
      <c r="Q748" s="1"/>
      <c r="R748" s="1"/>
      <c r="S748" s="1"/>
      <c r="T748" s="1"/>
      <c r="U748" s="1"/>
      <c r="V748" s="1"/>
      <c r="W748" s="1"/>
      <c r="X748" s="1"/>
      <c r="Y748" s="1"/>
      <c r="Z748" s="1"/>
    </row>
    <row r="749" spans="1:26" ht="15.75" customHeight="1" x14ac:dyDescent="0.3">
      <c r="A749" s="148"/>
      <c r="B749" s="6"/>
      <c r="C749" s="6"/>
      <c r="D749" s="82"/>
      <c r="E749" s="6"/>
      <c r="F749" s="6"/>
      <c r="G749" s="6"/>
      <c r="H749" s="82"/>
      <c r="I749" s="6"/>
      <c r="J749" s="6"/>
      <c r="K749" s="1"/>
      <c r="L749" s="1"/>
      <c r="M749" s="1"/>
      <c r="N749" s="1"/>
      <c r="O749" s="1"/>
      <c r="P749" s="1"/>
      <c r="Q749" s="1"/>
      <c r="R749" s="1"/>
      <c r="S749" s="1"/>
      <c r="T749" s="1"/>
      <c r="U749" s="1"/>
      <c r="V749" s="1"/>
      <c r="W749" s="1"/>
      <c r="X749" s="1"/>
      <c r="Y749" s="1"/>
      <c r="Z749" s="1"/>
    </row>
    <row r="750" spans="1:26" ht="15.75" customHeight="1" x14ac:dyDescent="0.3">
      <c r="A750" s="148"/>
      <c r="B750" s="6"/>
      <c r="C750" s="6"/>
      <c r="D750" s="82"/>
      <c r="E750" s="6"/>
      <c r="F750" s="6"/>
      <c r="G750" s="6"/>
      <c r="H750" s="82"/>
      <c r="I750" s="6"/>
      <c r="J750" s="6"/>
      <c r="K750" s="1"/>
      <c r="L750" s="1"/>
      <c r="M750" s="1"/>
      <c r="N750" s="1"/>
      <c r="O750" s="1"/>
      <c r="P750" s="1"/>
      <c r="Q750" s="1"/>
      <c r="R750" s="1"/>
      <c r="S750" s="1"/>
      <c r="T750" s="1"/>
      <c r="U750" s="1"/>
      <c r="V750" s="1"/>
      <c r="W750" s="1"/>
      <c r="X750" s="1"/>
      <c r="Y750" s="1"/>
      <c r="Z750" s="1"/>
    </row>
    <row r="751" spans="1:26" ht="15.75" customHeight="1" x14ac:dyDescent="0.3">
      <c r="A751" s="148"/>
      <c r="B751" s="6"/>
      <c r="C751" s="6"/>
      <c r="D751" s="82"/>
      <c r="E751" s="6"/>
      <c r="F751" s="6"/>
      <c r="G751" s="6"/>
      <c r="H751" s="82"/>
      <c r="I751" s="6"/>
      <c r="J751" s="6"/>
      <c r="K751" s="1"/>
      <c r="L751" s="1"/>
      <c r="M751" s="1"/>
      <c r="N751" s="1"/>
      <c r="O751" s="1"/>
      <c r="P751" s="1"/>
      <c r="Q751" s="1"/>
      <c r="R751" s="1"/>
      <c r="S751" s="1"/>
      <c r="T751" s="1"/>
      <c r="U751" s="1"/>
      <c r="V751" s="1"/>
      <c r="W751" s="1"/>
      <c r="X751" s="1"/>
      <c r="Y751" s="1"/>
      <c r="Z751" s="1"/>
    </row>
    <row r="752" spans="1:26" ht="15.75" customHeight="1" x14ac:dyDescent="0.3">
      <c r="A752" s="148"/>
      <c r="B752" s="6"/>
      <c r="C752" s="6"/>
      <c r="D752" s="82"/>
      <c r="E752" s="6"/>
      <c r="F752" s="6"/>
      <c r="G752" s="6"/>
      <c r="H752" s="82"/>
      <c r="I752" s="6"/>
      <c r="J752" s="6"/>
      <c r="K752" s="1"/>
      <c r="L752" s="1"/>
      <c r="M752" s="1"/>
      <c r="N752" s="1"/>
      <c r="O752" s="1"/>
      <c r="P752" s="1"/>
      <c r="Q752" s="1"/>
      <c r="R752" s="1"/>
      <c r="S752" s="1"/>
      <c r="T752" s="1"/>
      <c r="U752" s="1"/>
      <c r="V752" s="1"/>
      <c r="W752" s="1"/>
      <c r="X752" s="1"/>
      <c r="Y752" s="1"/>
      <c r="Z752" s="1"/>
    </row>
    <row r="753" spans="1:26" ht="15.75" customHeight="1" x14ac:dyDescent="0.3">
      <c r="A753" s="148"/>
      <c r="B753" s="6"/>
      <c r="C753" s="6"/>
      <c r="D753" s="82"/>
      <c r="E753" s="6"/>
      <c r="F753" s="6"/>
      <c r="G753" s="6"/>
      <c r="H753" s="82"/>
      <c r="I753" s="6"/>
      <c r="J753" s="6"/>
      <c r="K753" s="1"/>
      <c r="L753" s="1"/>
      <c r="M753" s="1"/>
      <c r="N753" s="1"/>
      <c r="O753" s="1"/>
      <c r="P753" s="1"/>
      <c r="Q753" s="1"/>
      <c r="R753" s="1"/>
      <c r="S753" s="1"/>
      <c r="T753" s="1"/>
      <c r="U753" s="1"/>
      <c r="V753" s="1"/>
      <c r="W753" s="1"/>
      <c r="X753" s="1"/>
      <c r="Y753" s="1"/>
      <c r="Z753" s="1"/>
    </row>
    <row r="754" spans="1:26" ht="15.75" customHeight="1" x14ac:dyDescent="0.3">
      <c r="A754" s="148"/>
      <c r="B754" s="6"/>
      <c r="C754" s="6"/>
      <c r="D754" s="82"/>
      <c r="E754" s="6"/>
      <c r="F754" s="6"/>
      <c r="G754" s="6"/>
      <c r="H754" s="82"/>
      <c r="I754" s="6"/>
      <c r="J754" s="6"/>
      <c r="K754" s="1"/>
      <c r="L754" s="1"/>
      <c r="M754" s="1"/>
      <c r="N754" s="1"/>
      <c r="O754" s="1"/>
      <c r="P754" s="1"/>
      <c r="Q754" s="1"/>
      <c r="R754" s="1"/>
      <c r="S754" s="1"/>
      <c r="T754" s="1"/>
      <c r="U754" s="1"/>
      <c r="V754" s="1"/>
      <c r="W754" s="1"/>
      <c r="X754" s="1"/>
      <c r="Y754" s="1"/>
      <c r="Z754" s="1"/>
    </row>
    <row r="755" spans="1:26" ht="15.75" customHeight="1" x14ac:dyDescent="0.3">
      <c r="A755" s="148"/>
      <c r="B755" s="6"/>
      <c r="C755" s="6"/>
      <c r="D755" s="82"/>
      <c r="E755" s="6"/>
      <c r="F755" s="6"/>
      <c r="G755" s="6"/>
      <c r="H755" s="82"/>
      <c r="I755" s="6"/>
      <c r="J755" s="6"/>
      <c r="K755" s="1"/>
      <c r="L755" s="1"/>
      <c r="M755" s="1"/>
      <c r="N755" s="1"/>
      <c r="O755" s="1"/>
      <c r="P755" s="1"/>
      <c r="Q755" s="1"/>
      <c r="R755" s="1"/>
      <c r="S755" s="1"/>
      <c r="T755" s="1"/>
      <c r="U755" s="1"/>
      <c r="V755" s="1"/>
      <c r="W755" s="1"/>
      <c r="X755" s="1"/>
      <c r="Y755" s="1"/>
      <c r="Z755" s="1"/>
    </row>
    <row r="756" spans="1:26" ht="15.75" customHeight="1" x14ac:dyDescent="0.3">
      <c r="A756" s="148"/>
      <c r="B756" s="6"/>
      <c r="C756" s="6"/>
      <c r="D756" s="82"/>
      <c r="E756" s="6"/>
      <c r="F756" s="6"/>
      <c r="G756" s="6"/>
      <c r="H756" s="82"/>
      <c r="I756" s="6"/>
      <c r="J756" s="6"/>
      <c r="K756" s="1"/>
      <c r="L756" s="1"/>
      <c r="M756" s="1"/>
      <c r="N756" s="1"/>
      <c r="O756" s="1"/>
      <c r="P756" s="1"/>
      <c r="Q756" s="1"/>
      <c r="R756" s="1"/>
      <c r="S756" s="1"/>
      <c r="T756" s="1"/>
      <c r="U756" s="1"/>
      <c r="V756" s="1"/>
      <c r="W756" s="1"/>
      <c r="X756" s="1"/>
      <c r="Y756" s="1"/>
      <c r="Z756" s="1"/>
    </row>
    <row r="757" spans="1:26" ht="15.75" customHeight="1" x14ac:dyDescent="0.3">
      <c r="A757" s="148"/>
      <c r="B757" s="6"/>
      <c r="C757" s="6"/>
      <c r="D757" s="82"/>
      <c r="E757" s="6"/>
      <c r="F757" s="6"/>
      <c r="G757" s="6"/>
      <c r="H757" s="82"/>
      <c r="I757" s="6"/>
      <c r="J757" s="6"/>
      <c r="K757" s="1"/>
      <c r="L757" s="1"/>
      <c r="M757" s="1"/>
      <c r="N757" s="1"/>
      <c r="O757" s="1"/>
      <c r="P757" s="1"/>
      <c r="Q757" s="1"/>
      <c r="R757" s="1"/>
      <c r="S757" s="1"/>
      <c r="T757" s="1"/>
      <c r="U757" s="1"/>
      <c r="V757" s="1"/>
      <c r="W757" s="1"/>
      <c r="X757" s="1"/>
      <c r="Y757" s="1"/>
      <c r="Z757" s="1"/>
    </row>
    <row r="758" spans="1:26" ht="15.75" customHeight="1" x14ac:dyDescent="0.3">
      <c r="A758" s="148"/>
      <c r="B758" s="6"/>
      <c r="C758" s="6"/>
      <c r="D758" s="82"/>
      <c r="E758" s="6"/>
      <c r="F758" s="6"/>
      <c r="G758" s="6"/>
      <c r="H758" s="82"/>
      <c r="I758" s="6"/>
      <c r="J758" s="6"/>
      <c r="K758" s="1"/>
      <c r="L758" s="1"/>
      <c r="M758" s="1"/>
      <c r="N758" s="1"/>
      <c r="O758" s="1"/>
      <c r="P758" s="1"/>
      <c r="Q758" s="1"/>
      <c r="R758" s="1"/>
      <c r="S758" s="1"/>
      <c r="T758" s="1"/>
      <c r="U758" s="1"/>
      <c r="V758" s="1"/>
      <c r="W758" s="1"/>
      <c r="X758" s="1"/>
      <c r="Y758" s="1"/>
      <c r="Z758" s="1"/>
    </row>
    <row r="759" spans="1:26" ht="15.75" customHeight="1" x14ac:dyDescent="0.3">
      <c r="A759" s="148"/>
      <c r="B759" s="6"/>
      <c r="C759" s="6"/>
      <c r="D759" s="82"/>
      <c r="E759" s="6"/>
      <c r="F759" s="6"/>
      <c r="G759" s="6"/>
      <c r="H759" s="82"/>
      <c r="I759" s="6"/>
      <c r="J759" s="6"/>
      <c r="K759" s="1"/>
      <c r="L759" s="1"/>
      <c r="M759" s="1"/>
      <c r="N759" s="1"/>
      <c r="O759" s="1"/>
      <c r="P759" s="1"/>
      <c r="Q759" s="1"/>
      <c r="R759" s="1"/>
      <c r="S759" s="1"/>
      <c r="T759" s="1"/>
      <c r="U759" s="1"/>
      <c r="V759" s="1"/>
      <c r="W759" s="1"/>
      <c r="X759" s="1"/>
      <c r="Y759" s="1"/>
      <c r="Z759" s="1"/>
    </row>
    <row r="760" spans="1:26" ht="15.75" customHeight="1" x14ac:dyDescent="0.3">
      <c r="A760" s="148"/>
      <c r="B760" s="6"/>
      <c r="C760" s="6"/>
      <c r="D760" s="82"/>
      <c r="E760" s="6"/>
      <c r="F760" s="6"/>
      <c r="G760" s="6"/>
      <c r="H760" s="82"/>
      <c r="I760" s="6"/>
      <c r="J760" s="6"/>
      <c r="K760" s="1"/>
      <c r="L760" s="1"/>
      <c r="M760" s="1"/>
      <c r="N760" s="1"/>
      <c r="O760" s="1"/>
      <c r="P760" s="1"/>
      <c r="Q760" s="1"/>
      <c r="R760" s="1"/>
      <c r="S760" s="1"/>
      <c r="T760" s="1"/>
      <c r="U760" s="1"/>
      <c r="V760" s="1"/>
      <c r="W760" s="1"/>
      <c r="X760" s="1"/>
      <c r="Y760" s="1"/>
      <c r="Z760" s="1"/>
    </row>
    <row r="761" spans="1:26" ht="15.75" customHeight="1" x14ac:dyDescent="0.3">
      <c r="A761" s="148"/>
      <c r="B761" s="6"/>
      <c r="C761" s="6"/>
      <c r="D761" s="82"/>
      <c r="E761" s="6"/>
      <c r="F761" s="6"/>
      <c r="G761" s="6"/>
      <c r="H761" s="82"/>
      <c r="I761" s="6"/>
      <c r="J761" s="6"/>
      <c r="K761" s="1"/>
      <c r="L761" s="1"/>
      <c r="M761" s="1"/>
      <c r="N761" s="1"/>
      <c r="O761" s="1"/>
      <c r="P761" s="1"/>
      <c r="Q761" s="1"/>
      <c r="R761" s="1"/>
      <c r="S761" s="1"/>
      <c r="T761" s="1"/>
      <c r="U761" s="1"/>
      <c r="V761" s="1"/>
      <c r="W761" s="1"/>
      <c r="X761" s="1"/>
      <c r="Y761" s="1"/>
      <c r="Z761" s="1"/>
    </row>
    <row r="762" spans="1:26" ht="15.75" customHeight="1" x14ac:dyDescent="0.3">
      <c r="A762" s="148"/>
      <c r="B762" s="6"/>
      <c r="C762" s="6"/>
      <c r="D762" s="82"/>
      <c r="E762" s="6"/>
      <c r="F762" s="6"/>
      <c r="G762" s="6"/>
      <c r="H762" s="82"/>
      <c r="I762" s="6"/>
      <c r="J762" s="6"/>
      <c r="K762" s="1"/>
      <c r="L762" s="1"/>
      <c r="M762" s="1"/>
      <c r="N762" s="1"/>
      <c r="O762" s="1"/>
      <c r="P762" s="1"/>
      <c r="Q762" s="1"/>
      <c r="R762" s="1"/>
      <c r="S762" s="1"/>
      <c r="T762" s="1"/>
      <c r="U762" s="1"/>
      <c r="V762" s="1"/>
      <c r="W762" s="1"/>
      <c r="X762" s="1"/>
      <c r="Y762" s="1"/>
      <c r="Z762" s="1"/>
    </row>
    <row r="763" spans="1:26" ht="15.75" customHeight="1" x14ac:dyDescent="0.3">
      <c r="A763" s="148"/>
      <c r="B763" s="6"/>
      <c r="C763" s="6"/>
      <c r="D763" s="82"/>
      <c r="E763" s="6"/>
      <c r="F763" s="6"/>
      <c r="G763" s="6"/>
      <c r="H763" s="82"/>
      <c r="I763" s="6"/>
      <c r="J763" s="6"/>
      <c r="K763" s="1"/>
      <c r="L763" s="1"/>
      <c r="M763" s="1"/>
      <c r="N763" s="1"/>
      <c r="O763" s="1"/>
      <c r="P763" s="1"/>
      <c r="Q763" s="1"/>
      <c r="R763" s="1"/>
      <c r="S763" s="1"/>
      <c r="T763" s="1"/>
      <c r="U763" s="1"/>
      <c r="V763" s="1"/>
      <c r="W763" s="1"/>
      <c r="X763" s="1"/>
      <c r="Y763" s="1"/>
      <c r="Z763" s="1"/>
    </row>
    <row r="764" spans="1:26" ht="15.75" customHeight="1" x14ac:dyDescent="0.3">
      <c r="A764" s="148"/>
      <c r="B764" s="6"/>
      <c r="C764" s="6"/>
      <c r="D764" s="82"/>
      <c r="E764" s="6"/>
      <c r="F764" s="6"/>
      <c r="G764" s="6"/>
      <c r="H764" s="82"/>
      <c r="I764" s="6"/>
      <c r="J764" s="6"/>
      <c r="K764" s="1"/>
      <c r="L764" s="1"/>
      <c r="M764" s="1"/>
      <c r="N764" s="1"/>
      <c r="O764" s="1"/>
      <c r="P764" s="1"/>
      <c r="Q764" s="1"/>
      <c r="R764" s="1"/>
      <c r="S764" s="1"/>
      <c r="T764" s="1"/>
      <c r="U764" s="1"/>
      <c r="V764" s="1"/>
      <c r="W764" s="1"/>
      <c r="X764" s="1"/>
      <c r="Y764" s="1"/>
      <c r="Z764" s="1"/>
    </row>
    <row r="765" spans="1:26" ht="15.75" customHeight="1" x14ac:dyDescent="0.3">
      <c r="A765" s="148"/>
      <c r="B765" s="6"/>
      <c r="C765" s="6"/>
      <c r="D765" s="82"/>
      <c r="E765" s="6"/>
      <c r="F765" s="6"/>
      <c r="G765" s="6"/>
      <c r="H765" s="82"/>
      <c r="I765" s="6"/>
      <c r="J765" s="6"/>
      <c r="K765" s="1"/>
      <c r="L765" s="1"/>
      <c r="M765" s="1"/>
      <c r="N765" s="1"/>
      <c r="O765" s="1"/>
      <c r="P765" s="1"/>
      <c r="Q765" s="1"/>
      <c r="R765" s="1"/>
      <c r="S765" s="1"/>
      <c r="T765" s="1"/>
      <c r="U765" s="1"/>
      <c r="V765" s="1"/>
      <c r="W765" s="1"/>
      <c r="X765" s="1"/>
      <c r="Y765" s="1"/>
      <c r="Z765" s="1"/>
    </row>
    <row r="766" spans="1:26" ht="15.75" customHeight="1" x14ac:dyDescent="0.3">
      <c r="A766" s="148"/>
      <c r="B766" s="6"/>
      <c r="C766" s="6"/>
      <c r="D766" s="82"/>
      <c r="E766" s="6"/>
      <c r="F766" s="6"/>
      <c r="G766" s="6"/>
      <c r="H766" s="82"/>
      <c r="I766" s="6"/>
      <c r="J766" s="6"/>
      <c r="K766" s="1"/>
      <c r="L766" s="1"/>
      <c r="M766" s="1"/>
      <c r="N766" s="1"/>
      <c r="O766" s="1"/>
      <c r="P766" s="1"/>
      <c r="Q766" s="1"/>
      <c r="R766" s="1"/>
      <c r="S766" s="1"/>
      <c r="T766" s="1"/>
      <c r="U766" s="1"/>
      <c r="V766" s="1"/>
      <c r="W766" s="1"/>
      <c r="X766" s="1"/>
      <c r="Y766" s="1"/>
      <c r="Z766" s="1"/>
    </row>
    <row r="767" spans="1:26" ht="15.75" customHeight="1" x14ac:dyDescent="0.3">
      <c r="A767" s="148"/>
      <c r="B767" s="6"/>
      <c r="C767" s="6"/>
      <c r="D767" s="82"/>
      <c r="E767" s="6"/>
      <c r="F767" s="6"/>
      <c r="G767" s="6"/>
      <c r="H767" s="82"/>
      <c r="I767" s="6"/>
      <c r="J767" s="6"/>
      <c r="K767" s="1"/>
      <c r="L767" s="1"/>
      <c r="M767" s="1"/>
      <c r="N767" s="1"/>
      <c r="O767" s="1"/>
      <c r="P767" s="1"/>
      <c r="Q767" s="1"/>
      <c r="R767" s="1"/>
      <c r="S767" s="1"/>
      <c r="T767" s="1"/>
      <c r="U767" s="1"/>
      <c r="V767" s="1"/>
      <c r="W767" s="1"/>
      <c r="X767" s="1"/>
      <c r="Y767" s="1"/>
      <c r="Z767" s="1"/>
    </row>
    <row r="768" spans="1:26" ht="15.75" customHeight="1" x14ac:dyDescent="0.3">
      <c r="A768" s="148"/>
      <c r="B768" s="6"/>
      <c r="C768" s="6"/>
      <c r="D768" s="82"/>
      <c r="E768" s="6"/>
      <c r="F768" s="6"/>
      <c r="G768" s="6"/>
      <c r="H768" s="82"/>
      <c r="I768" s="6"/>
      <c r="J768" s="6"/>
      <c r="K768" s="1"/>
      <c r="L768" s="1"/>
      <c r="M768" s="1"/>
      <c r="N768" s="1"/>
      <c r="O768" s="1"/>
      <c r="P768" s="1"/>
      <c r="Q768" s="1"/>
      <c r="R768" s="1"/>
      <c r="S768" s="1"/>
      <c r="T768" s="1"/>
      <c r="U768" s="1"/>
      <c r="V768" s="1"/>
      <c r="W768" s="1"/>
      <c r="X768" s="1"/>
      <c r="Y768" s="1"/>
      <c r="Z768" s="1"/>
    </row>
    <row r="769" spans="1:26" ht="15.75" customHeight="1" x14ac:dyDescent="0.3">
      <c r="A769" s="148"/>
      <c r="B769" s="6"/>
      <c r="C769" s="6"/>
      <c r="D769" s="82"/>
      <c r="E769" s="6"/>
      <c r="F769" s="6"/>
      <c r="G769" s="6"/>
      <c r="H769" s="82"/>
      <c r="I769" s="6"/>
      <c r="J769" s="6"/>
      <c r="K769" s="1"/>
      <c r="L769" s="1"/>
      <c r="M769" s="1"/>
      <c r="N769" s="1"/>
      <c r="O769" s="1"/>
      <c r="P769" s="1"/>
      <c r="Q769" s="1"/>
      <c r="R769" s="1"/>
      <c r="S769" s="1"/>
      <c r="T769" s="1"/>
      <c r="U769" s="1"/>
      <c r="V769" s="1"/>
      <c r="W769" s="1"/>
      <c r="X769" s="1"/>
      <c r="Y769" s="1"/>
      <c r="Z769" s="1"/>
    </row>
    <row r="770" spans="1:26" ht="15.75" customHeight="1" x14ac:dyDescent="0.3">
      <c r="A770" s="148"/>
      <c r="B770" s="6"/>
      <c r="C770" s="6"/>
      <c r="D770" s="82"/>
      <c r="E770" s="6"/>
      <c r="F770" s="6"/>
      <c r="G770" s="6"/>
      <c r="H770" s="82"/>
      <c r="I770" s="6"/>
      <c r="J770" s="6"/>
      <c r="K770" s="1"/>
      <c r="L770" s="1"/>
      <c r="M770" s="1"/>
      <c r="N770" s="1"/>
      <c r="O770" s="1"/>
      <c r="P770" s="1"/>
      <c r="Q770" s="1"/>
      <c r="R770" s="1"/>
      <c r="S770" s="1"/>
      <c r="T770" s="1"/>
      <c r="U770" s="1"/>
      <c r="V770" s="1"/>
      <c r="W770" s="1"/>
      <c r="X770" s="1"/>
      <c r="Y770" s="1"/>
      <c r="Z770" s="1"/>
    </row>
    <row r="771" spans="1:26" ht="15.75" customHeight="1" x14ac:dyDescent="0.3">
      <c r="A771" s="148"/>
      <c r="B771" s="6"/>
      <c r="C771" s="6"/>
      <c r="D771" s="82"/>
      <c r="E771" s="6"/>
      <c r="F771" s="6"/>
      <c r="G771" s="6"/>
      <c r="H771" s="82"/>
      <c r="I771" s="6"/>
      <c r="J771" s="6"/>
      <c r="K771" s="1"/>
      <c r="L771" s="1"/>
      <c r="M771" s="1"/>
      <c r="N771" s="1"/>
      <c r="O771" s="1"/>
      <c r="P771" s="1"/>
      <c r="Q771" s="1"/>
      <c r="R771" s="1"/>
      <c r="S771" s="1"/>
      <c r="T771" s="1"/>
      <c r="U771" s="1"/>
      <c r="V771" s="1"/>
      <c r="W771" s="1"/>
      <c r="X771" s="1"/>
      <c r="Y771" s="1"/>
      <c r="Z771" s="1"/>
    </row>
    <row r="772" spans="1:26" ht="15.75" customHeight="1" x14ac:dyDescent="0.3">
      <c r="A772" s="148"/>
      <c r="B772" s="6"/>
      <c r="C772" s="6"/>
      <c r="D772" s="82"/>
      <c r="E772" s="6"/>
      <c r="F772" s="6"/>
      <c r="G772" s="6"/>
      <c r="H772" s="82"/>
      <c r="I772" s="6"/>
      <c r="J772" s="6"/>
      <c r="K772" s="1"/>
      <c r="L772" s="1"/>
      <c r="M772" s="1"/>
      <c r="N772" s="1"/>
      <c r="O772" s="1"/>
      <c r="P772" s="1"/>
      <c r="Q772" s="1"/>
      <c r="R772" s="1"/>
      <c r="S772" s="1"/>
      <c r="T772" s="1"/>
      <c r="U772" s="1"/>
      <c r="V772" s="1"/>
      <c r="W772" s="1"/>
      <c r="X772" s="1"/>
      <c r="Y772" s="1"/>
      <c r="Z772" s="1"/>
    </row>
    <row r="773" spans="1:26" ht="15.75" customHeight="1" x14ac:dyDescent="0.3">
      <c r="A773" s="148"/>
      <c r="B773" s="6"/>
      <c r="C773" s="6"/>
      <c r="D773" s="82"/>
      <c r="E773" s="6"/>
      <c r="F773" s="6"/>
      <c r="G773" s="6"/>
      <c r="H773" s="82"/>
      <c r="I773" s="6"/>
      <c r="J773" s="6"/>
      <c r="K773" s="1"/>
      <c r="L773" s="1"/>
      <c r="M773" s="1"/>
      <c r="N773" s="1"/>
      <c r="O773" s="1"/>
      <c r="P773" s="1"/>
      <c r="Q773" s="1"/>
      <c r="R773" s="1"/>
      <c r="S773" s="1"/>
      <c r="T773" s="1"/>
      <c r="U773" s="1"/>
      <c r="V773" s="1"/>
      <c r="W773" s="1"/>
      <c r="X773" s="1"/>
      <c r="Y773" s="1"/>
      <c r="Z773" s="1"/>
    </row>
    <row r="774" spans="1:26" ht="15.75" customHeight="1" x14ac:dyDescent="0.3">
      <c r="A774" s="148"/>
      <c r="B774" s="6"/>
      <c r="C774" s="6"/>
      <c r="D774" s="82"/>
      <c r="E774" s="6"/>
      <c r="F774" s="6"/>
      <c r="G774" s="6"/>
      <c r="H774" s="82"/>
      <c r="I774" s="6"/>
      <c r="J774" s="6"/>
      <c r="K774" s="1"/>
      <c r="L774" s="1"/>
      <c r="M774" s="1"/>
      <c r="N774" s="1"/>
      <c r="O774" s="1"/>
      <c r="P774" s="1"/>
      <c r="Q774" s="1"/>
      <c r="R774" s="1"/>
      <c r="S774" s="1"/>
      <c r="T774" s="1"/>
      <c r="U774" s="1"/>
      <c r="V774" s="1"/>
      <c r="W774" s="1"/>
      <c r="X774" s="1"/>
      <c r="Y774" s="1"/>
      <c r="Z774" s="1"/>
    </row>
    <row r="775" spans="1:26" ht="15.75" customHeight="1" x14ac:dyDescent="0.3">
      <c r="A775" s="148"/>
      <c r="B775" s="6"/>
      <c r="C775" s="6"/>
      <c r="D775" s="82"/>
      <c r="E775" s="6"/>
      <c r="F775" s="6"/>
      <c r="G775" s="6"/>
      <c r="H775" s="82"/>
      <c r="I775" s="6"/>
      <c r="J775" s="6"/>
      <c r="K775" s="1"/>
      <c r="L775" s="1"/>
      <c r="M775" s="1"/>
      <c r="N775" s="1"/>
      <c r="O775" s="1"/>
      <c r="P775" s="1"/>
      <c r="Q775" s="1"/>
      <c r="R775" s="1"/>
      <c r="S775" s="1"/>
      <c r="T775" s="1"/>
      <c r="U775" s="1"/>
      <c r="V775" s="1"/>
      <c r="W775" s="1"/>
      <c r="X775" s="1"/>
      <c r="Y775" s="1"/>
      <c r="Z775" s="1"/>
    </row>
    <row r="776" spans="1:26" ht="15.75" customHeight="1" x14ac:dyDescent="0.3">
      <c r="A776" s="148"/>
      <c r="B776" s="6"/>
      <c r="C776" s="6"/>
      <c r="D776" s="82"/>
      <c r="E776" s="6"/>
      <c r="F776" s="6"/>
      <c r="G776" s="6"/>
      <c r="H776" s="82"/>
      <c r="I776" s="6"/>
      <c r="J776" s="6"/>
      <c r="K776" s="1"/>
      <c r="L776" s="1"/>
      <c r="M776" s="1"/>
      <c r="N776" s="1"/>
      <c r="O776" s="1"/>
      <c r="P776" s="1"/>
      <c r="Q776" s="1"/>
      <c r="R776" s="1"/>
      <c r="S776" s="1"/>
      <c r="T776" s="1"/>
      <c r="U776" s="1"/>
      <c r="V776" s="1"/>
      <c r="W776" s="1"/>
      <c r="X776" s="1"/>
      <c r="Y776" s="1"/>
      <c r="Z776" s="1"/>
    </row>
    <row r="777" spans="1:26" ht="15.75" customHeight="1" x14ac:dyDescent="0.3">
      <c r="A777" s="148"/>
      <c r="B777" s="6"/>
      <c r="C777" s="6"/>
      <c r="D777" s="82"/>
      <c r="E777" s="6"/>
      <c r="F777" s="6"/>
      <c r="G777" s="6"/>
      <c r="H777" s="82"/>
      <c r="I777" s="6"/>
      <c r="J777" s="6"/>
      <c r="K777" s="1"/>
      <c r="L777" s="1"/>
      <c r="M777" s="1"/>
      <c r="N777" s="1"/>
      <c r="O777" s="1"/>
      <c r="P777" s="1"/>
      <c r="Q777" s="1"/>
      <c r="R777" s="1"/>
      <c r="S777" s="1"/>
      <c r="T777" s="1"/>
      <c r="U777" s="1"/>
      <c r="V777" s="1"/>
      <c r="W777" s="1"/>
      <c r="X777" s="1"/>
      <c r="Y777" s="1"/>
      <c r="Z777" s="1"/>
    </row>
    <row r="778" spans="1:26" ht="15.75" customHeight="1" x14ac:dyDescent="0.3">
      <c r="A778" s="148"/>
      <c r="B778" s="6"/>
      <c r="C778" s="6"/>
      <c r="D778" s="82"/>
      <c r="E778" s="6"/>
      <c r="F778" s="6"/>
      <c r="G778" s="6"/>
      <c r="H778" s="82"/>
      <c r="I778" s="6"/>
      <c r="J778" s="6"/>
      <c r="K778" s="1"/>
      <c r="L778" s="1"/>
      <c r="M778" s="1"/>
      <c r="N778" s="1"/>
      <c r="O778" s="1"/>
      <c r="P778" s="1"/>
      <c r="Q778" s="1"/>
      <c r="R778" s="1"/>
      <c r="S778" s="1"/>
      <c r="T778" s="1"/>
      <c r="U778" s="1"/>
      <c r="V778" s="1"/>
      <c r="W778" s="1"/>
      <c r="X778" s="1"/>
      <c r="Y778" s="1"/>
      <c r="Z778" s="1"/>
    </row>
    <row r="779" spans="1:26" ht="15.75" customHeight="1" x14ac:dyDescent="0.3">
      <c r="A779" s="148"/>
      <c r="B779" s="6"/>
      <c r="C779" s="6"/>
      <c r="D779" s="82"/>
      <c r="E779" s="6"/>
      <c r="F779" s="6"/>
      <c r="G779" s="6"/>
      <c r="H779" s="82"/>
      <c r="I779" s="6"/>
      <c r="J779" s="6"/>
      <c r="K779" s="1"/>
      <c r="L779" s="1"/>
      <c r="M779" s="1"/>
      <c r="N779" s="1"/>
      <c r="O779" s="1"/>
      <c r="P779" s="1"/>
      <c r="Q779" s="1"/>
      <c r="R779" s="1"/>
      <c r="S779" s="1"/>
      <c r="T779" s="1"/>
      <c r="U779" s="1"/>
      <c r="V779" s="1"/>
      <c r="W779" s="1"/>
      <c r="X779" s="1"/>
      <c r="Y779" s="1"/>
      <c r="Z779" s="1"/>
    </row>
    <row r="780" spans="1:26" ht="15.75" customHeight="1" x14ac:dyDescent="0.3">
      <c r="A780" s="148"/>
      <c r="B780" s="6"/>
      <c r="C780" s="6"/>
      <c r="D780" s="82"/>
      <c r="E780" s="6"/>
      <c r="F780" s="6"/>
      <c r="G780" s="6"/>
      <c r="H780" s="82"/>
      <c r="I780" s="6"/>
      <c r="J780" s="6"/>
      <c r="K780" s="1"/>
      <c r="L780" s="1"/>
      <c r="M780" s="1"/>
      <c r="N780" s="1"/>
      <c r="O780" s="1"/>
      <c r="P780" s="1"/>
      <c r="Q780" s="1"/>
      <c r="R780" s="1"/>
      <c r="S780" s="1"/>
      <c r="T780" s="1"/>
      <c r="U780" s="1"/>
      <c r="V780" s="1"/>
      <c r="W780" s="1"/>
      <c r="X780" s="1"/>
      <c r="Y780" s="1"/>
      <c r="Z780" s="1"/>
    </row>
    <row r="781" spans="1:26" ht="15.75" customHeight="1" x14ac:dyDescent="0.3">
      <c r="A781" s="148"/>
      <c r="B781" s="6"/>
      <c r="C781" s="6"/>
      <c r="D781" s="82"/>
      <c r="E781" s="6"/>
      <c r="F781" s="6"/>
      <c r="G781" s="6"/>
      <c r="H781" s="82"/>
      <c r="I781" s="6"/>
      <c r="J781" s="6"/>
      <c r="K781" s="1"/>
      <c r="L781" s="1"/>
      <c r="M781" s="1"/>
      <c r="N781" s="1"/>
      <c r="O781" s="1"/>
      <c r="P781" s="1"/>
      <c r="Q781" s="1"/>
      <c r="R781" s="1"/>
      <c r="S781" s="1"/>
      <c r="T781" s="1"/>
      <c r="U781" s="1"/>
      <c r="V781" s="1"/>
      <c r="W781" s="1"/>
      <c r="X781" s="1"/>
      <c r="Y781" s="1"/>
      <c r="Z781" s="1"/>
    </row>
    <row r="782" spans="1:26" ht="15.75" customHeight="1" x14ac:dyDescent="0.3">
      <c r="A782" s="148"/>
      <c r="B782" s="6"/>
      <c r="C782" s="6"/>
      <c r="D782" s="82"/>
      <c r="E782" s="6"/>
      <c r="F782" s="6"/>
      <c r="G782" s="6"/>
      <c r="H782" s="82"/>
      <c r="I782" s="6"/>
      <c r="J782" s="6"/>
      <c r="K782" s="1"/>
      <c r="L782" s="1"/>
      <c r="M782" s="1"/>
      <c r="N782" s="1"/>
      <c r="O782" s="1"/>
      <c r="P782" s="1"/>
      <c r="Q782" s="1"/>
      <c r="R782" s="1"/>
      <c r="S782" s="1"/>
      <c r="T782" s="1"/>
      <c r="U782" s="1"/>
      <c r="V782" s="1"/>
      <c r="W782" s="1"/>
      <c r="X782" s="1"/>
      <c r="Y782" s="1"/>
      <c r="Z782" s="1"/>
    </row>
    <row r="783" spans="1:26" ht="15.75" customHeight="1" x14ac:dyDescent="0.3">
      <c r="A783" s="148"/>
      <c r="B783" s="6"/>
      <c r="C783" s="6"/>
      <c r="D783" s="82"/>
      <c r="E783" s="6"/>
      <c r="F783" s="6"/>
      <c r="G783" s="6"/>
      <c r="H783" s="82"/>
      <c r="I783" s="6"/>
      <c r="J783" s="6"/>
      <c r="K783" s="1"/>
      <c r="L783" s="1"/>
      <c r="M783" s="1"/>
      <c r="N783" s="1"/>
      <c r="O783" s="1"/>
      <c r="P783" s="1"/>
      <c r="Q783" s="1"/>
      <c r="R783" s="1"/>
      <c r="S783" s="1"/>
      <c r="T783" s="1"/>
      <c r="U783" s="1"/>
      <c r="V783" s="1"/>
      <c r="W783" s="1"/>
      <c r="X783" s="1"/>
      <c r="Y783" s="1"/>
      <c r="Z783" s="1"/>
    </row>
    <row r="784" spans="1:26" ht="15.75" customHeight="1" x14ac:dyDescent="0.3">
      <c r="A784" s="148"/>
      <c r="B784" s="6"/>
      <c r="C784" s="6"/>
      <c r="D784" s="82"/>
      <c r="E784" s="6"/>
      <c r="F784" s="6"/>
      <c r="G784" s="6"/>
      <c r="H784" s="82"/>
      <c r="I784" s="6"/>
      <c r="J784" s="6"/>
      <c r="K784" s="1"/>
      <c r="L784" s="1"/>
      <c r="M784" s="1"/>
      <c r="N784" s="1"/>
      <c r="O784" s="1"/>
      <c r="P784" s="1"/>
      <c r="Q784" s="1"/>
      <c r="R784" s="1"/>
      <c r="S784" s="1"/>
      <c r="T784" s="1"/>
      <c r="U784" s="1"/>
      <c r="V784" s="1"/>
      <c r="W784" s="1"/>
      <c r="X784" s="1"/>
      <c r="Y784" s="1"/>
      <c r="Z784" s="1"/>
    </row>
    <row r="785" spans="1:26" ht="15.75" customHeight="1" x14ac:dyDescent="0.3">
      <c r="A785" s="148"/>
      <c r="B785" s="6"/>
      <c r="C785" s="6"/>
      <c r="D785" s="82"/>
      <c r="E785" s="6"/>
      <c r="F785" s="6"/>
      <c r="G785" s="6"/>
      <c r="H785" s="82"/>
      <c r="I785" s="6"/>
      <c r="J785" s="6"/>
      <c r="K785" s="1"/>
      <c r="L785" s="1"/>
      <c r="M785" s="1"/>
      <c r="N785" s="1"/>
      <c r="O785" s="1"/>
      <c r="P785" s="1"/>
      <c r="Q785" s="1"/>
      <c r="R785" s="1"/>
      <c r="S785" s="1"/>
      <c r="T785" s="1"/>
      <c r="U785" s="1"/>
      <c r="V785" s="1"/>
      <c r="W785" s="1"/>
      <c r="X785" s="1"/>
      <c r="Y785" s="1"/>
      <c r="Z785" s="1"/>
    </row>
    <row r="786" spans="1:26" ht="15.75" customHeight="1" x14ac:dyDescent="0.3">
      <c r="A786" s="148"/>
      <c r="B786" s="6"/>
      <c r="C786" s="6"/>
      <c r="D786" s="82"/>
      <c r="E786" s="6"/>
      <c r="F786" s="6"/>
      <c r="G786" s="6"/>
      <c r="H786" s="82"/>
      <c r="I786" s="6"/>
      <c r="J786" s="6"/>
      <c r="K786" s="1"/>
      <c r="L786" s="1"/>
      <c r="M786" s="1"/>
      <c r="N786" s="1"/>
      <c r="O786" s="1"/>
      <c r="P786" s="1"/>
      <c r="Q786" s="1"/>
      <c r="R786" s="1"/>
      <c r="S786" s="1"/>
      <c r="T786" s="1"/>
      <c r="U786" s="1"/>
      <c r="V786" s="1"/>
      <c r="W786" s="1"/>
      <c r="X786" s="1"/>
      <c r="Y786" s="1"/>
      <c r="Z786" s="1"/>
    </row>
    <row r="787" spans="1:26" ht="15.75" customHeight="1" x14ac:dyDescent="0.3">
      <c r="A787" s="148"/>
      <c r="B787" s="6"/>
      <c r="C787" s="6"/>
      <c r="D787" s="82"/>
      <c r="E787" s="6"/>
      <c r="F787" s="6"/>
      <c r="G787" s="6"/>
      <c r="H787" s="82"/>
      <c r="I787" s="6"/>
      <c r="J787" s="6"/>
      <c r="K787" s="1"/>
      <c r="L787" s="1"/>
      <c r="M787" s="1"/>
      <c r="N787" s="1"/>
      <c r="O787" s="1"/>
      <c r="P787" s="1"/>
      <c r="Q787" s="1"/>
      <c r="R787" s="1"/>
      <c r="S787" s="1"/>
      <c r="T787" s="1"/>
      <c r="U787" s="1"/>
      <c r="V787" s="1"/>
      <c r="W787" s="1"/>
      <c r="X787" s="1"/>
      <c r="Y787" s="1"/>
      <c r="Z787" s="1"/>
    </row>
    <row r="788" spans="1:26" ht="15.75" customHeight="1" x14ac:dyDescent="0.3">
      <c r="A788" s="148"/>
      <c r="B788" s="6"/>
      <c r="C788" s="6"/>
      <c r="D788" s="82"/>
      <c r="E788" s="6"/>
      <c r="F788" s="6"/>
      <c r="G788" s="6"/>
      <c r="H788" s="82"/>
      <c r="I788" s="6"/>
      <c r="J788" s="6"/>
      <c r="K788" s="1"/>
      <c r="L788" s="1"/>
      <c r="M788" s="1"/>
      <c r="N788" s="1"/>
      <c r="O788" s="1"/>
      <c r="P788" s="1"/>
      <c r="Q788" s="1"/>
      <c r="R788" s="1"/>
      <c r="S788" s="1"/>
      <c r="T788" s="1"/>
      <c r="U788" s="1"/>
      <c r="V788" s="1"/>
      <c r="W788" s="1"/>
      <c r="X788" s="1"/>
      <c r="Y788" s="1"/>
      <c r="Z788" s="1"/>
    </row>
    <row r="789" spans="1:26" ht="15.75" customHeight="1" x14ac:dyDescent="0.3">
      <c r="A789" s="148"/>
      <c r="B789" s="6"/>
      <c r="C789" s="6"/>
      <c r="D789" s="82"/>
      <c r="E789" s="6"/>
      <c r="F789" s="6"/>
      <c r="G789" s="6"/>
      <c r="H789" s="82"/>
      <c r="I789" s="6"/>
      <c r="J789" s="6"/>
      <c r="K789" s="1"/>
      <c r="L789" s="1"/>
      <c r="M789" s="1"/>
      <c r="N789" s="1"/>
      <c r="O789" s="1"/>
      <c r="P789" s="1"/>
      <c r="Q789" s="1"/>
      <c r="R789" s="1"/>
      <c r="S789" s="1"/>
      <c r="T789" s="1"/>
      <c r="U789" s="1"/>
      <c r="V789" s="1"/>
      <c r="W789" s="1"/>
      <c r="X789" s="1"/>
      <c r="Y789" s="1"/>
      <c r="Z789" s="1"/>
    </row>
    <row r="790" spans="1:26" ht="15.75" customHeight="1" x14ac:dyDescent="0.3">
      <c r="A790" s="148"/>
      <c r="B790" s="6"/>
      <c r="C790" s="6"/>
      <c r="D790" s="82"/>
      <c r="E790" s="6"/>
      <c r="F790" s="6"/>
      <c r="G790" s="6"/>
      <c r="H790" s="82"/>
      <c r="I790" s="6"/>
      <c r="J790" s="6"/>
      <c r="K790" s="1"/>
      <c r="L790" s="1"/>
      <c r="M790" s="1"/>
      <c r="N790" s="1"/>
      <c r="O790" s="1"/>
      <c r="P790" s="1"/>
      <c r="Q790" s="1"/>
      <c r="R790" s="1"/>
      <c r="S790" s="1"/>
      <c r="T790" s="1"/>
      <c r="U790" s="1"/>
      <c r="V790" s="1"/>
      <c r="W790" s="1"/>
      <c r="X790" s="1"/>
      <c r="Y790" s="1"/>
      <c r="Z790" s="1"/>
    </row>
    <row r="791" spans="1:26" ht="15.75" customHeight="1" x14ac:dyDescent="0.3">
      <c r="A791" s="148"/>
      <c r="B791" s="6"/>
      <c r="C791" s="6"/>
      <c r="D791" s="82"/>
      <c r="E791" s="6"/>
      <c r="F791" s="6"/>
      <c r="G791" s="6"/>
      <c r="H791" s="82"/>
      <c r="I791" s="6"/>
      <c r="J791" s="6"/>
      <c r="K791" s="1"/>
      <c r="L791" s="1"/>
      <c r="M791" s="1"/>
      <c r="N791" s="1"/>
      <c r="O791" s="1"/>
      <c r="P791" s="1"/>
      <c r="Q791" s="1"/>
      <c r="R791" s="1"/>
      <c r="S791" s="1"/>
      <c r="T791" s="1"/>
      <c r="U791" s="1"/>
      <c r="V791" s="1"/>
      <c r="W791" s="1"/>
      <c r="X791" s="1"/>
      <c r="Y791" s="1"/>
      <c r="Z791" s="1"/>
    </row>
    <row r="792" spans="1:26" ht="15.75" customHeight="1" x14ac:dyDescent="0.3">
      <c r="A792" s="148"/>
      <c r="B792" s="6"/>
      <c r="C792" s="6"/>
      <c r="D792" s="82"/>
      <c r="E792" s="6"/>
      <c r="F792" s="6"/>
      <c r="G792" s="6"/>
      <c r="H792" s="82"/>
      <c r="I792" s="6"/>
      <c r="J792" s="6"/>
      <c r="K792" s="1"/>
      <c r="L792" s="1"/>
      <c r="M792" s="1"/>
      <c r="N792" s="1"/>
      <c r="O792" s="1"/>
      <c r="P792" s="1"/>
      <c r="Q792" s="1"/>
      <c r="R792" s="1"/>
      <c r="S792" s="1"/>
      <c r="T792" s="1"/>
      <c r="U792" s="1"/>
      <c r="V792" s="1"/>
      <c r="W792" s="1"/>
      <c r="X792" s="1"/>
      <c r="Y792" s="1"/>
      <c r="Z792" s="1"/>
    </row>
    <row r="793" spans="1:26" ht="15.75" customHeight="1" x14ac:dyDescent="0.3">
      <c r="A793" s="148"/>
      <c r="B793" s="6"/>
      <c r="C793" s="6"/>
      <c r="D793" s="82"/>
      <c r="E793" s="6"/>
      <c r="F793" s="6"/>
      <c r="G793" s="6"/>
      <c r="H793" s="82"/>
      <c r="I793" s="6"/>
      <c r="J793" s="6"/>
      <c r="K793" s="1"/>
      <c r="L793" s="1"/>
      <c r="M793" s="1"/>
      <c r="N793" s="1"/>
      <c r="O793" s="1"/>
      <c r="P793" s="1"/>
      <c r="Q793" s="1"/>
      <c r="R793" s="1"/>
      <c r="S793" s="1"/>
      <c r="T793" s="1"/>
      <c r="U793" s="1"/>
      <c r="V793" s="1"/>
      <c r="W793" s="1"/>
      <c r="X793" s="1"/>
      <c r="Y793" s="1"/>
      <c r="Z793" s="1"/>
    </row>
    <row r="794" spans="1:26" ht="15.75" customHeight="1" x14ac:dyDescent="0.3">
      <c r="A794" s="148"/>
      <c r="B794" s="6"/>
      <c r="C794" s="6"/>
      <c r="D794" s="82"/>
      <c r="E794" s="6"/>
      <c r="F794" s="6"/>
      <c r="G794" s="6"/>
      <c r="H794" s="82"/>
      <c r="I794" s="6"/>
      <c r="J794" s="6"/>
      <c r="K794" s="1"/>
      <c r="L794" s="1"/>
      <c r="M794" s="1"/>
      <c r="N794" s="1"/>
      <c r="O794" s="1"/>
      <c r="P794" s="1"/>
      <c r="Q794" s="1"/>
      <c r="R794" s="1"/>
      <c r="S794" s="1"/>
      <c r="T794" s="1"/>
      <c r="U794" s="1"/>
      <c r="V794" s="1"/>
      <c r="W794" s="1"/>
      <c r="X794" s="1"/>
      <c r="Y794" s="1"/>
      <c r="Z794" s="1"/>
    </row>
    <row r="795" spans="1:26" ht="15.75" customHeight="1" x14ac:dyDescent="0.3">
      <c r="A795" s="148"/>
      <c r="B795" s="6"/>
      <c r="C795" s="6"/>
      <c r="D795" s="82"/>
      <c r="E795" s="6"/>
      <c r="F795" s="6"/>
      <c r="G795" s="6"/>
      <c r="H795" s="82"/>
      <c r="I795" s="6"/>
      <c r="J795" s="6"/>
      <c r="K795" s="1"/>
      <c r="L795" s="1"/>
      <c r="M795" s="1"/>
      <c r="N795" s="1"/>
      <c r="O795" s="1"/>
      <c r="P795" s="1"/>
      <c r="Q795" s="1"/>
      <c r="R795" s="1"/>
      <c r="S795" s="1"/>
      <c r="T795" s="1"/>
      <c r="U795" s="1"/>
      <c r="V795" s="1"/>
      <c r="W795" s="1"/>
      <c r="X795" s="1"/>
      <c r="Y795" s="1"/>
      <c r="Z795" s="1"/>
    </row>
    <row r="796" spans="1:26" ht="15.75" customHeight="1" x14ac:dyDescent="0.3">
      <c r="A796" s="148"/>
      <c r="B796" s="6"/>
      <c r="C796" s="6"/>
      <c r="D796" s="82"/>
      <c r="E796" s="6"/>
      <c r="F796" s="6"/>
      <c r="G796" s="6"/>
      <c r="H796" s="82"/>
      <c r="I796" s="6"/>
      <c r="J796" s="6"/>
      <c r="K796" s="1"/>
      <c r="L796" s="1"/>
      <c r="M796" s="1"/>
      <c r="N796" s="1"/>
      <c r="O796" s="1"/>
      <c r="P796" s="1"/>
      <c r="Q796" s="1"/>
      <c r="R796" s="1"/>
      <c r="S796" s="1"/>
      <c r="T796" s="1"/>
      <c r="U796" s="1"/>
      <c r="V796" s="1"/>
      <c r="W796" s="1"/>
      <c r="X796" s="1"/>
      <c r="Y796" s="1"/>
      <c r="Z796" s="1"/>
    </row>
    <row r="797" spans="1:26" ht="15.75" customHeight="1" x14ac:dyDescent="0.3">
      <c r="A797" s="148"/>
      <c r="B797" s="6"/>
      <c r="C797" s="6"/>
      <c r="D797" s="82"/>
      <c r="E797" s="6"/>
      <c r="F797" s="6"/>
      <c r="G797" s="6"/>
      <c r="H797" s="82"/>
      <c r="I797" s="6"/>
      <c r="J797" s="6"/>
      <c r="K797" s="1"/>
      <c r="L797" s="1"/>
      <c r="M797" s="1"/>
      <c r="N797" s="1"/>
      <c r="O797" s="1"/>
      <c r="P797" s="1"/>
      <c r="Q797" s="1"/>
      <c r="R797" s="1"/>
      <c r="S797" s="1"/>
      <c r="T797" s="1"/>
      <c r="U797" s="1"/>
      <c r="V797" s="1"/>
      <c r="W797" s="1"/>
      <c r="X797" s="1"/>
      <c r="Y797" s="1"/>
      <c r="Z797" s="1"/>
    </row>
    <row r="798" spans="1:26" ht="15.75" customHeight="1" x14ac:dyDescent="0.3">
      <c r="A798" s="148"/>
      <c r="B798" s="6"/>
      <c r="C798" s="6"/>
      <c r="D798" s="82"/>
      <c r="E798" s="6"/>
      <c r="F798" s="6"/>
      <c r="G798" s="6"/>
      <c r="H798" s="82"/>
      <c r="I798" s="6"/>
      <c r="J798" s="6"/>
      <c r="K798" s="1"/>
      <c r="L798" s="1"/>
      <c r="M798" s="1"/>
      <c r="N798" s="1"/>
      <c r="O798" s="1"/>
      <c r="P798" s="1"/>
      <c r="Q798" s="1"/>
      <c r="R798" s="1"/>
      <c r="S798" s="1"/>
      <c r="T798" s="1"/>
      <c r="U798" s="1"/>
      <c r="V798" s="1"/>
      <c r="W798" s="1"/>
      <c r="X798" s="1"/>
      <c r="Y798" s="1"/>
      <c r="Z798" s="1"/>
    </row>
    <row r="799" spans="1:26" ht="15.75" customHeight="1" x14ac:dyDescent="0.3">
      <c r="A799" s="148"/>
      <c r="B799" s="6"/>
      <c r="C799" s="6"/>
      <c r="D799" s="82"/>
      <c r="E799" s="6"/>
      <c r="F799" s="6"/>
      <c r="G799" s="6"/>
      <c r="H799" s="82"/>
      <c r="I799" s="6"/>
      <c r="J799" s="6"/>
      <c r="K799" s="1"/>
      <c r="L799" s="1"/>
      <c r="M799" s="1"/>
      <c r="N799" s="1"/>
      <c r="O799" s="1"/>
      <c r="P799" s="1"/>
      <c r="Q799" s="1"/>
      <c r="R799" s="1"/>
      <c r="S799" s="1"/>
      <c r="T799" s="1"/>
      <c r="U799" s="1"/>
      <c r="V799" s="1"/>
      <c r="W799" s="1"/>
      <c r="X799" s="1"/>
      <c r="Y799" s="1"/>
      <c r="Z799" s="1"/>
    </row>
    <row r="800" spans="1:26" ht="15.75" customHeight="1" x14ac:dyDescent="0.3">
      <c r="A800" s="148"/>
      <c r="B800" s="6"/>
      <c r="C800" s="6"/>
      <c r="D800" s="82"/>
      <c r="E800" s="6"/>
      <c r="F800" s="6"/>
      <c r="G800" s="6"/>
      <c r="H800" s="82"/>
      <c r="I800" s="6"/>
      <c r="J800" s="6"/>
      <c r="K800" s="1"/>
      <c r="L800" s="1"/>
      <c r="M800" s="1"/>
      <c r="N800" s="1"/>
      <c r="O800" s="1"/>
      <c r="P800" s="1"/>
      <c r="Q800" s="1"/>
      <c r="R800" s="1"/>
      <c r="S800" s="1"/>
      <c r="T800" s="1"/>
      <c r="U800" s="1"/>
      <c r="V800" s="1"/>
      <c r="W800" s="1"/>
      <c r="X800" s="1"/>
      <c r="Y800" s="1"/>
      <c r="Z800" s="1"/>
    </row>
    <row r="801" spans="1:26" ht="15.75" customHeight="1" x14ac:dyDescent="0.3">
      <c r="A801" s="148"/>
      <c r="B801" s="6"/>
      <c r="C801" s="6"/>
      <c r="D801" s="82"/>
      <c r="E801" s="6"/>
      <c r="F801" s="6"/>
      <c r="G801" s="6"/>
      <c r="H801" s="82"/>
      <c r="I801" s="6"/>
      <c r="J801" s="6"/>
      <c r="K801" s="1"/>
      <c r="L801" s="1"/>
      <c r="M801" s="1"/>
      <c r="N801" s="1"/>
      <c r="O801" s="1"/>
      <c r="P801" s="1"/>
      <c r="Q801" s="1"/>
      <c r="R801" s="1"/>
      <c r="S801" s="1"/>
      <c r="T801" s="1"/>
      <c r="U801" s="1"/>
      <c r="V801" s="1"/>
      <c r="W801" s="1"/>
      <c r="X801" s="1"/>
      <c r="Y801" s="1"/>
      <c r="Z801" s="1"/>
    </row>
    <row r="802" spans="1:26" ht="15.75" customHeight="1" x14ac:dyDescent="0.3">
      <c r="A802" s="148"/>
      <c r="B802" s="6"/>
      <c r="C802" s="6"/>
      <c r="D802" s="82"/>
      <c r="E802" s="6"/>
      <c r="F802" s="6"/>
      <c r="G802" s="6"/>
      <c r="H802" s="82"/>
      <c r="I802" s="6"/>
      <c r="J802" s="6"/>
      <c r="K802" s="1"/>
      <c r="L802" s="1"/>
      <c r="M802" s="1"/>
      <c r="N802" s="1"/>
      <c r="O802" s="1"/>
      <c r="P802" s="1"/>
      <c r="Q802" s="1"/>
      <c r="R802" s="1"/>
      <c r="S802" s="1"/>
      <c r="T802" s="1"/>
      <c r="U802" s="1"/>
      <c r="V802" s="1"/>
      <c r="W802" s="1"/>
      <c r="X802" s="1"/>
      <c r="Y802" s="1"/>
      <c r="Z802" s="1"/>
    </row>
    <row r="803" spans="1:26" ht="15.75" customHeight="1" x14ac:dyDescent="0.3">
      <c r="A803" s="148"/>
      <c r="B803" s="6"/>
      <c r="C803" s="6"/>
      <c r="D803" s="82"/>
      <c r="E803" s="6"/>
      <c r="F803" s="6"/>
      <c r="G803" s="6"/>
      <c r="H803" s="82"/>
      <c r="I803" s="6"/>
      <c r="J803" s="6"/>
      <c r="K803" s="1"/>
      <c r="L803" s="1"/>
      <c r="M803" s="1"/>
      <c r="N803" s="1"/>
      <c r="O803" s="1"/>
      <c r="P803" s="1"/>
      <c r="Q803" s="1"/>
      <c r="R803" s="1"/>
      <c r="S803" s="1"/>
      <c r="T803" s="1"/>
      <c r="U803" s="1"/>
      <c r="V803" s="1"/>
      <c r="W803" s="1"/>
      <c r="X803" s="1"/>
      <c r="Y803" s="1"/>
      <c r="Z803" s="1"/>
    </row>
    <row r="804" spans="1:26" ht="15.75" customHeight="1" x14ac:dyDescent="0.3">
      <c r="A804" s="148"/>
      <c r="B804" s="6"/>
      <c r="C804" s="6"/>
      <c r="D804" s="82"/>
      <c r="E804" s="6"/>
      <c r="F804" s="6"/>
      <c r="G804" s="6"/>
      <c r="H804" s="82"/>
      <c r="I804" s="6"/>
      <c r="J804" s="6"/>
      <c r="K804" s="1"/>
      <c r="L804" s="1"/>
      <c r="M804" s="1"/>
      <c r="N804" s="1"/>
      <c r="O804" s="1"/>
      <c r="P804" s="1"/>
      <c r="Q804" s="1"/>
      <c r="R804" s="1"/>
      <c r="S804" s="1"/>
      <c r="T804" s="1"/>
      <c r="U804" s="1"/>
      <c r="V804" s="1"/>
      <c r="W804" s="1"/>
      <c r="X804" s="1"/>
      <c r="Y804" s="1"/>
      <c r="Z804" s="1"/>
    </row>
    <row r="805" spans="1:26" ht="15.75" customHeight="1" x14ac:dyDescent="0.3">
      <c r="A805" s="148"/>
      <c r="B805" s="6"/>
      <c r="C805" s="6"/>
      <c r="D805" s="82"/>
      <c r="E805" s="6"/>
      <c r="F805" s="6"/>
      <c r="G805" s="6"/>
      <c r="H805" s="82"/>
      <c r="I805" s="6"/>
      <c r="J805" s="6"/>
      <c r="K805" s="1"/>
      <c r="L805" s="1"/>
      <c r="M805" s="1"/>
      <c r="N805" s="1"/>
      <c r="O805" s="1"/>
      <c r="P805" s="1"/>
      <c r="Q805" s="1"/>
      <c r="R805" s="1"/>
      <c r="S805" s="1"/>
      <c r="T805" s="1"/>
      <c r="U805" s="1"/>
      <c r="V805" s="1"/>
      <c r="W805" s="1"/>
      <c r="X805" s="1"/>
      <c r="Y805" s="1"/>
      <c r="Z805" s="1"/>
    </row>
    <row r="806" spans="1:26" ht="15.75" customHeight="1" x14ac:dyDescent="0.3">
      <c r="A806" s="148"/>
      <c r="B806" s="6"/>
      <c r="C806" s="6"/>
      <c r="D806" s="82"/>
      <c r="E806" s="6"/>
      <c r="F806" s="6"/>
      <c r="G806" s="6"/>
      <c r="H806" s="82"/>
      <c r="I806" s="6"/>
      <c r="J806" s="6"/>
      <c r="K806" s="1"/>
      <c r="L806" s="1"/>
      <c r="M806" s="1"/>
      <c r="N806" s="1"/>
      <c r="O806" s="1"/>
      <c r="P806" s="1"/>
      <c r="Q806" s="1"/>
      <c r="R806" s="1"/>
      <c r="S806" s="1"/>
      <c r="T806" s="1"/>
      <c r="U806" s="1"/>
      <c r="V806" s="1"/>
      <c r="W806" s="1"/>
      <c r="X806" s="1"/>
      <c r="Y806" s="1"/>
      <c r="Z806" s="1"/>
    </row>
    <row r="807" spans="1:26" ht="15.75" customHeight="1" x14ac:dyDescent="0.3">
      <c r="A807" s="148"/>
      <c r="B807" s="6"/>
      <c r="C807" s="6"/>
      <c r="D807" s="82"/>
      <c r="E807" s="6"/>
      <c r="F807" s="6"/>
      <c r="G807" s="6"/>
      <c r="H807" s="82"/>
      <c r="I807" s="6"/>
      <c r="J807" s="6"/>
      <c r="K807" s="1"/>
      <c r="L807" s="1"/>
      <c r="M807" s="1"/>
      <c r="N807" s="1"/>
      <c r="O807" s="1"/>
      <c r="P807" s="1"/>
      <c r="Q807" s="1"/>
      <c r="R807" s="1"/>
      <c r="S807" s="1"/>
      <c r="T807" s="1"/>
      <c r="U807" s="1"/>
      <c r="V807" s="1"/>
      <c r="W807" s="1"/>
      <c r="X807" s="1"/>
      <c r="Y807" s="1"/>
      <c r="Z807" s="1"/>
    </row>
    <row r="808" spans="1:26" ht="15.75" customHeight="1" x14ac:dyDescent="0.3">
      <c r="A808" s="148"/>
      <c r="B808" s="6"/>
      <c r="C808" s="6"/>
      <c r="D808" s="82"/>
      <c r="E808" s="6"/>
      <c r="F808" s="6"/>
      <c r="G808" s="6"/>
      <c r="H808" s="82"/>
      <c r="I808" s="6"/>
      <c r="J808" s="6"/>
      <c r="K808" s="1"/>
      <c r="L808" s="1"/>
      <c r="M808" s="1"/>
      <c r="N808" s="1"/>
      <c r="O808" s="1"/>
      <c r="P808" s="1"/>
      <c r="Q808" s="1"/>
      <c r="R808" s="1"/>
      <c r="S808" s="1"/>
      <c r="T808" s="1"/>
      <c r="U808" s="1"/>
      <c r="V808" s="1"/>
      <c r="W808" s="1"/>
      <c r="X808" s="1"/>
      <c r="Y808" s="1"/>
      <c r="Z808" s="1"/>
    </row>
    <row r="809" spans="1:26" ht="15.75" customHeight="1" x14ac:dyDescent="0.3">
      <c r="A809" s="148"/>
      <c r="B809" s="6"/>
      <c r="C809" s="6"/>
      <c r="D809" s="82"/>
      <c r="E809" s="6"/>
      <c r="F809" s="6"/>
      <c r="G809" s="6"/>
      <c r="H809" s="82"/>
      <c r="I809" s="6"/>
      <c r="J809" s="6"/>
      <c r="K809" s="1"/>
      <c r="L809" s="1"/>
      <c r="M809" s="1"/>
      <c r="N809" s="1"/>
      <c r="O809" s="1"/>
      <c r="P809" s="1"/>
      <c r="Q809" s="1"/>
      <c r="R809" s="1"/>
      <c r="S809" s="1"/>
      <c r="T809" s="1"/>
      <c r="U809" s="1"/>
      <c r="V809" s="1"/>
      <c r="W809" s="1"/>
      <c r="X809" s="1"/>
      <c r="Y809" s="1"/>
      <c r="Z809" s="1"/>
    </row>
    <row r="810" spans="1:26" ht="15.75" customHeight="1" x14ac:dyDescent="0.3">
      <c r="A810" s="148"/>
      <c r="B810" s="6"/>
      <c r="C810" s="6"/>
      <c r="D810" s="82"/>
      <c r="E810" s="6"/>
      <c r="F810" s="6"/>
      <c r="G810" s="6"/>
      <c r="H810" s="82"/>
      <c r="I810" s="6"/>
      <c r="J810" s="6"/>
      <c r="K810" s="1"/>
      <c r="L810" s="1"/>
      <c r="M810" s="1"/>
      <c r="N810" s="1"/>
      <c r="O810" s="1"/>
      <c r="P810" s="1"/>
      <c r="Q810" s="1"/>
      <c r="R810" s="1"/>
      <c r="S810" s="1"/>
      <c r="T810" s="1"/>
      <c r="U810" s="1"/>
      <c r="V810" s="1"/>
      <c r="W810" s="1"/>
      <c r="X810" s="1"/>
      <c r="Y810" s="1"/>
      <c r="Z810" s="1"/>
    </row>
    <row r="811" spans="1:26" ht="15.75" customHeight="1" x14ac:dyDescent="0.3">
      <c r="A811" s="148"/>
      <c r="B811" s="6"/>
      <c r="C811" s="6"/>
      <c r="D811" s="82"/>
      <c r="E811" s="6"/>
      <c r="F811" s="6"/>
      <c r="G811" s="6"/>
      <c r="H811" s="82"/>
      <c r="I811" s="6"/>
      <c r="J811" s="6"/>
      <c r="K811" s="1"/>
      <c r="L811" s="1"/>
      <c r="M811" s="1"/>
      <c r="N811" s="1"/>
      <c r="O811" s="1"/>
      <c r="P811" s="1"/>
      <c r="Q811" s="1"/>
      <c r="R811" s="1"/>
      <c r="S811" s="1"/>
      <c r="T811" s="1"/>
      <c r="U811" s="1"/>
      <c r="V811" s="1"/>
      <c r="W811" s="1"/>
      <c r="X811" s="1"/>
      <c r="Y811" s="1"/>
      <c r="Z811" s="1"/>
    </row>
    <row r="812" spans="1:26" ht="15.75" customHeight="1" x14ac:dyDescent="0.3">
      <c r="A812" s="148"/>
      <c r="B812" s="6"/>
      <c r="C812" s="6"/>
      <c r="D812" s="82"/>
      <c r="E812" s="6"/>
      <c r="F812" s="6"/>
      <c r="G812" s="6"/>
      <c r="H812" s="82"/>
      <c r="I812" s="6"/>
      <c r="J812" s="6"/>
      <c r="K812" s="1"/>
      <c r="L812" s="1"/>
      <c r="M812" s="1"/>
      <c r="N812" s="1"/>
      <c r="O812" s="1"/>
      <c r="P812" s="1"/>
      <c r="Q812" s="1"/>
      <c r="R812" s="1"/>
      <c r="S812" s="1"/>
      <c r="T812" s="1"/>
      <c r="U812" s="1"/>
      <c r="V812" s="1"/>
      <c r="W812" s="1"/>
      <c r="X812" s="1"/>
      <c r="Y812" s="1"/>
      <c r="Z812" s="1"/>
    </row>
    <row r="813" spans="1:26" ht="15.75" customHeight="1" x14ac:dyDescent="0.3">
      <c r="A813" s="148"/>
      <c r="B813" s="6"/>
      <c r="C813" s="6"/>
      <c r="D813" s="82"/>
      <c r="E813" s="6"/>
      <c r="F813" s="6"/>
      <c r="G813" s="6"/>
      <c r="H813" s="82"/>
      <c r="I813" s="6"/>
      <c r="J813" s="6"/>
      <c r="K813" s="1"/>
      <c r="L813" s="1"/>
      <c r="M813" s="1"/>
      <c r="N813" s="1"/>
      <c r="O813" s="1"/>
      <c r="P813" s="1"/>
      <c r="Q813" s="1"/>
      <c r="R813" s="1"/>
      <c r="S813" s="1"/>
      <c r="T813" s="1"/>
      <c r="U813" s="1"/>
      <c r="V813" s="1"/>
      <c r="W813" s="1"/>
      <c r="X813" s="1"/>
      <c r="Y813" s="1"/>
      <c r="Z813" s="1"/>
    </row>
    <row r="814" spans="1:26" ht="15.75" customHeight="1" x14ac:dyDescent="0.3">
      <c r="A814" s="148"/>
      <c r="B814" s="6"/>
      <c r="C814" s="6"/>
      <c r="D814" s="82"/>
      <c r="E814" s="6"/>
      <c r="F814" s="6"/>
      <c r="G814" s="6"/>
      <c r="H814" s="82"/>
      <c r="I814" s="6"/>
      <c r="J814" s="6"/>
      <c r="K814" s="1"/>
      <c r="L814" s="1"/>
      <c r="M814" s="1"/>
      <c r="N814" s="1"/>
      <c r="O814" s="1"/>
      <c r="P814" s="1"/>
      <c r="Q814" s="1"/>
      <c r="R814" s="1"/>
      <c r="S814" s="1"/>
      <c r="T814" s="1"/>
      <c r="U814" s="1"/>
      <c r="V814" s="1"/>
      <c r="W814" s="1"/>
      <c r="X814" s="1"/>
      <c r="Y814" s="1"/>
      <c r="Z814" s="1"/>
    </row>
    <row r="815" spans="1:26" ht="15.75" customHeight="1" x14ac:dyDescent="0.3">
      <c r="A815" s="148"/>
      <c r="B815" s="6"/>
      <c r="C815" s="6"/>
      <c r="D815" s="82"/>
      <c r="E815" s="6"/>
      <c r="F815" s="6"/>
      <c r="G815" s="6"/>
      <c r="H815" s="82"/>
      <c r="I815" s="6"/>
      <c r="J815" s="6"/>
      <c r="K815" s="1"/>
      <c r="L815" s="1"/>
      <c r="M815" s="1"/>
      <c r="N815" s="1"/>
      <c r="O815" s="1"/>
      <c r="P815" s="1"/>
      <c r="Q815" s="1"/>
      <c r="R815" s="1"/>
      <c r="S815" s="1"/>
      <c r="T815" s="1"/>
      <c r="U815" s="1"/>
      <c r="V815" s="1"/>
      <c r="W815" s="1"/>
      <c r="X815" s="1"/>
      <c r="Y815" s="1"/>
      <c r="Z815" s="1"/>
    </row>
    <row r="816" spans="1:26" ht="15.75" customHeight="1" x14ac:dyDescent="0.3">
      <c r="A816" s="148"/>
      <c r="B816" s="6"/>
      <c r="C816" s="6"/>
      <c r="D816" s="82"/>
      <c r="E816" s="6"/>
      <c r="F816" s="6"/>
      <c r="G816" s="6"/>
      <c r="H816" s="82"/>
      <c r="I816" s="6"/>
      <c r="J816" s="6"/>
      <c r="K816" s="1"/>
      <c r="L816" s="1"/>
      <c r="M816" s="1"/>
      <c r="N816" s="1"/>
      <c r="O816" s="1"/>
      <c r="P816" s="1"/>
      <c r="Q816" s="1"/>
      <c r="R816" s="1"/>
      <c r="S816" s="1"/>
      <c r="T816" s="1"/>
      <c r="U816" s="1"/>
      <c r="V816" s="1"/>
      <c r="W816" s="1"/>
      <c r="X816" s="1"/>
      <c r="Y816" s="1"/>
      <c r="Z816" s="1"/>
    </row>
    <row r="817" spans="1:26" ht="15.75" customHeight="1" x14ac:dyDescent="0.3">
      <c r="A817" s="148"/>
      <c r="B817" s="6"/>
      <c r="C817" s="6"/>
      <c r="D817" s="82"/>
      <c r="E817" s="6"/>
      <c r="F817" s="6"/>
      <c r="G817" s="6"/>
      <c r="H817" s="82"/>
      <c r="I817" s="6"/>
      <c r="J817" s="6"/>
      <c r="K817" s="1"/>
      <c r="L817" s="1"/>
      <c r="M817" s="1"/>
      <c r="N817" s="1"/>
      <c r="O817" s="1"/>
      <c r="P817" s="1"/>
      <c r="Q817" s="1"/>
      <c r="R817" s="1"/>
      <c r="S817" s="1"/>
      <c r="T817" s="1"/>
      <c r="U817" s="1"/>
      <c r="V817" s="1"/>
      <c r="W817" s="1"/>
      <c r="X817" s="1"/>
      <c r="Y817" s="1"/>
      <c r="Z817" s="1"/>
    </row>
    <row r="818" spans="1:26" ht="15.75" customHeight="1" x14ac:dyDescent="0.3">
      <c r="A818" s="148"/>
      <c r="B818" s="6"/>
      <c r="C818" s="6"/>
      <c r="D818" s="82"/>
      <c r="E818" s="6"/>
      <c r="F818" s="6"/>
      <c r="G818" s="6"/>
      <c r="H818" s="82"/>
      <c r="I818" s="6"/>
      <c r="J818" s="6"/>
      <c r="K818" s="1"/>
      <c r="L818" s="1"/>
      <c r="M818" s="1"/>
      <c r="N818" s="1"/>
      <c r="O818" s="1"/>
      <c r="P818" s="1"/>
      <c r="Q818" s="1"/>
      <c r="R818" s="1"/>
      <c r="S818" s="1"/>
      <c r="T818" s="1"/>
      <c r="U818" s="1"/>
      <c r="V818" s="1"/>
      <c r="W818" s="1"/>
      <c r="X818" s="1"/>
      <c r="Y818" s="1"/>
      <c r="Z818" s="1"/>
    </row>
    <row r="819" spans="1:26" ht="15.75" customHeight="1" x14ac:dyDescent="0.3">
      <c r="A819" s="148"/>
      <c r="B819" s="6"/>
      <c r="C819" s="6"/>
      <c r="D819" s="82"/>
      <c r="E819" s="6"/>
      <c r="F819" s="6"/>
      <c r="G819" s="6"/>
      <c r="H819" s="82"/>
      <c r="I819" s="6"/>
      <c r="J819" s="6"/>
      <c r="K819" s="1"/>
      <c r="L819" s="1"/>
      <c r="M819" s="1"/>
      <c r="N819" s="1"/>
      <c r="O819" s="1"/>
      <c r="P819" s="1"/>
      <c r="Q819" s="1"/>
      <c r="R819" s="1"/>
      <c r="S819" s="1"/>
      <c r="T819" s="1"/>
      <c r="U819" s="1"/>
      <c r="V819" s="1"/>
      <c r="W819" s="1"/>
      <c r="X819" s="1"/>
      <c r="Y819" s="1"/>
      <c r="Z819" s="1"/>
    </row>
    <row r="820" spans="1:26" ht="15.75" customHeight="1" x14ac:dyDescent="0.3">
      <c r="A820" s="148"/>
      <c r="B820" s="6"/>
      <c r="C820" s="6"/>
      <c r="D820" s="82"/>
      <c r="E820" s="6"/>
      <c r="F820" s="6"/>
      <c r="G820" s="6"/>
      <c r="H820" s="82"/>
      <c r="I820" s="6"/>
      <c r="J820" s="6"/>
      <c r="K820" s="1"/>
      <c r="L820" s="1"/>
      <c r="M820" s="1"/>
      <c r="N820" s="1"/>
      <c r="O820" s="1"/>
      <c r="P820" s="1"/>
      <c r="Q820" s="1"/>
      <c r="R820" s="1"/>
      <c r="S820" s="1"/>
      <c r="T820" s="1"/>
      <c r="U820" s="1"/>
      <c r="V820" s="1"/>
      <c r="W820" s="1"/>
      <c r="X820" s="1"/>
      <c r="Y820" s="1"/>
      <c r="Z820" s="1"/>
    </row>
    <row r="821" spans="1:26" ht="15.75" customHeight="1" x14ac:dyDescent="0.3">
      <c r="A821" s="148"/>
      <c r="B821" s="6"/>
      <c r="C821" s="6"/>
      <c r="D821" s="82"/>
      <c r="E821" s="6"/>
      <c r="F821" s="6"/>
      <c r="G821" s="6"/>
      <c r="H821" s="82"/>
      <c r="I821" s="6"/>
      <c r="J821" s="6"/>
      <c r="K821" s="1"/>
      <c r="L821" s="1"/>
      <c r="M821" s="1"/>
      <c r="N821" s="1"/>
      <c r="O821" s="1"/>
      <c r="P821" s="1"/>
      <c r="Q821" s="1"/>
      <c r="R821" s="1"/>
      <c r="S821" s="1"/>
      <c r="T821" s="1"/>
      <c r="U821" s="1"/>
      <c r="V821" s="1"/>
      <c r="W821" s="1"/>
      <c r="X821" s="1"/>
      <c r="Y821" s="1"/>
      <c r="Z821" s="1"/>
    </row>
    <row r="822" spans="1:26" ht="15.75" customHeight="1" x14ac:dyDescent="0.3">
      <c r="A822" s="148"/>
      <c r="B822" s="6"/>
      <c r="C822" s="6"/>
      <c r="D822" s="82"/>
      <c r="E822" s="6"/>
      <c r="F822" s="6"/>
      <c r="G822" s="6"/>
      <c r="H822" s="82"/>
      <c r="I822" s="6"/>
      <c r="J822" s="6"/>
      <c r="K822" s="1"/>
      <c r="L822" s="1"/>
      <c r="M822" s="1"/>
      <c r="N822" s="1"/>
      <c r="O822" s="1"/>
      <c r="P822" s="1"/>
      <c r="Q822" s="1"/>
      <c r="R822" s="1"/>
      <c r="S822" s="1"/>
      <c r="T822" s="1"/>
      <c r="U822" s="1"/>
      <c r="V822" s="1"/>
      <c r="W822" s="1"/>
      <c r="X822" s="1"/>
      <c r="Y822" s="1"/>
      <c r="Z822" s="1"/>
    </row>
    <row r="823" spans="1:26" ht="15.75" customHeight="1" x14ac:dyDescent="0.3">
      <c r="A823" s="148"/>
      <c r="B823" s="6"/>
      <c r="C823" s="6"/>
      <c r="D823" s="82"/>
      <c r="E823" s="6"/>
      <c r="F823" s="6"/>
      <c r="G823" s="6"/>
      <c r="H823" s="82"/>
      <c r="I823" s="6"/>
      <c r="J823" s="6"/>
      <c r="K823" s="1"/>
      <c r="L823" s="1"/>
      <c r="M823" s="1"/>
      <c r="N823" s="1"/>
      <c r="O823" s="1"/>
      <c r="P823" s="1"/>
      <c r="Q823" s="1"/>
      <c r="R823" s="1"/>
      <c r="S823" s="1"/>
      <c r="T823" s="1"/>
      <c r="U823" s="1"/>
      <c r="V823" s="1"/>
      <c r="W823" s="1"/>
      <c r="X823" s="1"/>
      <c r="Y823" s="1"/>
      <c r="Z823" s="1"/>
    </row>
    <row r="824" spans="1:26" ht="15.75" customHeight="1" x14ac:dyDescent="0.3">
      <c r="A824" s="148"/>
      <c r="B824" s="6"/>
      <c r="C824" s="6"/>
      <c r="D824" s="82"/>
      <c r="E824" s="6"/>
      <c r="F824" s="6"/>
      <c r="G824" s="6"/>
      <c r="H824" s="82"/>
      <c r="I824" s="6"/>
      <c r="J824" s="6"/>
      <c r="K824" s="1"/>
      <c r="L824" s="1"/>
      <c r="M824" s="1"/>
      <c r="N824" s="1"/>
      <c r="O824" s="1"/>
      <c r="P824" s="1"/>
      <c r="Q824" s="1"/>
      <c r="R824" s="1"/>
      <c r="S824" s="1"/>
      <c r="T824" s="1"/>
      <c r="U824" s="1"/>
      <c r="V824" s="1"/>
      <c r="W824" s="1"/>
      <c r="X824" s="1"/>
      <c r="Y824" s="1"/>
      <c r="Z824" s="1"/>
    </row>
    <row r="825" spans="1:26" ht="15.75" customHeight="1" x14ac:dyDescent="0.3">
      <c r="A825" s="148"/>
      <c r="B825" s="6"/>
      <c r="C825" s="6"/>
      <c r="D825" s="82"/>
      <c r="E825" s="6"/>
      <c r="F825" s="6"/>
      <c r="G825" s="6"/>
      <c r="H825" s="82"/>
      <c r="I825" s="6"/>
      <c r="J825" s="6"/>
      <c r="K825" s="1"/>
      <c r="L825" s="1"/>
      <c r="M825" s="1"/>
      <c r="N825" s="1"/>
      <c r="O825" s="1"/>
      <c r="P825" s="1"/>
      <c r="Q825" s="1"/>
      <c r="R825" s="1"/>
      <c r="S825" s="1"/>
      <c r="T825" s="1"/>
      <c r="U825" s="1"/>
      <c r="V825" s="1"/>
      <c r="W825" s="1"/>
      <c r="X825" s="1"/>
      <c r="Y825" s="1"/>
      <c r="Z825" s="1"/>
    </row>
    <row r="826" spans="1:26" ht="15.75" customHeight="1" x14ac:dyDescent="0.3">
      <c r="A826" s="148"/>
      <c r="B826" s="6"/>
      <c r="C826" s="6"/>
      <c r="D826" s="82"/>
      <c r="E826" s="6"/>
      <c r="F826" s="6"/>
      <c r="G826" s="6"/>
      <c r="H826" s="82"/>
      <c r="I826" s="6"/>
      <c r="J826" s="6"/>
      <c r="K826" s="1"/>
      <c r="L826" s="1"/>
      <c r="M826" s="1"/>
      <c r="N826" s="1"/>
      <c r="O826" s="1"/>
      <c r="P826" s="1"/>
      <c r="Q826" s="1"/>
      <c r="R826" s="1"/>
      <c r="S826" s="1"/>
      <c r="T826" s="1"/>
      <c r="U826" s="1"/>
      <c r="V826" s="1"/>
      <c r="W826" s="1"/>
      <c r="X826" s="1"/>
      <c r="Y826" s="1"/>
      <c r="Z826" s="1"/>
    </row>
    <row r="827" spans="1:26" ht="15.75" customHeight="1" x14ac:dyDescent="0.3">
      <c r="A827" s="148"/>
      <c r="B827" s="6"/>
      <c r="C827" s="6"/>
      <c r="D827" s="82"/>
      <c r="E827" s="6"/>
      <c r="F827" s="6"/>
      <c r="G827" s="6"/>
      <c r="H827" s="82"/>
      <c r="I827" s="6"/>
      <c r="J827" s="6"/>
      <c r="K827" s="1"/>
      <c r="L827" s="1"/>
      <c r="M827" s="1"/>
      <c r="N827" s="1"/>
      <c r="O827" s="1"/>
      <c r="P827" s="1"/>
      <c r="Q827" s="1"/>
      <c r="R827" s="1"/>
      <c r="S827" s="1"/>
      <c r="T827" s="1"/>
      <c r="U827" s="1"/>
      <c r="V827" s="1"/>
      <c r="W827" s="1"/>
      <c r="X827" s="1"/>
      <c r="Y827" s="1"/>
      <c r="Z827" s="1"/>
    </row>
    <row r="828" spans="1:26" ht="15.75" customHeight="1" x14ac:dyDescent="0.3">
      <c r="A828" s="148"/>
      <c r="B828" s="6"/>
      <c r="C828" s="6"/>
      <c r="D828" s="82"/>
      <c r="E828" s="6"/>
      <c r="F828" s="6"/>
      <c r="G828" s="6"/>
      <c r="H828" s="82"/>
      <c r="I828" s="6"/>
      <c r="J828" s="6"/>
      <c r="K828" s="1"/>
      <c r="L828" s="1"/>
      <c r="M828" s="1"/>
      <c r="N828" s="1"/>
      <c r="O828" s="1"/>
      <c r="P828" s="1"/>
      <c r="Q828" s="1"/>
      <c r="R828" s="1"/>
      <c r="S828" s="1"/>
      <c r="T828" s="1"/>
      <c r="U828" s="1"/>
      <c r="V828" s="1"/>
      <c r="W828" s="1"/>
      <c r="X828" s="1"/>
      <c r="Y828" s="1"/>
      <c r="Z828" s="1"/>
    </row>
    <row r="829" spans="1:26" ht="15.75" customHeight="1" x14ac:dyDescent="0.3">
      <c r="A829" s="148"/>
      <c r="B829" s="6"/>
      <c r="C829" s="6"/>
      <c r="D829" s="82"/>
      <c r="E829" s="6"/>
      <c r="F829" s="6"/>
      <c r="G829" s="6"/>
      <c r="H829" s="82"/>
      <c r="I829" s="6"/>
      <c r="J829" s="6"/>
      <c r="K829" s="1"/>
      <c r="L829" s="1"/>
      <c r="M829" s="1"/>
      <c r="N829" s="1"/>
      <c r="O829" s="1"/>
      <c r="P829" s="1"/>
      <c r="Q829" s="1"/>
      <c r="R829" s="1"/>
      <c r="S829" s="1"/>
      <c r="T829" s="1"/>
      <c r="U829" s="1"/>
      <c r="V829" s="1"/>
      <c r="W829" s="1"/>
      <c r="X829" s="1"/>
      <c r="Y829" s="1"/>
      <c r="Z829" s="1"/>
    </row>
    <row r="830" spans="1:26" ht="15.75" customHeight="1" x14ac:dyDescent="0.3">
      <c r="A830" s="148"/>
      <c r="B830" s="6"/>
      <c r="C830" s="6"/>
      <c r="D830" s="82"/>
      <c r="E830" s="6"/>
      <c r="F830" s="6"/>
      <c r="G830" s="6"/>
      <c r="H830" s="82"/>
      <c r="I830" s="6"/>
      <c r="J830" s="6"/>
      <c r="K830" s="1"/>
      <c r="L830" s="1"/>
      <c r="M830" s="1"/>
      <c r="N830" s="1"/>
      <c r="O830" s="1"/>
      <c r="P830" s="1"/>
      <c r="Q830" s="1"/>
      <c r="R830" s="1"/>
      <c r="S830" s="1"/>
      <c r="T830" s="1"/>
      <c r="U830" s="1"/>
      <c r="V830" s="1"/>
      <c r="W830" s="1"/>
      <c r="X830" s="1"/>
      <c r="Y830" s="1"/>
      <c r="Z830" s="1"/>
    </row>
    <row r="831" spans="1:26" ht="15.75" customHeight="1" x14ac:dyDescent="0.3">
      <c r="A831" s="148"/>
      <c r="B831" s="6"/>
      <c r="C831" s="6"/>
      <c r="D831" s="82"/>
      <c r="E831" s="6"/>
      <c r="F831" s="6"/>
      <c r="G831" s="6"/>
      <c r="H831" s="82"/>
      <c r="I831" s="6"/>
      <c r="J831" s="6"/>
      <c r="K831" s="1"/>
      <c r="L831" s="1"/>
      <c r="M831" s="1"/>
      <c r="N831" s="1"/>
      <c r="O831" s="1"/>
      <c r="P831" s="1"/>
      <c r="Q831" s="1"/>
      <c r="R831" s="1"/>
      <c r="S831" s="1"/>
      <c r="T831" s="1"/>
      <c r="U831" s="1"/>
      <c r="V831" s="1"/>
      <c r="W831" s="1"/>
      <c r="X831" s="1"/>
      <c r="Y831" s="1"/>
      <c r="Z831" s="1"/>
    </row>
    <row r="832" spans="1:26" ht="15.75" customHeight="1" x14ac:dyDescent="0.3">
      <c r="A832" s="148"/>
      <c r="B832" s="6"/>
      <c r="C832" s="6"/>
      <c r="D832" s="82"/>
      <c r="E832" s="6"/>
      <c r="F832" s="6"/>
      <c r="G832" s="6"/>
      <c r="H832" s="82"/>
      <c r="I832" s="6"/>
      <c r="J832" s="6"/>
      <c r="K832" s="1"/>
      <c r="L832" s="1"/>
      <c r="M832" s="1"/>
      <c r="N832" s="1"/>
      <c r="O832" s="1"/>
      <c r="P832" s="1"/>
      <c r="Q832" s="1"/>
      <c r="R832" s="1"/>
      <c r="S832" s="1"/>
      <c r="T832" s="1"/>
      <c r="U832" s="1"/>
      <c r="V832" s="1"/>
      <c r="W832" s="1"/>
      <c r="X832" s="1"/>
      <c r="Y832" s="1"/>
      <c r="Z832" s="1"/>
    </row>
    <row r="833" spans="1:26" ht="15.75" customHeight="1" x14ac:dyDescent="0.3">
      <c r="A833" s="148"/>
      <c r="B833" s="6"/>
      <c r="C833" s="6"/>
      <c r="D833" s="82"/>
      <c r="E833" s="6"/>
      <c r="F833" s="6"/>
      <c r="G833" s="6"/>
      <c r="H833" s="82"/>
      <c r="I833" s="6"/>
      <c r="J833" s="6"/>
      <c r="K833" s="1"/>
      <c r="L833" s="1"/>
      <c r="M833" s="1"/>
      <c r="N833" s="1"/>
      <c r="O833" s="1"/>
      <c r="P833" s="1"/>
      <c r="Q833" s="1"/>
      <c r="R833" s="1"/>
      <c r="S833" s="1"/>
      <c r="T833" s="1"/>
      <c r="U833" s="1"/>
      <c r="V833" s="1"/>
      <c r="W833" s="1"/>
      <c r="X833" s="1"/>
      <c r="Y833" s="1"/>
      <c r="Z833" s="1"/>
    </row>
    <row r="834" spans="1:26" ht="15.75" customHeight="1" x14ac:dyDescent="0.3">
      <c r="A834" s="148"/>
      <c r="B834" s="6"/>
      <c r="C834" s="6"/>
      <c r="D834" s="82"/>
      <c r="E834" s="6"/>
      <c r="F834" s="6"/>
      <c r="G834" s="6"/>
      <c r="H834" s="82"/>
      <c r="I834" s="6"/>
      <c r="J834" s="6"/>
      <c r="K834" s="1"/>
      <c r="L834" s="1"/>
      <c r="M834" s="1"/>
      <c r="N834" s="1"/>
      <c r="O834" s="1"/>
      <c r="P834" s="1"/>
      <c r="Q834" s="1"/>
      <c r="R834" s="1"/>
      <c r="S834" s="1"/>
      <c r="T834" s="1"/>
      <c r="U834" s="1"/>
      <c r="V834" s="1"/>
      <c r="W834" s="1"/>
      <c r="X834" s="1"/>
      <c r="Y834" s="1"/>
      <c r="Z834" s="1"/>
    </row>
    <row r="835" spans="1:26" ht="15.75" customHeight="1" x14ac:dyDescent="0.3">
      <c r="A835" s="148"/>
      <c r="B835" s="6"/>
      <c r="C835" s="6"/>
      <c r="D835" s="82"/>
      <c r="E835" s="6"/>
      <c r="F835" s="6"/>
      <c r="G835" s="6"/>
      <c r="H835" s="82"/>
      <c r="I835" s="6"/>
      <c r="J835" s="6"/>
      <c r="K835" s="1"/>
      <c r="L835" s="1"/>
      <c r="M835" s="1"/>
      <c r="N835" s="1"/>
      <c r="O835" s="1"/>
      <c r="P835" s="1"/>
      <c r="Q835" s="1"/>
      <c r="R835" s="1"/>
      <c r="S835" s="1"/>
      <c r="T835" s="1"/>
      <c r="U835" s="1"/>
      <c r="V835" s="1"/>
      <c r="W835" s="1"/>
      <c r="X835" s="1"/>
      <c r="Y835" s="1"/>
      <c r="Z835" s="1"/>
    </row>
    <row r="836" spans="1:26" ht="15.75" customHeight="1" x14ac:dyDescent="0.3">
      <c r="A836" s="148"/>
      <c r="B836" s="6"/>
      <c r="C836" s="6"/>
      <c r="D836" s="82"/>
      <c r="E836" s="6"/>
      <c r="F836" s="6"/>
      <c r="G836" s="6"/>
      <c r="H836" s="82"/>
      <c r="I836" s="6"/>
      <c r="J836" s="6"/>
      <c r="K836" s="1"/>
      <c r="L836" s="1"/>
      <c r="M836" s="1"/>
      <c r="N836" s="1"/>
      <c r="O836" s="1"/>
      <c r="P836" s="1"/>
      <c r="Q836" s="1"/>
      <c r="R836" s="1"/>
      <c r="S836" s="1"/>
      <c r="T836" s="1"/>
      <c r="U836" s="1"/>
      <c r="V836" s="1"/>
      <c r="W836" s="1"/>
      <c r="X836" s="1"/>
      <c r="Y836" s="1"/>
      <c r="Z836" s="1"/>
    </row>
    <row r="837" spans="1:26" ht="15.75" customHeight="1" x14ac:dyDescent="0.3">
      <c r="A837" s="148"/>
      <c r="B837" s="6"/>
      <c r="C837" s="6"/>
      <c r="D837" s="82"/>
      <c r="E837" s="6"/>
      <c r="F837" s="6"/>
      <c r="G837" s="6"/>
      <c r="H837" s="82"/>
      <c r="I837" s="6"/>
      <c r="J837" s="6"/>
      <c r="K837" s="1"/>
      <c r="L837" s="1"/>
      <c r="M837" s="1"/>
      <c r="N837" s="1"/>
      <c r="O837" s="1"/>
      <c r="P837" s="1"/>
      <c r="Q837" s="1"/>
      <c r="R837" s="1"/>
      <c r="S837" s="1"/>
      <c r="T837" s="1"/>
      <c r="U837" s="1"/>
      <c r="V837" s="1"/>
      <c r="W837" s="1"/>
      <c r="X837" s="1"/>
      <c r="Y837" s="1"/>
      <c r="Z837" s="1"/>
    </row>
    <row r="838" spans="1:26" ht="15.75" customHeight="1" x14ac:dyDescent="0.3">
      <c r="A838" s="148"/>
      <c r="B838" s="6"/>
      <c r="C838" s="6"/>
      <c r="D838" s="82"/>
      <c r="E838" s="6"/>
      <c r="F838" s="6"/>
      <c r="G838" s="6"/>
      <c r="H838" s="82"/>
      <c r="I838" s="6"/>
      <c r="J838" s="6"/>
      <c r="K838" s="1"/>
      <c r="L838" s="1"/>
      <c r="M838" s="1"/>
      <c r="N838" s="1"/>
      <c r="O838" s="1"/>
      <c r="P838" s="1"/>
      <c r="Q838" s="1"/>
      <c r="R838" s="1"/>
      <c r="S838" s="1"/>
      <c r="T838" s="1"/>
      <c r="U838" s="1"/>
      <c r="V838" s="1"/>
      <c r="W838" s="1"/>
      <c r="X838" s="1"/>
      <c r="Y838" s="1"/>
      <c r="Z838" s="1"/>
    </row>
    <row r="839" spans="1:26" ht="15.75" customHeight="1" x14ac:dyDescent="0.3">
      <c r="A839" s="148"/>
      <c r="B839" s="6"/>
      <c r="C839" s="6"/>
      <c r="D839" s="82"/>
      <c r="E839" s="6"/>
      <c r="F839" s="6"/>
      <c r="G839" s="6"/>
      <c r="H839" s="82"/>
      <c r="I839" s="6"/>
      <c r="J839" s="6"/>
      <c r="K839" s="1"/>
      <c r="L839" s="1"/>
      <c r="M839" s="1"/>
      <c r="N839" s="1"/>
      <c r="O839" s="1"/>
      <c r="P839" s="1"/>
      <c r="Q839" s="1"/>
      <c r="R839" s="1"/>
      <c r="S839" s="1"/>
      <c r="T839" s="1"/>
      <c r="U839" s="1"/>
      <c r="V839" s="1"/>
      <c r="W839" s="1"/>
      <c r="X839" s="1"/>
      <c r="Y839" s="1"/>
      <c r="Z839" s="1"/>
    </row>
    <row r="840" spans="1:26" ht="15.75" customHeight="1" x14ac:dyDescent="0.3">
      <c r="A840" s="148"/>
      <c r="B840" s="6"/>
      <c r="C840" s="6"/>
      <c r="D840" s="82"/>
      <c r="E840" s="6"/>
      <c r="F840" s="6"/>
      <c r="G840" s="6"/>
      <c r="H840" s="82"/>
      <c r="I840" s="6"/>
      <c r="J840" s="6"/>
      <c r="K840" s="1"/>
      <c r="L840" s="1"/>
      <c r="M840" s="1"/>
      <c r="N840" s="1"/>
      <c r="O840" s="1"/>
      <c r="P840" s="1"/>
      <c r="Q840" s="1"/>
      <c r="R840" s="1"/>
      <c r="S840" s="1"/>
      <c r="T840" s="1"/>
      <c r="U840" s="1"/>
      <c r="V840" s="1"/>
      <c r="W840" s="1"/>
      <c r="X840" s="1"/>
      <c r="Y840" s="1"/>
      <c r="Z840" s="1"/>
    </row>
    <row r="841" spans="1:26" ht="15.75" customHeight="1" x14ac:dyDescent="0.3">
      <c r="A841" s="148"/>
      <c r="B841" s="6"/>
      <c r="C841" s="6"/>
      <c r="D841" s="82"/>
      <c r="E841" s="6"/>
      <c r="F841" s="6"/>
      <c r="G841" s="6"/>
      <c r="H841" s="82"/>
      <c r="I841" s="6"/>
      <c r="J841" s="6"/>
      <c r="K841" s="1"/>
      <c r="L841" s="1"/>
      <c r="M841" s="1"/>
      <c r="N841" s="1"/>
      <c r="O841" s="1"/>
      <c r="P841" s="1"/>
      <c r="Q841" s="1"/>
      <c r="R841" s="1"/>
      <c r="S841" s="1"/>
      <c r="T841" s="1"/>
      <c r="U841" s="1"/>
      <c r="V841" s="1"/>
      <c r="W841" s="1"/>
      <c r="X841" s="1"/>
      <c r="Y841" s="1"/>
      <c r="Z841" s="1"/>
    </row>
    <row r="842" spans="1:26" ht="15.75" customHeight="1" x14ac:dyDescent="0.3">
      <c r="A842" s="148"/>
      <c r="B842" s="6"/>
      <c r="C842" s="6"/>
      <c r="D842" s="82"/>
      <c r="E842" s="6"/>
      <c r="F842" s="6"/>
      <c r="G842" s="6"/>
      <c r="H842" s="82"/>
      <c r="I842" s="6"/>
      <c r="J842" s="6"/>
      <c r="K842" s="1"/>
      <c r="L842" s="1"/>
      <c r="M842" s="1"/>
      <c r="N842" s="1"/>
      <c r="O842" s="1"/>
      <c r="P842" s="1"/>
      <c r="Q842" s="1"/>
      <c r="R842" s="1"/>
      <c r="S842" s="1"/>
      <c r="T842" s="1"/>
      <c r="U842" s="1"/>
      <c r="V842" s="1"/>
      <c r="W842" s="1"/>
      <c r="X842" s="1"/>
      <c r="Y842" s="1"/>
      <c r="Z842" s="1"/>
    </row>
    <row r="843" spans="1:26" ht="15.75" customHeight="1" x14ac:dyDescent="0.3">
      <c r="A843" s="148"/>
      <c r="B843" s="6"/>
      <c r="C843" s="6"/>
      <c r="D843" s="82"/>
      <c r="E843" s="6"/>
      <c r="F843" s="6"/>
      <c r="G843" s="6"/>
      <c r="H843" s="82"/>
      <c r="I843" s="6"/>
      <c r="J843" s="6"/>
      <c r="K843" s="1"/>
      <c r="L843" s="1"/>
      <c r="M843" s="1"/>
      <c r="N843" s="1"/>
      <c r="O843" s="1"/>
      <c r="P843" s="1"/>
      <c r="Q843" s="1"/>
      <c r="R843" s="1"/>
      <c r="S843" s="1"/>
      <c r="T843" s="1"/>
      <c r="U843" s="1"/>
      <c r="V843" s="1"/>
      <c r="W843" s="1"/>
      <c r="X843" s="1"/>
      <c r="Y843" s="1"/>
      <c r="Z843" s="1"/>
    </row>
    <row r="844" spans="1:26" ht="15.75" customHeight="1" x14ac:dyDescent="0.3">
      <c r="A844" s="148"/>
      <c r="B844" s="6"/>
      <c r="C844" s="6"/>
      <c r="D844" s="82"/>
      <c r="E844" s="6"/>
      <c r="F844" s="6"/>
      <c r="G844" s="6"/>
      <c r="H844" s="82"/>
      <c r="I844" s="6"/>
      <c r="J844" s="6"/>
      <c r="K844" s="1"/>
      <c r="L844" s="1"/>
      <c r="M844" s="1"/>
      <c r="N844" s="1"/>
      <c r="O844" s="1"/>
      <c r="P844" s="1"/>
      <c r="Q844" s="1"/>
      <c r="R844" s="1"/>
      <c r="S844" s="1"/>
      <c r="T844" s="1"/>
      <c r="U844" s="1"/>
      <c r="V844" s="1"/>
      <c r="W844" s="1"/>
      <c r="X844" s="1"/>
      <c r="Y844" s="1"/>
      <c r="Z844" s="1"/>
    </row>
    <row r="845" spans="1:26" ht="15.75" customHeight="1" x14ac:dyDescent="0.3">
      <c r="A845" s="148"/>
      <c r="B845" s="6"/>
      <c r="C845" s="6"/>
      <c r="D845" s="82"/>
      <c r="E845" s="6"/>
      <c r="F845" s="6"/>
      <c r="G845" s="6"/>
      <c r="H845" s="82"/>
      <c r="I845" s="6"/>
      <c r="J845" s="6"/>
      <c r="K845" s="1"/>
      <c r="L845" s="1"/>
      <c r="M845" s="1"/>
      <c r="N845" s="1"/>
      <c r="O845" s="1"/>
      <c r="P845" s="1"/>
      <c r="Q845" s="1"/>
      <c r="R845" s="1"/>
      <c r="S845" s="1"/>
      <c r="T845" s="1"/>
      <c r="U845" s="1"/>
      <c r="V845" s="1"/>
      <c r="W845" s="1"/>
      <c r="X845" s="1"/>
      <c r="Y845" s="1"/>
      <c r="Z845" s="1"/>
    </row>
    <row r="846" spans="1:26" ht="15.75" customHeight="1" x14ac:dyDescent="0.3">
      <c r="A846" s="148"/>
      <c r="B846" s="6"/>
      <c r="C846" s="6"/>
      <c r="D846" s="82"/>
      <c r="E846" s="6"/>
      <c r="F846" s="6"/>
      <c r="G846" s="6"/>
      <c r="H846" s="82"/>
      <c r="I846" s="6"/>
      <c r="J846" s="6"/>
      <c r="K846" s="1"/>
      <c r="L846" s="1"/>
      <c r="M846" s="1"/>
      <c r="N846" s="1"/>
      <c r="O846" s="1"/>
      <c r="P846" s="1"/>
      <c r="Q846" s="1"/>
      <c r="R846" s="1"/>
      <c r="S846" s="1"/>
      <c r="T846" s="1"/>
      <c r="U846" s="1"/>
      <c r="V846" s="1"/>
      <c r="W846" s="1"/>
      <c r="X846" s="1"/>
      <c r="Y846" s="1"/>
      <c r="Z846" s="1"/>
    </row>
    <row r="847" spans="1:26" ht="15.75" customHeight="1" x14ac:dyDescent="0.3">
      <c r="A847" s="148"/>
      <c r="B847" s="6"/>
      <c r="C847" s="6"/>
      <c r="D847" s="82"/>
      <c r="E847" s="6"/>
      <c r="F847" s="6"/>
      <c r="G847" s="6"/>
      <c r="H847" s="82"/>
      <c r="I847" s="6"/>
      <c r="J847" s="6"/>
      <c r="K847" s="1"/>
      <c r="L847" s="1"/>
      <c r="M847" s="1"/>
      <c r="N847" s="1"/>
      <c r="O847" s="1"/>
      <c r="P847" s="1"/>
      <c r="Q847" s="1"/>
      <c r="R847" s="1"/>
      <c r="S847" s="1"/>
      <c r="T847" s="1"/>
      <c r="U847" s="1"/>
      <c r="V847" s="1"/>
      <c r="W847" s="1"/>
      <c r="X847" s="1"/>
      <c r="Y847" s="1"/>
      <c r="Z847" s="1"/>
    </row>
    <row r="848" spans="1:26" ht="15.75" customHeight="1" x14ac:dyDescent="0.3">
      <c r="A848" s="148"/>
      <c r="B848" s="6"/>
      <c r="C848" s="6"/>
      <c r="D848" s="82"/>
      <c r="E848" s="6"/>
      <c r="F848" s="6"/>
      <c r="G848" s="6"/>
      <c r="H848" s="82"/>
      <c r="I848" s="6"/>
      <c r="J848" s="6"/>
      <c r="K848" s="1"/>
      <c r="L848" s="1"/>
      <c r="M848" s="1"/>
      <c r="N848" s="1"/>
      <c r="O848" s="1"/>
      <c r="P848" s="1"/>
      <c r="Q848" s="1"/>
      <c r="R848" s="1"/>
      <c r="S848" s="1"/>
      <c r="T848" s="1"/>
      <c r="U848" s="1"/>
      <c r="V848" s="1"/>
      <c r="W848" s="1"/>
      <c r="X848" s="1"/>
      <c r="Y848" s="1"/>
      <c r="Z848" s="1"/>
    </row>
    <row r="849" spans="1:26" ht="15.75" customHeight="1" x14ac:dyDescent="0.3">
      <c r="A849" s="148"/>
      <c r="B849" s="6"/>
      <c r="C849" s="6"/>
      <c r="D849" s="82"/>
      <c r="E849" s="6"/>
      <c r="F849" s="6"/>
      <c r="G849" s="6"/>
      <c r="H849" s="82"/>
      <c r="I849" s="6"/>
      <c r="J849" s="6"/>
      <c r="K849" s="1"/>
      <c r="L849" s="1"/>
      <c r="M849" s="1"/>
      <c r="N849" s="1"/>
      <c r="O849" s="1"/>
      <c r="P849" s="1"/>
      <c r="Q849" s="1"/>
      <c r="R849" s="1"/>
      <c r="S849" s="1"/>
      <c r="T849" s="1"/>
      <c r="U849" s="1"/>
      <c r="V849" s="1"/>
      <c r="W849" s="1"/>
      <c r="X849" s="1"/>
      <c r="Y849" s="1"/>
      <c r="Z849" s="1"/>
    </row>
    <row r="850" spans="1:26" ht="15.75" customHeight="1" x14ac:dyDescent="0.3">
      <c r="A850" s="148"/>
      <c r="B850" s="6"/>
      <c r="C850" s="6"/>
      <c r="D850" s="82"/>
      <c r="E850" s="6"/>
      <c r="F850" s="6"/>
      <c r="G850" s="6"/>
      <c r="H850" s="82"/>
      <c r="I850" s="6"/>
      <c r="J850" s="6"/>
      <c r="K850" s="1"/>
      <c r="L850" s="1"/>
      <c r="M850" s="1"/>
      <c r="N850" s="1"/>
      <c r="O850" s="1"/>
      <c r="P850" s="1"/>
      <c r="Q850" s="1"/>
      <c r="R850" s="1"/>
      <c r="S850" s="1"/>
      <c r="T850" s="1"/>
      <c r="U850" s="1"/>
      <c r="V850" s="1"/>
      <c r="W850" s="1"/>
      <c r="X850" s="1"/>
      <c r="Y850" s="1"/>
      <c r="Z850" s="1"/>
    </row>
    <row r="851" spans="1:26" ht="15.75" customHeight="1" x14ac:dyDescent="0.3">
      <c r="A851" s="148"/>
      <c r="B851" s="6"/>
      <c r="C851" s="6"/>
      <c r="D851" s="82"/>
      <c r="E851" s="6"/>
      <c r="F851" s="6"/>
      <c r="G851" s="6"/>
      <c r="H851" s="82"/>
      <c r="I851" s="6"/>
      <c r="J851" s="6"/>
      <c r="K851" s="1"/>
      <c r="L851" s="1"/>
      <c r="M851" s="1"/>
      <c r="N851" s="1"/>
      <c r="O851" s="1"/>
      <c r="P851" s="1"/>
      <c r="Q851" s="1"/>
      <c r="R851" s="1"/>
      <c r="S851" s="1"/>
      <c r="T851" s="1"/>
      <c r="U851" s="1"/>
      <c r="V851" s="1"/>
      <c r="W851" s="1"/>
      <c r="X851" s="1"/>
      <c r="Y851" s="1"/>
      <c r="Z851" s="1"/>
    </row>
    <row r="852" spans="1:26" ht="15.75" customHeight="1" x14ac:dyDescent="0.3">
      <c r="A852" s="148"/>
      <c r="B852" s="6"/>
      <c r="C852" s="6"/>
      <c r="D852" s="82"/>
      <c r="E852" s="6"/>
      <c r="F852" s="6"/>
      <c r="G852" s="6"/>
      <c r="H852" s="82"/>
      <c r="I852" s="6"/>
      <c r="J852" s="6"/>
      <c r="K852" s="1"/>
      <c r="L852" s="1"/>
      <c r="M852" s="1"/>
      <c r="N852" s="1"/>
      <c r="O852" s="1"/>
      <c r="P852" s="1"/>
      <c r="Q852" s="1"/>
      <c r="R852" s="1"/>
      <c r="S852" s="1"/>
      <c r="T852" s="1"/>
      <c r="U852" s="1"/>
      <c r="V852" s="1"/>
      <c r="W852" s="1"/>
      <c r="X852" s="1"/>
      <c r="Y852" s="1"/>
      <c r="Z852" s="1"/>
    </row>
    <row r="853" spans="1:26" ht="15.75" customHeight="1" x14ac:dyDescent="0.3">
      <c r="A853" s="148"/>
      <c r="B853" s="6"/>
      <c r="C853" s="6"/>
      <c r="D853" s="82"/>
      <c r="E853" s="6"/>
      <c r="F853" s="6"/>
      <c r="G853" s="6"/>
      <c r="H853" s="82"/>
      <c r="I853" s="6"/>
      <c r="J853" s="6"/>
      <c r="K853" s="1"/>
      <c r="L853" s="1"/>
      <c r="M853" s="1"/>
      <c r="N853" s="1"/>
      <c r="O853" s="1"/>
      <c r="P853" s="1"/>
      <c r="Q853" s="1"/>
      <c r="R853" s="1"/>
      <c r="S853" s="1"/>
      <c r="T853" s="1"/>
      <c r="U853" s="1"/>
      <c r="V853" s="1"/>
      <c r="W853" s="1"/>
      <c r="X853" s="1"/>
      <c r="Y853" s="1"/>
      <c r="Z853" s="1"/>
    </row>
    <row r="854" spans="1:26" ht="15.75" customHeight="1" x14ac:dyDescent="0.3">
      <c r="A854" s="148"/>
      <c r="B854" s="6"/>
      <c r="C854" s="6"/>
      <c r="D854" s="82"/>
      <c r="E854" s="6"/>
      <c r="F854" s="6"/>
      <c r="G854" s="6"/>
      <c r="H854" s="82"/>
      <c r="I854" s="6"/>
      <c r="J854" s="6"/>
      <c r="K854" s="1"/>
      <c r="L854" s="1"/>
      <c r="M854" s="1"/>
      <c r="N854" s="1"/>
      <c r="O854" s="1"/>
      <c r="P854" s="1"/>
      <c r="Q854" s="1"/>
      <c r="R854" s="1"/>
      <c r="S854" s="1"/>
      <c r="T854" s="1"/>
      <c r="U854" s="1"/>
      <c r="V854" s="1"/>
      <c r="W854" s="1"/>
      <c r="X854" s="1"/>
      <c r="Y854" s="1"/>
      <c r="Z854" s="1"/>
    </row>
    <row r="855" spans="1:26" ht="15.75" customHeight="1" x14ac:dyDescent="0.3">
      <c r="A855" s="148"/>
      <c r="B855" s="6"/>
      <c r="C855" s="6"/>
      <c r="D855" s="82"/>
      <c r="E855" s="6"/>
      <c r="F855" s="6"/>
      <c r="G855" s="6"/>
      <c r="H855" s="82"/>
      <c r="I855" s="6"/>
      <c r="J855" s="6"/>
      <c r="K855" s="1"/>
      <c r="L855" s="1"/>
      <c r="M855" s="1"/>
      <c r="N855" s="1"/>
      <c r="O855" s="1"/>
      <c r="P855" s="1"/>
      <c r="Q855" s="1"/>
      <c r="R855" s="1"/>
      <c r="S855" s="1"/>
      <c r="T855" s="1"/>
      <c r="U855" s="1"/>
      <c r="V855" s="1"/>
      <c r="W855" s="1"/>
      <c r="X855" s="1"/>
      <c r="Y855" s="1"/>
      <c r="Z855" s="1"/>
    </row>
    <row r="856" spans="1:26" ht="15.75" customHeight="1" x14ac:dyDescent="0.3">
      <c r="A856" s="148"/>
      <c r="B856" s="6"/>
      <c r="C856" s="6"/>
      <c r="D856" s="82"/>
      <c r="E856" s="6"/>
      <c r="F856" s="6"/>
      <c r="G856" s="6"/>
      <c r="H856" s="82"/>
      <c r="I856" s="6"/>
      <c r="J856" s="6"/>
      <c r="K856" s="1"/>
      <c r="L856" s="1"/>
      <c r="M856" s="1"/>
      <c r="N856" s="1"/>
      <c r="O856" s="1"/>
      <c r="P856" s="1"/>
      <c r="Q856" s="1"/>
      <c r="R856" s="1"/>
      <c r="S856" s="1"/>
      <c r="T856" s="1"/>
      <c r="U856" s="1"/>
      <c r="V856" s="1"/>
      <c r="W856" s="1"/>
      <c r="X856" s="1"/>
      <c r="Y856" s="1"/>
      <c r="Z856" s="1"/>
    </row>
    <row r="857" spans="1:26" ht="15.75" customHeight="1" x14ac:dyDescent="0.3">
      <c r="A857" s="148"/>
      <c r="B857" s="6"/>
      <c r="C857" s="6"/>
      <c r="D857" s="82"/>
      <c r="E857" s="6"/>
      <c r="F857" s="6"/>
      <c r="G857" s="6"/>
      <c r="H857" s="82"/>
      <c r="I857" s="6"/>
      <c r="J857" s="6"/>
      <c r="K857" s="1"/>
      <c r="L857" s="1"/>
      <c r="M857" s="1"/>
      <c r="N857" s="1"/>
      <c r="O857" s="1"/>
      <c r="P857" s="1"/>
      <c r="Q857" s="1"/>
      <c r="R857" s="1"/>
      <c r="S857" s="1"/>
      <c r="T857" s="1"/>
      <c r="U857" s="1"/>
      <c r="V857" s="1"/>
      <c r="W857" s="1"/>
      <c r="X857" s="1"/>
      <c r="Y857" s="1"/>
      <c r="Z857" s="1"/>
    </row>
    <row r="858" spans="1:26" ht="15.75" customHeight="1" x14ac:dyDescent="0.3">
      <c r="A858" s="148"/>
      <c r="B858" s="6"/>
      <c r="C858" s="6"/>
      <c r="D858" s="82"/>
      <c r="E858" s="6"/>
      <c r="F858" s="6"/>
      <c r="G858" s="6"/>
      <c r="H858" s="82"/>
      <c r="I858" s="6"/>
      <c r="J858" s="6"/>
      <c r="K858" s="1"/>
      <c r="L858" s="1"/>
      <c r="M858" s="1"/>
      <c r="N858" s="1"/>
      <c r="O858" s="1"/>
      <c r="P858" s="1"/>
      <c r="Q858" s="1"/>
      <c r="R858" s="1"/>
      <c r="S858" s="1"/>
      <c r="T858" s="1"/>
      <c r="U858" s="1"/>
      <c r="V858" s="1"/>
      <c r="W858" s="1"/>
      <c r="X858" s="1"/>
      <c r="Y858" s="1"/>
      <c r="Z858" s="1"/>
    </row>
    <row r="859" spans="1:26" ht="15.75" customHeight="1" x14ac:dyDescent="0.3">
      <c r="A859" s="148"/>
      <c r="B859" s="6"/>
      <c r="C859" s="6"/>
      <c r="D859" s="82"/>
      <c r="E859" s="6"/>
      <c r="F859" s="6"/>
      <c r="G859" s="6"/>
      <c r="H859" s="82"/>
      <c r="I859" s="6"/>
      <c r="J859" s="6"/>
      <c r="K859" s="1"/>
      <c r="L859" s="1"/>
      <c r="M859" s="1"/>
      <c r="N859" s="1"/>
      <c r="O859" s="1"/>
      <c r="P859" s="1"/>
      <c r="Q859" s="1"/>
      <c r="R859" s="1"/>
      <c r="S859" s="1"/>
      <c r="T859" s="1"/>
      <c r="U859" s="1"/>
      <c r="V859" s="1"/>
      <c r="W859" s="1"/>
      <c r="X859" s="1"/>
      <c r="Y859" s="1"/>
      <c r="Z859" s="1"/>
    </row>
    <row r="860" spans="1:26" ht="15.75" customHeight="1" x14ac:dyDescent="0.3">
      <c r="A860" s="148"/>
      <c r="B860" s="6"/>
      <c r="C860" s="6"/>
      <c r="D860" s="82"/>
      <c r="E860" s="6"/>
      <c r="F860" s="6"/>
      <c r="G860" s="6"/>
      <c r="H860" s="82"/>
      <c r="I860" s="6"/>
      <c r="J860" s="6"/>
      <c r="K860" s="1"/>
      <c r="L860" s="1"/>
      <c r="M860" s="1"/>
      <c r="N860" s="1"/>
      <c r="O860" s="1"/>
      <c r="P860" s="1"/>
      <c r="Q860" s="1"/>
      <c r="R860" s="1"/>
      <c r="S860" s="1"/>
      <c r="T860" s="1"/>
      <c r="U860" s="1"/>
      <c r="V860" s="1"/>
      <c r="W860" s="1"/>
      <c r="X860" s="1"/>
      <c r="Y860" s="1"/>
      <c r="Z860" s="1"/>
    </row>
    <row r="861" spans="1:26" ht="15.75" customHeight="1" x14ac:dyDescent="0.3">
      <c r="A861" s="148"/>
      <c r="B861" s="6"/>
      <c r="C861" s="6"/>
      <c r="D861" s="82"/>
      <c r="E861" s="6"/>
      <c r="F861" s="6"/>
      <c r="G861" s="6"/>
      <c r="H861" s="82"/>
      <c r="I861" s="6"/>
      <c r="J861" s="6"/>
      <c r="K861" s="1"/>
      <c r="L861" s="1"/>
      <c r="M861" s="1"/>
      <c r="N861" s="1"/>
      <c r="O861" s="1"/>
      <c r="P861" s="1"/>
      <c r="Q861" s="1"/>
      <c r="R861" s="1"/>
      <c r="S861" s="1"/>
      <c r="T861" s="1"/>
      <c r="U861" s="1"/>
      <c r="V861" s="1"/>
      <c r="W861" s="1"/>
      <c r="X861" s="1"/>
      <c r="Y861" s="1"/>
      <c r="Z861" s="1"/>
    </row>
    <row r="862" spans="1:26" ht="15.75" customHeight="1" x14ac:dyDescent="0.3">
      <c r="A862" s="148"/>
      <c r="B862" s="6"/>
      <c r="C862" s="6"/>
      <c r="D862" s="82"/>
      <c r="E862" s="6"/>
      <c r="F862" s="6"/>
      <c r="G862" s="6"/>
      <c r="H862" s="82"/>
      <c r="I862" s="6"/>
      <c r="J862" s="6"/>
      <c r="K862" s="1"/>
      <c r="L862" s="1"/>
      <c r="M862" s="1"/>
      <c r="N862" s="1"/>
      <c r="O862" s="1"/>
      <c r="P862" s="1"/>
      <c r="Q862" s="1"/>
      <c r="R862" s="1"/>
      <c r="S862" s="1"/>
      <c r="T862" s="1"/>
      <c r="U862" s="1"/>
      <c r="V862" s="1"/>
      <c r="W862" s="1"/>
      <c r="X862" s="1"/>
      <c r="Y862" s="1"/>
      <c r="Z862" s="1"/>
    </row>
    <row r="863" spans="1:26" ht="15.75" customHeight="1" x14ac:dyDescent="0.3">
      <c r="A863" s="148"/>
      <c r="B863" s="6"/>
      <c r="C863" s="6"/>
      <c r="D863" s="82"/>
      <c r="E863" s="6"/>
      <c r="F863" s="6"/>
      <c r="G863" s="6"/>
      <c r="H863" s="82"/>
      <c r="I863" s="6"/>
      <c r="J863" s="6"/>
      <c r="K863" s="1"/>
      <c r="L863" s="1"/>
      <c r="M863" s="1"/>
      <c r="N863" s="1"/>
      <c r="O863" s="1"/>
      <c r="P863" s="1"/>
      <c r="Q863" s="1"/>
      <c r="R863" s="1"/>
      <c r="S863" s="1"/>
      <c r="T863" s="1"/>
      <c r="U863" s="1"/>
      <c r="V863" s="1"/>
      <c r="W863" s="1"/>
      <c r="X863" s="1"/>
      <c r="Y863" s="1"/>
      <c r="Z863" s="1"/>
    </row>
    <row r="864" spans="1:26" ht="15.75" customHeight="1" x14ac:dyDescent="0.3">
      <c r="A864" s="148"/>
      <c r="B864" s="6"/>
      <c r="C864" s="6"/>
      <c r="D864" s="82"/>
      <c r="E864" s="6"/>
      <c r="F864" s="6"/>
      <c r="G864" s="6"/>
      <c r="H864" s="82"/>
      <c r="I864" s="6"/>
      <c r="J864" s="6"/>
      <c r="K864" s="1"/>
      <c r="L864" s="1"/>
      <c r="M864" s="1"/>
      <c r="N864" s="1"/>
      <c r="O864" s="1"/>
      <c r="P864" s="1"/>
      <c r="Q864" s="1"/>
      <c r="R864" s="1"/>
      <c r="S864" s="1"/>
      <c r="T864" s="1"/>
      <c r="U864" s="1"/>
      <c r="V864" s="1"/>
      <c r="W864" s="1"/>
      <c r="X864" s="1"/>
      <c r="Y864" s="1"/>
      <c r="Z864" s="1"/>
    </row>
    <row r="865" spans="1:26" ht="15.75" customHeight="1" x14ac:dyDescent="0.3">
      <c r="A865" s="148"/>
      <c r="B865" s="6"/>
      <c r="C865" s="6"/>
      <c r="D865" s="82"/>
      <c r="E865" s="6"/>
      <c r="F865" s="6"/>
      <c r="G865" s="6"/>
      <c r="H865" s="82"/>
      <c r="I865" s="6"/>
      <c r="J865" s="6"/>
      <c r="K865" s="1"/>
      <c r="L865" s="1"/>
      <c r="M865" s="1"/>
      <c r="N865" s="1"/>
      <c r="O865" s="1"/>
      <c r="P865" s="1"/>
      <c r="Q865" s="1"/>
      <c r="R865" s="1"/>
      <c r="S865" s="1"/>
      <c r="T865" s="1"/>
      <c r="U865" s="1"/>
      <c r="V865" s="1"/>
      <c r="W865" s="1"/>
      <c r="X865" s="1"/>
      <c r="Y865" s="1"/>
      <c r="Z865" s="1"/>
    </row>
    <row r="866" spans="1:26" ht="15.75" customHeight="1" x14ac:dyDescent="0.3">
      <c r="A866" s="148"/>
      <c r="B866" s="6"/>
      <c r="C866" s="6"/>
      <c r="D866" s="82"/>
      <c r="E866" s="6"/>
      <c r="F866" s="6"/>
      <c r="G866" s="6"/>
      <c r="H866" s="82"/>
      <c r="I866" s="6"/>
      <c r="J866" s="6"/>
      <c r="K866" s="1"/>
      <c r="L866" s="1"/>
      <c r="M866" s="1"/>
      <c r="N866" s="1"/>
      <c r="O866" s="1"/>
      <c r="P866" s="1"/>
      <c r="Q866" s="1"/>
      <c r="R866" s="1"/>
      <c r="S866" s="1"/>
      <c r="T866" s="1"/>
      <c r="U866" s="1"/>
      <c r="V866" s="1"/>
      <c r="W866" s="1"/>
      <c r="X866" s="1"/>
      <c r="Y866" s="1"/>
      <c r="Z866" s="1"/>
    </row>
    <row r="867" spans="1:26" ht="15.75" customHeight="1" x14ac:dyDescent="0.3">
      <c r="A867" s="148"/>
      <c r="B867" s="6"/>
      <c r="C867" s="6"/>
      <c r="D867" s="82"/>
      <c r="E867" s="6"/>
      <c r="F867" s="6"/>
      <c r="G867" s="6"/>
      <c r="H867" s="82"/>
      <c r="I867" s="6"/>
      <c r="J867" s="6"/>
      <c r="K867" s="1"/>
      <c r="L867" s="1"/>
      <c r="M867" s="1"/>
      <c r="N867" s="1"/>
      <c r="O867" s="1"/>
      <c r="P867" s="1"/>
      <c r="Q867" s="1"/>
      <c r="R867" s="1"/>
      <c r="S867" s="1"/>
      <c r="T867" s="1"/>
      <c r="U867" s="1"/>
      <c r="V867" s="1"/>
      <c r="W867" s="1"/>
      <c r="X867" s="1"/>
      <c r="Y867" s="1"/>
      <c r="Z867" s="1"/>
    </row>
    <row r="868" spans="1:26" ht="15.75" customHeight="1" x14ac:dyDescent="0.3">
      <c r="A868" s="148"/>
      <c r="B868" s="6"/>
      <c r="C868" s="6"/>
      <c r="D868" s="82"/>
      <c r="E868" s="6"/>
      <c r="F868" s="6"/>
      <c r="G868" s="6"/>
      <c r="H868" s="82"/>
      <c r="I868" s="6"/>
      <c r="J868" s="6"/>
      <c r="K868" s="1"/>
      <c r="L868" s="1"/>
      <c r="M868" s="1"/>
      <c r="N868" s="1"/>
      <c r="O868" s="1"/>
      <c r="P868" s="1"/>
      <c r="Q868" s="1"/>
      <c r="R868" s="1"/>
      <c r="S868" s="1"/>
      <c r="T868" s="1"/>
      <c r="U868" s="1"/>
      <c r="V868" s="1"/>
      <c r="W868" s="1"/>
      <c r="X868" s="1"/>
      <c r="Y868" s="1"/>
      <c r="Z868" s="1"/>
    </row>
    <row r="869" spans="1:26" ht="15.75" customHeight="1" x14ac:dyDescent="0.3">
      <c r="A869" s="148"/>
      <c r="B869" s="6"/>
      <c r="C869" s="6"/>
      <c r="D869" s="82"/>
      <c r="E869" s="6"/>
      <c r="F869" s="6"/>
      <c r="G869" s="6"/>
      <c r="H869" s="82"/>
      <c r="I869" s="6"/>
      <c r="J869" s="6"/>
      <c r="K869" s="1"/>
      <c r="L869" s="1"/>
      <c r="M869" s="1"/>
      <c r="N869" s="1"/>
      <c r="O869" s="1"/>
      <c r="P869" s="1"/>
      <c r="Q869" s="1"/>
      <c r="R869" s="1"/>
      <c r="S869" s="1"/>
      <c r="T869" s="1"/>
      <c r="U869" s="1"/>
      <c r="V869" s="1"/>
      <c r="W869" s="1"/>
      <c r="X869" s="1"/>
      <c r="Y869" s="1"/>
      <c r="Z869" s="1"/>
    </row>
    <row r="870" spans="1:26" ht="15.75" customHeight="1" x14ac:dyDescent="0.3">
      <c r="A870" s="148"/>
      <c r="B870" s="6"/>
      <c r="C870" s="6"/>
      <c r="D870" s="82"/>
      <c r="E870" s="6"/>
      <c r="F870" s="6"/>
      <c r="G870" s="6"/>
      <c r="H870" s="82"/>
      <c r="I870" s="6"/>
      <c r="J870" s="6"/>
      <c r="K870" s="1"/>
      <c r="L870" s="1"/>
      <c r="M870" s="1"/>
      <c r="N870" s="1"/>
      <c r="O870" s="1"/>
      <c r="P870" s="1"/>
      <c r="Q870" s="1"/>
      <c r="R870" s="1"/>
      <c r="S870" s="1"/>
      <c r="T870" s="1"/>
      <c r="U870" s="1"/>
      <c r="V870" s="1"/>
      <c r="W870" s="1"/>
      <c r="X870" s="1"/>
      <c r="Y870" s="1"/>
      <c r="Z870" s="1"/>
    </row>
    <row r="871" spans="1:26" ht="15.75" customHeight="1" x14ac:dyDescent="0.3">
      <c r="A871" s="148"/>
      <c r="B871" s="6"/>
      <c r="C871" s="6"/>
      <c r="D871" s="82"/>
      <c r="E871" s="6"/>
      <c r="F871" s="6"/>
      <c r="G871" s="6"/>
      <c r="H871" s="82"/>
      <c r="I871" s="6"/>
      <c r="J871" s="6"/>
      <c r="K871" s="1"/>
      <c r="L871" s="1"/>
      <c r="M871" s="1"/>
      <c r="N871" s="1"/>
      <c r="O871" s="1"/>
      <c r="P871" s="1"/>
      <c r="Q871" s="1"/>
      <c r="R871" s="1"/>
      <c r="S871" s="1"/>
      <c r="T871" s="1"/>
      <c r="U871" s="1"/>
      <c r="V871" s="1"/>
      <c r="W871" s="1"/>
      <c r="X871" s="1"/>
      <c r="Y871" s="1"/>
      <c r="Z871" s="1"/>
    </row>
    <row r="872" spans="1:26" ht="15.75" customHeight="1" x14ac:dyDescent="0.3">
      <c r="A872" s="148"/>
      <c r="B872" s="6"/>
      <c r="C872" s="6"/>
      <c r="D872" s="82"/>
      <c r="E872" s="6"/>
      <c r="F872" s="6"/>
      <c r="G872" s="6"/>
      <c r="H872" s="82"/>
      <c r="I872" s="6"/>
      <c r="J872" s="6"/>
      <c r="K872" s="1"/>
      <c r="L872" s="1"/>
      <c r="M872" s="1"/>
      <c r="N872" s="1"/>
      <c r="O872" s="1"/>
      <c r="P872" s="1"/>
      <c r="Q872" s="1"/>
      <c r="R872" s="1"/>
      <c r="S872" s="1"/>
      <c r="T872" s="1"/>
      <c r="U872" s="1"/>
      <c r="V872" s="1"/>
      <c r="W872" s="1"/>
      <c r="X872" s="1"/>
      <c r="Y872" s="1"/>
      <c r="Z872" s="1"/>
    </row>
    <row r="873" spans="1:26" ht="15.75" customHeight="1" x14ac:dyDescent="0.3">
      <c r="A873" s="148"/>
      <c r="B873" s="6"/>
      <c r="C873" s="6"/>
      <c r="D873" s="82"/>
      <c r="E873" s="6"/>
      <c r="F873" s="6"/>
      <c r="G873" s="6"/>
      <c r="H873" s="82"/>
      <c r="I873" s="6"/>
      <c r="J873" s="6"/>
      <c r="K873" s="1"/>
      <c r="L873" s="1"/>
      <c r="M873" s="1"/>
      <c r="N873" s="1"/>
      <c r="O873" s="1"/>
      <c r="P873" s="1"/>
      <c r="Q873" s="1"/>
      <c r="R873" s="1"/>
      <c r="S873" s="1"/>
      <c r="T873" s="1"/>
      <c r="U873" s="1"/>
      <c r="V873" s="1"/>
      <c r="W873" s="1"/>
      <c r="X873" s="1"/>
      <c r="Y873" s="1"/>
      <c r="Z873" s="1"/>
    </row>
    <row r="874" spans="1:26" ht="15.75" customHeight="1" x14ac:dyDescent="0.3">
      <c r="A874" s="148"/>
      <c r="B874" s="6"/>
      <c r="C874" s="6"/>
      <c r="D874" s="82"/>
      <c r="E874" s="6"/>
      <c r="F874" s="6"/>
      <c r="G874" s="6"/>
      <c r="H874" s="82"/>
      <c r="I874" s="6"/>
      <c r="J874" s="6"/>
      <c r="K874" s="1"/>
      <c r="L874" s="1"/>
      <c r="M874" s="1"/>
      <c r="N874" s="1"/>
      <c r="O874" s="1"/>
      <c r="P874" s="1"/>
      <c r="Q874" s="1"/>
      <c r="R874" s="1"/>
      <c r="S874" s="1"/>
      <c r="T874" s="1"/>
      <c r="U874" s="1"/>
      <c r="V874" s="1"/>
      <c r="W874" s="1"/>
      <c r="X874" s="1"/>
      <c r="Y874" s="1"/>
      <c r="Z874" s="1"/>
    </row>
    <row r="875" spans="1:26" ht="15.75" customHeight="1" x14ac:dyDescent="0.3">
      <c r="A875" s="148"/>
      <c r="B875" s="6"/>
      <c r="C875" s="6"/>
      <c r="D875" s="82"/>
      <c r="E875" s="6"/>
      <c r="F875" s="6"/>
      <c r="G875" s="6"/>
      <c r="H875" s="82"/>
      <c r="I875" s="6"/>
      <c r="J875" s="6"/>
      <c r="K875" s="1"/>
      <c r="L875" s="1"/>
      <c r="M875" s="1"/>
      <c r="N875" s="1"/>
      <c r="O875" s="1"/>
      <c r="P875" s="1"/>
      <c r="Q875" s="1"/>
      <c r="R875" s="1"/>
      <c r="S875" s="1"/>
      <c r="T875" s="1"/>
      <c r="U875" s="1"/>
      <c r="V875" s="1"/>
      <c r="W875" s="1"/>
      <c r="X875" s="1"/>
      <c r="Y875" s="1"/>
      <c r="Z875" s="1"/>
    </row>
    <row r="876" spans="1:26" ht="15.75" customHeight="1" x14ac:dyDescent="0.3">
      <c r="A876" s="148"/>
      <c r="B876" s="6"/>
      <c r="C876" s="6"/>
      <c r="D876" s="82"/>
      <c r="E876" s="6"/>
      <c r="F876" s="6"/>
      <c r="G876" s="6"/>
      <c r="H876" s="82"/>
      <c r="I876" s="6"/>
      <c r="J876" s="6"/>
      <c r="K876" s="1"/>
      <c r="L876" s="1"/>
      <c r="M876" s="1"/>
      <c r="N876" s="1"/>
      <c r="O876" s="1"/>
      <c r="P876" s="1"/>
      <c r="Q876" s="1"/>
      <c r="R876" s="1"/>
      <c r="S876" s="1"/>
      <c r="T876" s="1"/>
      <c r="U876" s="1"/>
      <c r="V876" s="1"/>
      <c r="W876" s="1"/>
      <c r="X876" s="1"/>
      <c r="Y876" s="1"/>
      <c r="Z876" s="1"/>
    </row>
    <row r="877" spans="1:26" ht="15.75" customHeight="1" x14ac:dyDescent="0.3">
      <c r="A877" s="148"/>
      <c r="B877" s="6"/>
      <c r="C877" s="6"/>
      <c r="D877" s="82"/>
      <c r="E877" s="6"/>
      <c r="F877" s="6"/>
      <c r="G877" s="6"/>
      <c r="H877" s="82"/>
      <c r="I877" s="6"/>
      <c r="J877" s="6"/>
      <c r="K877" s="1"/>
      <c r="L877" s="1"/>
      <c r="M877" s="1"/>
      <c r="N877" s="1"/>
      <c r="O877" s="1"/>
      <c r="P877" s="1"/>
      <c r="Q877" s="1"/>
      <c r="R877" s="1"/>
      <c r="S877" s="1"/>
      <c r="T877" s="1"/>
      <c r="U877" s="1"/>
      <c r="V877" s="1"/>
      <c r="W877" s="1"/>
      <c r="X877" s="1"/>
      <c r="Y877" s="1"/>
      <c r="Z877" s="1"/>
    </row>
    <row r="878" spans="1:26" ht="15.75" customHeight="1" x14ac:dyDescent="0.3">
      <c r="A878" s="148"/>
      <c r="B878" s="6"/>
      <c r="C878" s="6"/>
      <c r="D878" s="82"/>
      <c r="E878" s="6"/>
      <c r="F878" s="6"/>
      <c r="G878" s="6"/>
      <c r="H878" s="82"/>
      <c r="I878" s="6"/>
      <c r="J878" s="6"/>
      <c r="K878" s="1"/>
      <c r="L878" s="1"/>
      <c r="M878" s="1"/>
      <c r="N878" s="1"/>
      <c r="O878" s="1"/>
      <c r="P878" s="1"/>
      <c r="Q878" s="1"/>
      <c r="R878" s="1"/>
      <c r="S878" s="1"/>
      <c r="T878" s="1"/>
      <c r="U878" s="1"/>
      <c r="V878" s="1"/>
      <c r="W878" s="1"/>
      <c r="X878" s="1"/>
      <c r="Y878" s="1"/>
      <c r="Z878" s="1"/>
    </row>
    <row r="879" spans="1:26" ht="15.75" customHeight="1" x14ac:dyDescent="0.3">
      <c r="A879" s="148"/>
      <c r="B879" s="6"/>
      <c r="C879" s="6"/>
      <c r="D879" s="82"/>
      <c r="E879" s="6"/>
      <c r="F879" s="6"/>
      <c r="G879" s="6"/>
      <c r="H879" s="82"/>
      <c r="I879" s="6"/>
      <c r="J879" s="6"/>
      <c r="K879" s="1"/>
      <c r="L879" s="1"/>
      <c r="M879" s="1"/>
      <c r="N879" s="1"/>
      <c r="O879" s="1"/>
      <c r="P879" s="1"/>
      <c r="Q879" s="1"/>
      <c r="R879" s="1"/>
      <c r="S879" s="1"/>
      <c r="T879" s="1"/>
      <c r="U879" s="1"/>
      <c r="V879" s="1"/>
      <c r="W879" s="1"/>
      <c r="X879" s="1"/>
      <c r="Y879" s="1"/>
      <c r="Z879" s="1"/>
    </row>
    <row r="880" spans="1:26" ht="15.75" customHeight="1" x14ac:dyDescent="0.3">
      <c r="A880" s="148"/>
      <c r="B880" s="6"/>
      <c r="C880" s="6"/>
      <c r="D880" s="82"/>
      <c r="E880" s="6"/>
      <c r="F880" s="6"/>
      <c r="G880" s="6"/>
      <c r="H880" s="82"/>
      <c r="I880" s="6"/>
      <c r="J880" s="6"/>
      <c r="K880" s="1"/>
      <c r="L880" s="1"/>
      <c r="M880" s="1"/>
      <c r="N880" s="1"/>
      <c r="O880" s="1"/>
      <c r="P880" s="1"/>
      <c r="Q880" s="1"/>
      <c r="R880" s="1"/>
      <c r="S880" s="1"/>
      <c r="T880" s="1"/>
      <c r="U880" s="1"/>
      <c r="V880" s="1"/>
      <c r="W880" s="1"/>
      <c r="X880" s="1"/>
      <c r="Y880" s="1"/>
      <c r="Z880" s="1"/>
    </row>
    <row r="881" spans="1:26" ht="15.75" customHeight="1" x14ac:dyDescent="0.3">
      <c r="A881" s="148"/>
      <c r="B881" s="6"/>
      <c r="C881" s="6"/>
      <c r="D881" s="82"/>
      <c r="E881" s="6"/>
      <c r="F881" s="6"/>
      <c r="G881" s="6"/>
      <c r="H881" s="82"/>
      <c r="I881" s="6"/>
      <c r="J881" s="6"/>
      <c r="K881" s="1"/>
      <c r="L881" s="1"/>
      <c r="M881" s="1"/>
      <c r="N881" s="1"/>
      <c r="O881" s="1"/>
      <c r="P881" s="1"/>
      <c r="Q881" s="1"/>
      <c r="R881" s="1"/>
      <c r="S881" s="1"/>
      <c r="T881" s="1"/>
      <c r="U881" s="1"/>
      <c r="V881" s="1"/>
      <c r="W881" s="1"/>
      <c r="X881" s="1"/>
      <c r="Y881" s="1"/>
      <c r="Z881" s="1"/>
    </row>
    <row r="882" spans="1:26" ht="15.75" customHeight="1" x14ac:dyDescent="0.3">
      <c r="A882" s="148"/>
      <c r="B882" s="6"/>
      <c r="C882" s="6"/>
      <c r="D882" s="82"/>
      <c r="E882" s="6"/>
      <c r="F882" s="6"/>
      <c r="G882" s="6"/>
      <c r="H882" s="82"/>
      <c r="I882" s="6"/>
      <c r="J882" s="6"/>
      <c r="K882" s="1"/>
      <c r="L882" s="1"/>
      <c r="M882" s="1"/>
      <c r="N882" s="1"/>
      <c r="O882" s="1"/>
      <c r="P882" s="1"/>
      <c r="Q882" s="1"/>
      <c r="R882" s="1"/>
      <c r="S882" s="1"/>
      <c r="T882" s="1"/>
      <c r="U882" s="1"/>
      <c r="V882" s="1"/>
      <c r="W882" s="1"/>
      <c r="X882" s="1"/>
      <c r="Y882" s="1"/>
      <c r="Z882" s="1"/>
    </row>
    <row r="883" spans="1:26" ht="15.75" customHeight="1" x14ac:dyDescent="0.3">
      <c r="A883" s="148"/>
      <c r="B883" s="6"/>
      <c r="C883" s="6"/>
      <c r="D883" s="82"/>
      <c r="E883" s="6"/>
      <c r="F883" s="6"/>
      <c r="G883" s="6"/>
      <c r="H883" s="82"/>
      <c r="I883" s="6"/>
      <c r="J883" s="6"/>
      <c r="K883" s="1"/>
      <c r="L883" s="1"/>
      <c r="M883" s="1"/>
      <c r="N883" s="1"/>
      <c r="O883" s="1"/>
      <c r="P883" s="1"/>
      <c r="Q883" s="1"/>
      <c r="R883" s="1"/>
      <c r="S883" s="1"/>
      <c r="T883" s="1"/>
      <c r="U883" s="1"/>
      <c r="V883" s="1"/>
      <c r="W883" s="1"/>
      <c r="X883" s="1"/>
      <c r="Y883" s="1"/>
      <c r="Z883" s="1"/>
    </row>
    <row r="884" spans="1:26" ht="15.75" customHeight="1" x14ac:dyDescent="0.3">
      <c r="A884" s="148"/>
      <c r="B884" s="6"/>
      <c r="C884" s="6"/>
      <c r="D884" s="82"/>
      <c r="E884" s="6"/>
      <c r="F884" s="6"/>
      <c r="G884" s="6"/>
      <c r="H884" s="82"/>
      <c r="I884" s="6"/>
      <c r="J884" s="6"/>
      <c r="K884" s="1"/>
      <c r="L884" s="1"/>
      <c r="M884" s="1"/>
      <c r="N884" s="1"/>
      <c r="O884" s="1"/>
      <c r="P884" s="1"/>
      <c r="Q884" s="1"/>
      <c r="R884" s="1"/>
      <c r="S884" s="1"/>
      <c r="T884" s="1"/>
      <c r="U884" s="1"/>
      <c r="V884" s="1"/>
      <c r="W884" s="1"/>
      <c r="X884" s="1"/>
      <c r="Y884" s="1"/>
      <c r="Z884" s="1"/>
    </row>
    <row r="885" spans="1:26" ht="15.75" customHeight="1" x14ac:dyDescent="0.3">
      <c r="A885" s="148"/>
      <c r="B885" s="6"/>
      <c r="C885" s="6"/>
      <c r="D885" s="82"/>
      <c r="E885" s="6"/>
      <c r="F885" s="6"/>
      <c r="G885" s="6"/>
      <c r="H885" s="82"/>
      <c r="I885" s="6"/>
      <c r="J885" s="6"/>
      <c r="K885" s="1"/>
      <c r="L885" s="1"/>
      <c r="M885" s="1"/>
      <c r="N885" s="1"/>
      <c r="O885" s="1"/>
      <c r="P885" s="1"/>
      <c r="Q885" s="1"/>
      <c r="R885" s="1"/>
      <c r="S885" s="1"/>
      <c r="T885" s="1"/>
      <c r="U885" s="1"/>
      <c r="V885" s="1"/>
      <c r="W885" s="1"/>
      <c r="X885" s="1"/>
      <c r="Y885" s="1"/>
      <c r="Z885" s="1"/>
    </row>
    <row r="886" spans="1:26" ht="15.75" customHeight="1" x14ac:dyDescent="0.3">
      <c r="A886" s="148"/>
      <c r="B886" s="6"/>
      <c r="C886" s="6"/>
      <c r="D886" s="82"/>
      <c r="E886" s="6"/>
      <c r="F886" s="6"/>
      <c r="G886" s="6"/>
      <c r="H886" s="82"/>
      <c r="I886" s="6"/>
      <c r="J886" s="6"/>
      <c r="K886" s="1"/>
      <c r="L886" s="1"/>
      <c r="M886" s="1"/>
      <c r="N886" s="1"/>
      <c r="O886" s="1"/>
      <c r="P886" s="1"/>
      <c r="Q886" s="1"/>
      <c r="R886" s="1"/>
      <c r="S886" s="1"/>
      <c r="T886" s="1"/>
      <c r="U886" s="1"/>
      <c r="V886" s="1"/>
      <c r="W886" s="1"/>
      <c r="X886" s="1"/>
      <c r="Y886" s="1"/>
      <c r="Z886" s="1"/>
    </row>
    <row r="887" spans="1:26" ht="15.75" customHeight="1" x14ac:dyDescent="0.3">
      <c r="A887" s="148"/>
      <c r="B887" s="6"/>
      <c r="C887" s="6"/>
      <c r="D887" s="82"/>
      <c r="E887" s="6"/>
      <c r="F887" s="6"/>
      <c r="G887" s="6"/>
      <c r="H887" s="82"/>
      <c r="I887" s="6"/>
      <c r="J887" s="6"/>
      <c r="K887" s="1"/>
      <c r="L887" s="1"/>
      <c r="M887" s="1"/>
      <c r="N887" s="1"/>
      <c r="O887" s="1"/>
      <c r="P887" s="1"/>
      <c r="Q887" s="1"/>
      <c r="R887" s="1"/>
      <c r="S887" s="1"/>
      <c r="T887" s="1"/>
      <c r="U887" s="1"/>
      <c r="V887" s="1"/>
      <c r="W887" s="1"/>
      <c r="X887" s="1"/>
      <c r="Y887" s="1"/>
      <c r="Z887" s="1"/>
    </row>
    <row r="888" spans="1:26" ht="15.75" customHeight="1" x14ac:dyDescent="0.3">
      <c r="A888" s="148"/>
      <c r="B888" s="6"/>
      <c r="C888" s="6"/>
      <c r="D888" s="82"/>
      <c r="E888" s="6"/>
      <c r="F888" s="6"/>
      <c r="G888" s="6"/>
      <c r="H888" s="82"/>
      <c r="I888" s="6"/>
      <c r="J888" s="6"/>
      <c r="K888" s="1"/>
      <c r="L888" s="1"/>
      <c r="M888" s="1"/>
      <c r="N888" s="1"/>
      <c r="O888" s="1"/>
      <c r="P888" s="1"/>
      <c r="Q888" s="1"/>
      <c r="R888" s="1"/>
      <c r="S888" s="1"/>
      <c r="T888" s="1"/>
      <c r="U888" s="1"/>
      <c r="V888" s="1"/>
      <c r="W888" s="1"/>
      <c r="X888" s="1"/>
      <c r="Y888" s="1"/>
      <c r="Z888" s="1"/>
    </row>
    <row r="889" spans="1:26" ht="15.75" customHeight="1" x14ac:dyDescent="0.3">
      <c r="A889" s="148"/>
      <c r="B889" s="6"/>
      <c r="C889" s="6"/>
      <c r="D889" s="82"/>
      <c r="E889" s="6"/>
      <c r="F889" s="6"/>
      <c r="G889" s="6"/>
      <c r="H889" s="82"/>
      <c r="I889" s="6"/>
      <c r="J889" s="6"/>
      <c r="K889" s="1"/>
      <c r="L889" s="1"/>
      <c r="M889" s="1"/>
      <c r="N889" s="1"/>
      <c r="O889" s="1"/>
      <c r="P889" s="1"/>
      <c r="Q889" s="1"/>
      <c r="R889" s="1"/>
      <c r="S889" s="1"/>
      <c r="T889" s="1"/>
      <c r="U889" s="1"/>
      <c r="V889" s="1"/>
      <c r="W889" s="1"/>
      <c r="X889" s="1"/>
      <c r="Y889" s="1"/>
      <c r="Z889" s="1"/>
    </row>
    <row r="890" spans="1:26" ht="15.75" customHeight="1" x14ac:dyDescent="0.3">
      <c r="A890" s="148"/>
      <c r="B890" s="6"/>
      <c r="C890" s="6"/>
      <c r="D890" s="82"/>
      <c r="E890" s="6"/>
      <c r="F890" s="6"/>
      <c r="G890" s="6"/>
      <c r="H890" s="82"/>
      <c r="I890" s="6"/>
      <c r="J890" s="6"/>
      <c r="K890" s="1"/>
      <c r="L890" s="1"/>
      <c r="M890" s="1"/>
      <c r="N890" s="1"/>
      <c r="O890" s="1"/>
      <c r="P890" s="1"/>
      <c r="Q890" s="1"/>
      <c r="R890" s="1"/>
      <c r="S890" s="1"/>
      <c r="T890" s="1"/>
      <c r="U890" s="1"/>
      <c r="V890" s="1"/>
      <c r="W890" s="1"/>
      <c r="X890" s="1"/>
      <c r="Y890" s="1"/>
      <c r="Z890" s="1"/>
    </row>
    <row r="891" spans="1:26" ht="15.75" customHeight="1" x14ac:dyDescent="0.3">
      <c r="A891" s="148"/>
      <c r="B891" s="6"/>
      <c r="C891" s="6"/>
      <c r="D891" s="82"/>
      <c r="E891" s="6"/>
      <c r="F891" s="6"/>
      <c r="G891" s="6"/>
      <c r="H891" s="82"/>
      <c r="I891" s="6"/>
      <c r="J891" s="6"/>
      <c r="K891" s="1"/>
      <c r="L891" s="1"/>
      <c r="M891" s="1"/>
      <c r="N891" s="1"/>
      <c r="O891" s="1"/>
      <c r="P891" s="1"/>
      <c r="Q891" s="1"/>
      <c r="R891" s="1"/>
      <c r="S891" s="1"/>
      <c r="T891" s="1"/>
      <c r="U891" s="1"/>
      <c r="V891" s="1"/>
      <c r="W891" s="1"/>
      <c r="X891" s="1"/>
      <c r="Y891" s="1"/>
      <c r="Z891" s="1"/>
    </row>
    <row r="892" spans="1:26" ht="15.75" customHeight="1" x14ac:dyDescent="0.3">
      <c r="A892" s="148"/>
      <c r="B892" s="6"/>
      <c r="C892" s="6"/>
      <c r="D892" s="82"/>
      <c r="E892" s="6"/>
      <c r="F892" s="6"/>
      <c r="G892" s="6"/>
      <c r="H892" s="82"/>
      <c r="I892" s="6"/>
      <c r="J892" s="6"/>
      <c r="K892" s="1"/>
      <c r="L892" s="1"/>
      <c r="M892" s="1"/>
      <c r="N892" s="1"/>
      <c r="O892" s="1"/>
      <c r="P892" s="1"/>
      <c r="Q892" s="1"/>
      <c r="R892" s="1"/>
      <c r="S892" s="1"/>
      <c r="T892" s="1"/>
      <c r="U892" s="1"/>
      <c r="V892" s="1"/>
      <c r="W892" s="1"/>
      <c r="X892" s="1"/>
      <c r="Y892" s="1"/>
      <c r="Z892" s="1"/>
    </row>
    <row r="893" spans="1:26" ht="15.75" customHeight="1" x14ac:dyDescent="0.3">
      <c r="A893" s="148"/>
      <c r="B893" s="6"/>
      <c r="C893" s="6"/>
      <c r="D893" s="82"/>
      <c r="E893" s="6"/>
      <c r="F893" s="6"/>
      <c r="G893" s="6"/>
      <c r="H893" s="82"/>
      <c r="I893" s="6"/>
      <c r="J893" s="6"/>
      <c r="K893" s="1"/>
      <c r="L893" s="1"/>
      <c r="M893" s="1"/>
      <c r="N893" s="1"/>
      <c r="O893" s="1"/>
      <c r="P893" s="1"/>
      <c r="Q893" s="1"/>
      <c r="R893" s="1"/>
      <c r="S893" s="1"/>
      <c r="T893" s="1"/>
      <c r="U893" s="1"/>
      <c r="V893" s="1"/>
      <c r="W893" s="1"/>
      <c r="X893" s="1"/>
      <c r="Y893" s="1"/>
      <c r="Z893" s="1"/>
    </row>
    <row r="894" spans="1:26" ht="15.75" customHeight="1" x14ac:dyDescent="0.3">
      <c r="A894" s="148"/>
      <c r="B894" s="6"/>
      <c r="C894" s="6"/>
      <c r="D894" s="82"/>
      <c r="E894" s="6"/>
      <c r="F894" s="6"/>
      <c r="G894" s="6"/>
      <c r="H894" s="82"/>
      <c r="I894" s="6"/>
      <c r="J894" s="6"/>
      <c r="K894" s="1"/>
      <c r="L894" s="1"/>
      <c r="M894" s="1"/>
      <c r="N894" s="1"/>
      <c r="O894" s="1"/>
      <c r="P894" s="1"/>
      <c r="Q894" s="1"/>
      <c r="R894" s="1"/>
      <c r="S894" s="1"/>
      <c r="T894" s="1"/>
      <c r="U894" s="1"/>
      <c r="V894" s="1"/>
      <c r="W894" s="1"/>
      <c r="X894" s="1"/>
      <c r="Y894" s="1"/>
      <c r="Z894" s="1"/>
    </row>
    <row r="895" spans="1:26" ht="15.75" customHeight="1" x14ac:dyDescent="0.3">
      <c r="A895" s="148"/>
      <c r="B895" s="6"/>
      <c r="C895" s="6"/>
      <c r="D895" s="82"/>
      <c r="E895" s="6"/>
      <c r="F895" s="6"/>
      <c r="G895" s="6"/>
      <c r="H895" s="82"/>
      <c r="I895" s="6"/>
      <c r="J895" s="6"/>
      <c r="K895" s="1"/>
      <c r="L895" s="1"/>
      <c r="M895" s="1"/>
      <c r="N895" s="1"/>
      <c r="O895" s="1"/>
      <c r="P895" s="1"/>
      <c r="Q895" s="1"/>
      <c r="R895" s="1"/>
      <c r="S895" s="1"/>
      <c r="T895" s="1"/>
      <c r="U895" s="1"/>
      <c r="V895" s="1"/>
      <c r="W895" s="1"/>
      <c r="X895" s="1"/>
      <c r="Y895" s="1"/>
      <c r="Z895" s="1"/>
    </row>
    <row r="896" spans="1:26" ht="15.75" customHeight="1" x14ac:dyDescent="0.3">
      <c r="A896" s="148"/>
      <c r="B896" s="6"/>
      <c r="C896" s="6"/>
      <c r="D896" s="82"/>
      <c r="E896" s="6"/>
      <c r="F896" s="6"/>
      <c r="G896" s="6"/>
      <c r="H896" s="82"/>
      <c r="I896" s="6"/>
      <c r="J896" s="6"/>
      <c r="K896" s="1"/>
      <c r="L896" s="1"/>
      <c r="M896" s="1"/>
      <c r="N896" s="1"/>
      <c r="O896" s="1"/>
      <c r="P896" s="1"/>
      <c r="Q896" s="1"/>
      <c r="R896" s="1"/>
      <c r="S896" s="1"/>
      <c r="T896" s="1"/>
      <c r="U896" s="1"/>
      <c r="V896" s="1"/>
      <c r="W896" s="1"/>
      <c r="X896" s="1"/>
      <c r="Y896" s="1"/>
      <c r="Z896" s="1"/>
    </row>
    <row r="897" spans="1:26" ht="15.75" customHeight="1" x14ac:dyDescent="0.3">
      <c r="A897" s="148"/>
      <c r="B897" s="6"/>
      <c r="C897" s="6"/>
      <c r="D897" s="82"/>
      <c r="E897" s="6"/>
      <c r="F897" s="6"/>
      <c r="G897" s="6"/>
      <c r="H897" s="82"/>
      <c r="I897" s="6"/>
      <c r="J897" s="6"/>
      <c r="K897" s="1"/>
      <c r="L897" s="1"/>
      <c r="M897" s="1"/>
      <c r="N897" s="1"/>
      <c r="O897" s="1"/>
      <c r="P897" s="1"/>
      <c r="Q897" s="1"/>
      <c r="R897" s="1"/>
      <c r="S897" s="1"/>
      <c r="T897" s="1"/>
      <c r="U897" s="1"/>
      <c r="V897" s="1"/>
      <c r="W897" s="1"/>
      <c r="X897" s="1"/>
      <c r="Y897" s="1"/>
      <c r="Z897" s="1"/>
    </row>
    <row r="898" spans="1:26" ht="15.75" customHeight="1" x14ac:dyDescent="0.3">
      <c r="A898" s="148"/>
      <c r="B898" s="6"/>
      <c r="C898" s="6"/>
      <c r="D898" s="82"/>
      <c r="E898" s="6"/>
      <c r="F898" s="6"/>
      <c r="G898" s="6"/>
      <c r="H898" s="82"/>
      <c r="I898" s="6"/>
      <c r="J898" s="6"/>
      <c r="K898" s="1"/>
      <c r="L898" s="1"/>
      <c r="M898" s="1"/>
      <c r="N898" s="1"/>
      <c r="O898" s="1"/>
      <c r="P898" s="1"/>
      <c r="Q898" s="1"/>
      <c r="R898" s="1"/>
      <c r="S898" s="1"/>
      <c r="T898" s="1"/>
      <c r="U898" s="1"/>
      <c r="V898" s="1"/>
      <c r="W898" s="1"/>
      <c r="X898" s="1"/>
      <c r="Y898" s="1"/>
      <c r="Z898" s="1"/>
    </row>
    <row r="899" spans="1:26" ht="15.75" customHeight="1" x14ac:dyDescent="0.3">
      <c r="A899" s="148"/>
      <c r="B899" s="6"/>
      <c r="C899" s="6"/>
      <c r="D899" s="82"/>
      <c r="E899" s="6"/>
      <c r="F899" s="6"/>
      <c r="G899" s="6"/>
      <c r="H899" s="82"/>
      <c r="I899" s="6"/>
      <c r="J899" s="6"/>
      <c r="K899" s="1"/>
      <c r="L899" s="1"/>
      <c r="M899" s="1"/>
      <c r="N899" s="1"/>
      <c r="O899" s="1"/>
      <c r="P899" s="1"/>
      <c r="Q899" s="1"/>
      <c r="R899" s="1"/>
      <c r="S899" s="1"/>
      <c r="T899" s="1"/>
      <c r="U899" s="1"/>
      <c r="V899" s="1"/>
      <c r="W899" s="1"/>
      <c r="X899" s="1"/>
      <c r="Y899" s="1"/>
      <c r="Z899" s="1"/>
    </row>
    <row r="900" spans="1:26" ht="15.75" customHeight="1" x14ac:dyDescent="0.3">
      <c r="A900" s="148"/>
      <c r="B900" s="6"/>
      <c r="C900" s="6"/>
      <c r="D900" s="82"/>
      <c r="E900" s="6"/>
      <c r="F900" s="6"/>
      <c r="G900" s="6"/>
      <c r="H900" s="82"/>
      <c r="I900" s="6"/>
      <c r="J900" s="6"/>
      <c r="K900" s="1"/>
      <c r="L900" s="1"/>
      <c r="M900" s="1"/>
      <c r="N900" s="1"/>
      <c r="O900" s="1"/>
      <c r="P900" s="1"/>
      <c r="Q900" s="1"/>
      <c r="R900" s="1"/>
      <c r="S900" s="1"/>
      <c r="T900" s="1"/>
      <c r="U900" s="1"/>
      <c r="V900" s="1"/>
      <c r="W900" s="1"/>
      <c r="X900" s="1"/>
      <c r="Y900" s="1"/>
      <c r="Z900" s="1"/>
    </row>
    <row r="901" spans="1:26" ht="15.75" customHeight="1" x14ac:dyDescent="0.3">
      <c r="A901" s="148"/>
      <c r="B901" s="6"/>
      <c r="C901" s="6"/>
      <c r="D901" s="82"/>
      <c r="E901" s="6"/>
      <c r="F901" s="6"/>
      <c r="G901" s="6"/>
      <c r="H901" s="82"/>
      <c r="I901" s="6"/>
      <c r="J901" s="6"/>
      <c r="K901" s="1"/>
      <c r="L901" s="1"/>
      <c r="M901" s="1"/>
      <c r="N901" s="1"/>
      <c r="O901" s="1"/>
      <c r="P901" s="1"/>
      <c r="Q901" s="1"/>
      <c r="R901" s="1"/>
      <c r="S901" s="1"/>
      <c r="T901" s="1"/>
      <c r="U901" s="1"/>
      <c r="V901" s="1"/>
      <c r="W901" s="1"/>
      <c r="X901" s="1"/>
      <c r="Y901" s="1"/>
      <c r="Z901" s="1"/>
    </row>
    <row r="902" spans="1:26" ht="15.75" customHeight="1" x14ac:dyDescent="0.3">
      <c r="A902" s="148"/>
      <c r="B902" s="6"/>
      <c r="C902" s="6"/>
      <c r="D902" s="82"/>
      <c r="E902" s="6"/>
      <c r="F902" s="6"/>
      <c r="G902" s="6"/>
      <c r="H902" s="82"/>
      <c r="I902" s="6"/>
      <c r="J902" s="6"/>
      <c r="K902" s="1"/>
      <c r="L902" s="1"/>
      <c r="M902" s="1"/>
      <c r="N902" s="1"/>
      <c r="O902" s="1"/>
      <c r="P902" s="1"/>
      <c r="Q902" s="1"/>
      <c r="R902" s="1"/>
      <c r="S902" s="1"/>
      <c r="T902" s="1"/>
      <c r="U902" s="1"/>
      <c r="V902" s="1"/>
      <c r="W902" s="1"/>
      <c r="X902" s="1"/>
      <c r="Y902" s="1"/>
      <c r="Z902" s="1"/>
    </row>
    <row r="903" spans="1:26" ht="15.75" customHeight="1" x14ac:dyDescent="0.3">
      <c r="A903" s="148"/>
      <c r="B903" s="6"/>
      <c r="C903" s="6"/>
      <c r="D903" s="82"/>
      <c r="E903" s="6"/>
      <c r="F903" s="6"/>
      <c r="G903" s="6"/>
      <c r="H903" s="82"/>
      <c r="I903" s="6"/>
      <c r="J903" s="6"/>
      <c r="K903" s="1"/>
      <c r="L903" s="1"/>
      <c r="M903" s="1"/>
      <c r="N903" s="1"/>
      <c r="O903" s="1"/>
      <c r="P903" s="1"/>
      <c r="Q903" s="1"/>
      <c r="R903" s="1"/>
      <c r="S903" s="1"/>
      <c r="T903" s="1"/>
      <c r="U903" s="1"/>
      <c r="V903" s="1"/>
      <c r="W903" s="1"/>
      <c r="X903" s="1"/>
      <c r="Y903" s="1"/>
      <c r="Z903" s="1"/>
    </row>
    <row r="904" spans="1:26" ht="15.75" customHeight="1" x14ac:dyDescent="0.3">
      <c r="A904" s="148"/>
      <c r="B904" s="6"/>
      <c r="C904" s="6"/>
      <c r="D904" s="82"/>
      <c r="E904" s="6"/>
      <c r="F904" s="6"/>
      <c r="G904" s="6"/>
      <c r="H904" s="82"/>
      <c r="I904" s="6"/>
      <c r="J904" s="6"/>
      <c r="K904" s="1"/>
      <c r="L904" s="1"/>
      <c r="M904" s="1"/>
      <c r="N904" s="1"/>
      <c r="O904" s="1"/>
      <c r="P904" s="1"/>
      <c r="Q904" s="1"/>
      <c r="R904" s="1"/>
      <c r="S904" s="1"/>
      <c r="T904" s="1"/>
      <c r="U904" s="1"/>
      <c r="V904" s="1"/>
      <c r="W904" s="1"/>
      <c r="X904" s="1"/>
      <c r="Y904" s="1"/>
      <c r="Z904" s="1"/>
    </row>
    <row r="905" spans="1:26" ht="15.75" customHeight="1" x14ac:dyDescent="0.3">
      <c r="A905" s="148"/>
      <c r="B905" s="6"/>
      <c r="C905" s="6"/>
      <c r="D905" s="82"/>
      <c r="E905" s="6"/>
      <c r="F905" s="6"/>
      <c r="G905" s="6"/>
      <c r="H905" s="82"/>
      <c r="I905" s="6"/>
      <c r="J905" s="6"/>
      <c r="K905" s="1"/>
      <c r="L905" s="1"/>
      <c r="M905" s="1"/>
      <c r="N905" s="1"/>
      <c r="O905" s="1"/>
      <c r="P905" s="1"/>
      <c r="Q905" s="1"/>
      <c r="R905" s="1"/>
      <c r="S905" s="1"/>
      <c r="T905" s="1"/>
      <c r="U905" s="1"/>
      <c r="V905" s="1"/>
      <c r="W905" s="1"/>
      <c r="X905" s="1"/>
      <c r="Y905" s="1"/>
      <c r="Z905" s="1"/>
    </row>
    <row r="906" spans="1:26" ht="15.75" customHeight="1" x14ac:dyDescent="0.3">
      <c r="A906" s="148"/>
      <c r="B906" s="6"/>
      <c r="C906" s="6"/>
      <c r="D906" s="82"/>
      <c r="E906" s="6"/>
      <c r="F906" s="6"/>
      <c r="G906" s="6"/>
      <c r="H906" s="82"/>
      <c r="I906" s="6"/>
      <c r="J906" s="6"/>
      <c r="K906" s="1"/>
      <c r="L906" s="1"/>
      <c r="M906" s="1"/>
      <c r="N906" s="1"/>
      <c r="O906" s="1"/>
      <c r="P906" s="1"/>
      <c r="Q906" s="1"/>
      <c r="R906" s="1"/>
      <c r="S906" s="1"/>
      <c r="T906" s="1"/>
      <c r="U906" s="1"/>
      <c r="V906" s="1"/>
      <c r="W906" s="1"/>
      <c r="X906" s="1"/>
      <c r="Y906" s="1"/>
      <c r="Z906" s="1"/>
    </row>
    <row r="907" spans="1:26" ht="15.75" customHeight="1" x14ac:dyDescent="0.3">
      <c r="A907" s="148"/>
      <c r="B907" s="6"/>
      <c r="C907" s="6"/>
      <c r="D907" s="82"/>
      <c r="E907" s="6"/>
      <c r="F907" s="6"/>
      <c r="G907" s="6"/>
      <c r="H907" s="82"/>
      <c r="I907" s="6"/>
      <c r="J907" s="6"/>
      <c r="K907" s="1"/>
      <c r="L907" s="1"/>
      <c r="M907" s="1"/>
      <c r="N907" s="1"/>
      <c r="O907" s="1"/>
      <c r="P907" s="1"/>
      <c r="Q907" s="1"/>
      <c r="R907" s="1"/>
      <c r="S907" s="1"/>
      <c r="T907" s="1"/>
      <c r="U907" s="1"/>
      <c r="V907" s="1"/>
      <c r="W907" s="1"/>
      <c r="X907" s="1"/>
      <c r="Y907" s="1"/>
      <c r="Z907" s="1"/>
    </row>
    <row r="908" spans="1:26" ht="15.75" customHeight="1" x14ac:dyDescent="0.3">
      <c r="A908" s="148"/>
      <c r="B908" s="6"/>
      <c r="C908" s="6"/>
      <c r="D908" s="82"/>
      <c r="E908" s="6"/>
      <c r="F908" s="6"/>
      <c r="G908" s="6"/>
      <c r="H908" s="82"/>
      <c r="I908" s="6"/>
      <c r="J908" s="6"/>
      <c r="K908" s="1"/>
      <c r="L908" s="1"/>
      <c r="M908" s="1"/>
      <c r="N908" s="1"/>
      <c r="O908" s="1"/>
      <c r="P908" s="1"/>
      <c r="Q908" s="1"/>
      <c r="R908" s="1"/>
      <c r="S908" s="1"/>
      <c r="T908" s="1"/>
      <c r="U908" s="1"/>
      <c r="V908" s="1"/>
      <c r="W908" s="1"/>
      <c r="X908" s="1"/>
      <c r="Y908" s="1"/>
      <c r="Z908" s="1"/>
    </row>
    <row r="909" spans="1:26" ht="15.75" customHeight="1" x14ac:dyDescent="0.3">
      <c r="A909" s="148"/>
      <c r="B909" s="6"/>
      <c r="C909" s="6"/>
      <c r="D909" s="82"/>
      <c r="E909" s="6"/>
      <c r="F909" s="6"/>
      <c r="G909" s="6"/>
      <c r="H909" s="82"/>
      <c r="I909" s="6"/>
      <c r="J909" s="6"/>
      <c r="K909" s="1"/>
      <c r="L909" s="1"/>
      <c r="M909" s="1"/>
      <c r="N909" s="1"/>
      <c r="O909" s="1"/>
      <c r="P909" s="1"/>
      <c r="Q909" s="1"/>
      <c r="R909" s="1"/>
      <c r="S909" s="1"/>
      <c r="T909" s="1"/>
      <c r="U909" s="1"/>
      <c r="V909" s="1"/>
      <c r="W909" s="1"/>
      <c r="X909" s="1"/>
      <c r="Y909" s="1"/>
      <c r="Z909" s="1"/>
    </row>
    <row r="910" spans="1:26" ht="15.75" customHeight="1" x14ac:dyDescent="0.3">
      <c r="A910" s="148"/>
      <c r="B910" s="6"/>
      <c r="C910" s="6"/>
      <c r="D910" s="82"/>
      <c r="E910" s="6"/>
      <c r="F910" s="6"/>
      <c r="G910" s="6"/>
      <c r="H910" s="82"/>
      <c r="I910" s="6"/>
      <c r="J910" s="6"/>
      <c r="K910" s="1"/>
      <c r="L910" s="1"/>
      <c r="M910" s="1"/>
      <c r="N910" s="1"/>
      <c r="O910" s="1"/>
      <c r="P910" s="1"/>
      <c r="Q910" s="1"/>
      <c r="R910" s="1"/>
      <c r="S910" s="1"/>
      <c r="T910" s="1"/>
      <c r="U910" s="1"/>
      <c r="V910" s="1"/>
      <c r="W910" s="1"/>
      <c r="X910" s="1"/>
      <c r="Y910" s="1"/>
      <c r="Z910" s="1"/>
    </row>
    <row r="911" spans="1:26" ht="15.75" customHeight="1" x14ac:dyDescent="0.3">
      <c r="A911" s="148"/>
      <c r="B911" s="6"/>
      <c r="C911" s="6"/>
      <c r="D911" s="82"/>
      <c r="E911" s="6"/>
      <c r="F911" s="6"/>
      <c r="G911" s="6"/>
      <c r="H911" s="82"/>
      <c r="I911" s="6"/>
      <c r="J911" s="6"/>
      <c r="K911" s="1"/>
      <c r="L911" s="1"/>
      <c r="M911" s="1"/>
      <c r="N911" s="1"/>
      <c r="O911" s="1"/>
      <c r="P911" s="1"/>
      <c r="Q911" s="1"/>
      <c r="R911" s="1"/>
      <c r="S911" s="1"/>
      <c r="T911" s="1"/>
      <c r="U911" s="1"/>
      <c r="V911" s="1"/>
      <c r="W911" s="1"/>
      <c r="X911" s="1"/>
      <c r="Y911" s="1"/>
      <c r="Z911" s="1"/>
    </row>
    <row r="912" spans="1:26" ht="15.75" customHeight="1" x14ac:dyDescent="0.3">
      <c r="A912" s="148"/>
      <c r="B912" s="6"/>
      <c r="C912" s="6"/>
      <c r="D912" s="82"/>
      <c r="E912" s="6"/>
      <c r="F912" s="6"/>
      <c r="G912" s="6"/>
      <c r="H912" s="82"/>
      <c r="I912" s="6"/>
      <c r="J912" s="6"/>
      <c r="K912" s="1"/>
      <c r="L912" s="1"/>
      <c r="M912" s="1"/>
      <c r="N912" s="1"/>
      <c r="O912" s="1"/>
      <c r="P912" s="1"/>
      <c r="Q912" s="1"/>
      <c r="R912" s="1"/>
      <c r="S912" s="1"/>
      <c r="T912" s="1"/>
      <c r="U912" s="1"/>
      <c r="V912" s="1"/>
      <c r="W912" s="1"/>
      <c r="X912" s="1"/>
      <c r="Y912" s="1"/>
      <c r="Z912" s="1"/>
    </row>
    <row r="913" spans="1:26" ht="15.75" customHeight="1" x14ac:dyDescent="0.3">
      <c r="A913" s="148"/>
      <c r="B913" s="6"/>
      <c r="C913" s="6"/>
      <c r="D913" s="82"/>
      <c r="E913" s="6"/>
      <c r="F913" s="6"/>
      <c r="G913" s="6"/>
      <c r="H913" s="82"/>
      <c r="I913" s="6"/>
      <c r="J913" s="6"/>
      <c r="K913" s="1"/>
      <c r="L913" s="1"/>
      <c r="M913" s="1"/>
      <c r="N913" s="1"/>
      <c r="O913" s="1"/>
      <c r="P913" s="1"/>
      <c r="Q913" s="1"/>
      <c r="R913" s="1"/>
      <c r="S913" s="1"/>
      <c r="T913" s="1"/>
      <c r="U913" s="1"/>
      <c r="V913" s="1"/>
      <c r="W913" s="1"/>
      <c r="X913" s="1"/>
      <c r="Y913" s="1"/>
      <c r="Z913" s="1"/>
    </row>
    <row r="914" spans="1:26" ht="15.75" customHeight="1" x14ac:dyDescent="0.3">
      <c r="A914" s="148"/>
      <c r="B914" s="6"/>
      <c r="C914" s="6"/>
      <c r="D914" s="82"/>
      <c r="E914" s="6"/>
      <c r="F914" s="6"/>
      <c r="G914" s="6"/>
      <c r="H914" s="82"/>
      <c r="I914" s="6"/>
      <c r="J914" s="6"/>
      <c r="K914" s="1"/>
      <c r="L914" s="1"/>
      <c r="M914" s="1"/>
      <c r="N914" s="1"/>
      <c r="O914" s="1"/>
      <c r="P914" s="1"/>
      <c r="Q914" s="1"/>
      <c r="R914" s="1"/>
      <c r="S914" s="1"/>
      <c r="T914" s="1"/>
      <c r="U914" s="1"/>
      <c r="V914" s="1"/>
      <c r="W914" s="1"/>
      <c r="X914" s="1"/>
      <c r="Y914" s="1"/>
      <c r="Z914" s="1"/>
    </row>
    <row r="915" spans="1:26" ht="15.75" customHeight="1" x14ac:dyDescent="0.3">
      <c r="A915" s="148"/>
      <c r="B915" s="6"/>
      <c r="C915" s="6"/>
      <c r="D915" s="82"/>
      <c r="E915" s="6"/>
      <c r="F915" s="6"/>
      <c r="G915" s="6"/>
      <c r="H915" s="82"/>
      <c r="I915" s="6"/>
      <c r="J915" s="6"/>
      <c r="K915" s="1"/>
      <c r="L915" s="1"/>
      <c r="M915" s="1"/>
      <c r="N915" s="1"/>
      <c r="O915" s="1"/>
      <c r="P915" s="1"/>
      <c r="Q915" s="1"/>
      <c r="R915" s="1"/>
      <c r="S915" s="1"/>
      <c r="T915" s="1"/>
      <c r="U915" s="1"/>
      <c r="V915" s="1"/>
      <c r="W915" s="1"/>
      <c r="X915" s="1"/>
      <c r="Y915" s="1"/>
      <c r="Z915" s="1"/>
    </row>
    <row r="916" spans="1:26" ht="15.75" customHeight="1" x14ac:dyDescent="0.3">
      <c r="A916" s="148"/>
      <c r="B916" s="6"/>
      <c r="C916" s="6"/>
      <c r="D916" s="82"/>
      <c r="E916" s="6"/>
      <c r="F916" s="6"/>
      <c r="G916" s="6"/>
      <c r="H916" s="82"/>
      <c r="I916" s="6"/>
      <c r="J916" s="6"/>
      <c r="K916" s="1"/>
      <c r="L916" s="1"/>
      <c r="M916" s="1"/>
      <c r="N916" s="1"/>
      <c r="O916" s="1"/>
      <c r="P916" s="1"/>
      <c r="Q916" s="1"/>
      <c r="R916" s="1"/>
      <c r="S916" s="1"/>
      <c r="T916" s="1"/>
      <c r="U916" s="1"/>
      <c r="V916" s="1"/>
      <c r="W916" s="1"/>
      <c r="X916" s="1"/>
      <c r="Y916" s="1"/>
      <c r="Z916" s="1"/>
    </row>
    <row r="917" spans="1:26" ht="15.75" customHeight="1" x14ac:dyDescent="0.3">
      <c r="A917" s="148"/>
      <c r="B917" s="6"/>
      <c r="C917" s="6"/>
      <c r="D917" s="82"/>
      <c r="E917" s="6"/>
      <c r="F917" s="6"/>
      <c r="G917" s="6"/>
      <c r="H917" s="82"/>
      <c r="I917" s="6"/>
      <c r="J917" s="6"/>
      <c r="K917" s="1"/>
      <c r="L917" s="1"/>
      <c r="M917" s="1"/>
      <c r="N917" s="1"/>
      <c r="O917" s="1"/>
      <c r="P917" s="1"/>
      <c r="Q917" s="1"/>
      <c r="R917" s="1"/>
      <c r="S917" s="1"/>
      <c r="T917" s="1"/>
      <c r="U917" s="1"/>
      <c r="V917" s="1"/>
      <c r="W917" s="1"/>
      <c r="X917" s="1"/>
      <c r="Y917" s="1"/>
      <c r="Z917" s="1"/>
    </row>
    <row r="918" spans="1:26" ht="15.75" customHeight="1" x14ac:dyDescent="0.3">
      <c r="A918" s="148"/>
      <c r="B918" s="6"/>
      <c r="C918" s="6"/>
      <c r="D918" s="82"/>
      <c r="E918" s="6"/>
      <c r="F918" s="6"/>
      <c r="G918" s="6"/>
      <c r="H918" s="82"/>
      <c r="I918" s="6"/>
      <c r="J918" s="6"/>
      <c r="K918" s="1"/>
      <c r="L918" s="1"/>
      <c r="M918" s="1"/>
      <c r="N918" s="1"/>
      <c r="O918" s="1"/>
      <c r="P918" s="1"/>
      <c r="Q918" s="1"/>
      <c r="R918" s="1"/>
      <c r="S918" s="1"/>
      <c r="T918" s="1"/>
      <c r="U918" s="1"/>
      <c r="V918" s="1"/>
      <c r="W918" s="1"/>
      <c r="X918" s="1"/>
      <c r="Y918" s="1"/>
      <c r="Z918" s="1"/>
    </row>
    <row r="919" spans="1:26" ht="15.75" customHeight="1" x14ac:dyDescent="0.3">
      <c r="A919" s="148"/>
      <c r="B919" s="6"/>
      <c r="C919" s="6"/>
      <c r="D919" s="82"/>
      <c r="E919" s="6"/>
      <c r="F919" s="6"/>
      <c r="G919" s="6"/>
      <c r="H919" s="82"/>
      <c r="I919" s="6"/>
      <c r="J919" s="6"/>
      <c r="K919" s="1"/>
      <c r="L919" s="1"/>
      <c r="M919" s="1"/>
      <c r="N919" s="1"/>
      <c r="O919" s="1"/>
      <c r="P919" s="1"/>
      <c r="Q919" s="1"/>
      <c r="R919" s="1"/>
      <c r="S919" s="1"/>
      <c r="T919" s="1"/>
      <c r="U919" s="1"/>
      <c r="V919" s="1"/>
      <c r="W919" s="1"/>
      <c r="X919" s="1"/>
      <c r="Y919" s="1"/>
      <c r="Z919" s="1"/>
    </row>
    <row r="920" spans="1:26" ht="15.75" customHeight="1" x14ac:dyDescent="0.3">
      <c r="A920" s="148"/>
      <c r="B920" s="6"/>
      <c r="C920" s="6"/>
      <c r="D920" s="82"/>
      <c r="E920" s="6"/>
      <c r="F920" s="6"/>
      <c r="G920" s="6"/>
      <c r="H920" s="82"/>
      <c r="I920" s="6"/>
      <c r="J920" s="6"/>
      <c r="K920" s="1"/>
      <c r="L920" s="1"/>
      <c r="M920" s="1"/>
      <c r="N920" s="1"/>
      <c r="O920" s="1"/>
      <c r="P920" s="1"/>
      <c r="Q920" s="1"/>
      <c r="R920" s="1"/>
      <c r="S920" s="1"/>
      <c r="T920" s="1"/>
      <c r="U920" s="1"/>
      <c r="V920" s="1"/>
      <c r="W920" s="1"/>
      <c r="X920" s="1"/>
      <c r="Y920" s="1"/>
      <c r="Z920" s="1"/>
    </row>
    <row r="921" spans="1:26" ht="15.75" customHeight="1" x14ac:dyDescent="0.3">
      <c r="A921" s="148"/>
      <c r="B921" s="6"/>
      <c r="C921" s="6"/>
      <c r="D921" s="82"/>
      <c r="E921" s="6"/>
      <c r="F921" s="6"/>
      <c r="G921" s="6"/>
      <c r="H921" s="82"/>
      <c r="I921" s="6"/>
      <c r="J921" s="6"/>
      <c r="K921" s="1"/>
      <c r="L921" s="1"/>
      <c r="M921" s="1"/>
      <c r="N921" s="1"/>
      <c r="O921" s="1"/>
      <c r="P921" s="1"/>
      <c r="Q921" s="1"/>
      <c r="R921" s="1"/>
      <c r="S921" s="1"/>
      <c r="T921" s="1"/>
      <c r="U921" s="1"/>
      <c r="V921" s="1"/>
      <c r="W921" s="1"/>
      <c r="X921" s="1"/>
      <c r="Y921" s="1"/>
      <c r="Z921" s="1"/>
    </row>
    <row r="922" spans="1:26" ht="15.75" customHeight="1" x14ac:dyDescent="0.3">
      <c r="A922" s="148"/>
      <c r="B922" s="6"/>
      <c r="C922" s="6"/>
      <c r="D922" s="82"/>
      <c r="E922" s="6"/>
      <c r="F922" s="6"/>
      <c r="G922" s="6"/>
      <c r="H922" s="82"/>
      <c r="I922" s="6"/>
      <c r="J922" s="6"/>
      <c r="K922" s="1"/>
      <c r="L922" s="1"/>
      <c r="M922" s="1"/>
      <c r="N922" s="1"/>
      <c r="O922" s="1"/>
      <c r="P922" s="1"/>
      <c r="Q922" s="1"/>
      <c r="R922" s="1"/>
      <c r="S922" s="1"/>
      <c r="T922" s="1"/>
      <c r="U922" s="1"/>
      <c r="V922" s="1"/>
      <c r="W922" s="1"/>
      <c r="X922" s="1"/>
      <c r="Y922" s="1"/>
      <c r="Z922" s="1"/>
    </row>
    <row r="923" spans="1:26" ht="15.75" customHeight="1" x14ac:dyDescent="0.3">
      <c r="A923" s="148"/>
      <c r="B923" s="6"/>
      <c r="C923" s="6"/>
      <c r="D923" s="82"/>
      <c r="E923" s="6"/>
      <c r="F923" s="6"/>
      <c r="G923" s="6"/>
      <c r="H923" s="82"/>
      <c r="I923" s="6"/>
      <c r="J923" s="6"/>
      <c r="K923" s="1"/>
      <c r="L923" s="1"/>
      <c r="M923" s="1"/>
      <c r="N923" s="1"/>
      <c r="O923" s="1"/>
      <c r="P923" s="1"/>
      <c r="Q923" s="1"/>
      <c r="R923" s="1"/>
      <c r="S923" s="1"/>
      <c r="T923" s="1"/>
      <c r="U923" s="1"/>
      <c r="V923" s="1"/>
      <c r="W923" s="1"/>
      <c r="X923" s="1"/>
      <c r="Y923" s="1"/>
      <c r="Z923" s="1"/>
    </row>
    <row r="924" spans="1:26" ht="15.75" customHeight="1" x14ac:dyDescent="0.3">
      <c r="A924" s="148"/>
      <c r="B924" s="6"/>
      <c r="C924" s="6"/>
      <c r="D924" s="82"/>
      <c r="E924" s="6"/>
      <c r="F924" s="6"/>
      <c r="G924" s="6"/>
      <c r="H924" s="82"/>
      <c r="I924" s="6"/>
      <c r="J924" s="6"/>
      <c r="K924" s="1"/>
      <c r="L924" s="1"/>
      <c r="M924" s="1"/>
      <c r="N924" s="1"/>
      <c r="O924" s="1"/>
      <c r="P924" s="1"/>
      <c r="Q924" s="1"/>
      <c r="R924" s="1"/>
      <c r="S924" s="1"/>
      <c r="T924" s="1"/>
      <c r="U924" s="1"/>
      <c r="V924" s="1"/>
      <c r="W924" s="1"/>
      <c r="X924" s="1"/>
      <c r="Y924" s="1"/>
      <c r="Z924" s="1"/>
    </row>
    <row r="925" spans="1:26" ht="15.75" customHeight="1" x14ac:dyDescent="0.3">
      <c r="A925" s="148"/>
      <c r="B925" s="6"/>
      <c r="C925" s="6"/>
      <c r="D925" s="82"/>
      <c r="E925" s="6"/>
      <c r="F925" s="6"/>
      <c r="G925" s="6"/>
      <c r="H925" s="82"/>
      <c r="I925" s="6"/>
      <c r="J925" s="6"/>
      <c r="K925" s="1"/>
      <c r="L925" s="1"/>
      <c r="M925" s="1"/>
      <c r="N925" s="1"/>
      <c r="O925" s="1"/>
      <c r="P925" s="1"/>
      <c r="Q925" s="1"/>
      <c r="R925" s="1"/>
      <c r="S925" s="1"/>
      <c r="T925" s="1"/>
      <c r="U925" s="1"/>
      <c r="V925" s="1"/>
      <c r="W925" s="1"/>
      <c r="X925" s="1"/>
      <c r="Y925" s="1"/>
      <c r="Z925" s="1"/>
    </row>
    <row r="926" spans="1:26" ht="15.75" customHeight="1" x14ac:dyDescent="0.3">
      <c r="A926" s="148"/>
      <c r="B926" s="6"/>
      <c r="C926" s="6"/>
      <c r="D926" s="82"/>
      <c r="E926" s="6"/>
      <c r="F926" s="6"/>
      <c r="G926" s="6"/>
      <c r="H926" s="82"/>
      <c r="I926" s="6"/>
      <c r="J926" s="6"/>
      <c r="K926" s="1"/>
      <c r="L926" s="1"/>
      <c r="M926" s="1"/>
      <c r="N926" s="1"/>
      <c r="O926" s="1"/>
      <c r="P926" s="1"/>
      <c r="Q926" s="1"/>
      <c r="R926" s="1"/>
      <c r="S926" s="1"/>
      <c r="T926" s="1"/>
      <c r="U926" s="1"/>
      <c r="V926" s="1"/>
      <c r="W926" s="1"/>
      <c r="X926" s="1"/>
      <c r="Y926" s="1"/>
      <c r="Z926" s="1"/>
    </row>
    <row r="927" spans="1:26" ht="15.75" customHeight="1" x14ac:dyDescent="0.3">
      <c r="A927" s="148"/>
      <c r="B927" s="6"/>
      <c r="C927" s="6"/>
      <c r="D927" s="82"/>
      <c r="E927" s="6"/>
      <c r="F927" s="6"/>
      <c r="G927" s="6"/>
      <c r="H927" s="82"/>
      <c r="I927" s="6"/>
      <c r="J927" s="6"/>
      <c r="K927" s="1"/>
      <c r="L927" s="1"/>
      <c r="M927" s="1"/>
      <c r="N927" s="1"/>
      <c r="O927" s="1"/>
      <c r="P927" s="1"/>
      <c r="Q927" s="1"/>
      <c r="R927" s="1"/>
      <c r="S927" s="1"/>
      <c r="T927" s="1"/>
      <c r="U927" s="1"/>
      <c r="V927" s="1"/>
      <c r="W927" s="1"/>
      <c r="X927" s="1"/>
      <c r="Y927" s="1"/>
      <c r="Z927" s="1"/>
    </row>
    <row r="928" spans="1:26" ht="15.75" customHeight="1" x14ac:dyDescent="0.3">
      <c r="A928" s="148"/>
      <c r="B928" s="6"/>
      <c r="C928" s="6"/>
      <c r="D928" s="82"/>
      <c r="E928" s="6"/>
      <c r="F928" s="6"/>
      <c r="G928" s="6"/>
      <c r="H928" s="82"/>
      <c r="I928" s="6"/>
      <c r="J928" s="6"/>
      <c r="K928" s="1"/>
      <c r="L928" s="1"/>
      <c r="M928" s="1"/>
      <c r="N928" s="1"/>
      <c r="O928" s="1"/>
      <c r="P928" s="1"/>
      <c r="Q928" s="1"/>
      <c r="R928" s="1"/>
      <c r="S928" s="1"/>
      <c r="T928" s="1"/>
      <c r="U928" s="1"/>
      <c r="V928" s="1"/>
      <c r="W928" s="1"/>
      <c r="X928" s="1"/>
      <c r="Y928" s="1"/>
      <c r="Z928" s="1"/>
    </row>
    <row r="929" spans="1:26" ht="15.75" customHeight="1" x14ac:dyDescent="0.3">
      <c r="A929" s="148"/>
      <c r="B929" s="6"/>
      <c r="C929" s="6"/>
      <c r="D929" s="82"/>
      <c r="E929" s="6"/>
      <c r="F929" s="6"/>
      <c r="G929" s="6"/>
      <c r="H929" s="82"/>
      <c r="I929" s="6"/>
      <c r="J929" s="6"/>
      <c r="K929" s="1"/>
      <c r="L929" s="1"/>
      <c r="M929" s="1"/>
      <c r="N929" s="1"/>
      <c r="O929" s="1"/>
      <c r="P929" s="1"/>
      <c r="Q929" s="1"/>
      <c r="R929" s="1"/>
      <c r="S929" s="1"/>
      <c r="T929" s="1"/>
      <c r="U929" s="1"/>
      <c r="V929" s="1"/>
      <c r="W929" s="1"/>
      <c r="X929" s="1"/>
      <c r="Y929" s="1"/>
      <c r="Z929" s="1"/>
    </row>
    <row r="930" spans="1:26" ht="15.75" customHeight="1" x14ac:dyDescent="0.3">
      <c r="A930" s="148"/>
      <c r="B930" s="6"/>
      <c r="C930" s="6"/>
      <c r="D930" s="82"/>
      <c r="E930" s="6"/>
      <c r="F930" s="6"/>
      <c r="G930" s="6"/>
      <c r="H930" s="82"/>
      <c r="I930" s="6"/>
      <c r="J930" s="6"/>
      <c r="K930" s="1"/>
      <c r="L930" s="1"/>
      <c r="M930" s="1"/>
      <c r="N930" s="1"/>
      <c r="O930" s="1"/>
      <c r="P930" s="1"/>
      <c r="Q930" s="1"/>
      <c r="R930" s="1"/>
      <c r="S930" s="1"/>
      <c r="T930" s="1"/>
      <c r="U930" s="1"/>
      <c r="V930" s="1"/>
      <c r="W930" s="1"/>
      <c r="X930" s="1"/>
      <c r="Y930" s="1"/>
      <c r="Z930" s="1"/>
    </row>
    <row r="931" spans="1:26" ht="15.75" customHeight="1" x14ac:dyDescent="0.3">
      <c r="A931" s="148"/>
      <c r="B931" s="6"/>
      <c r="C931" s="6"/>
      <c r="D931" s="82"/>
      <c r="E931" s="6"/>
      <c r="F931" s="6"/>
      <c r="G931" s="6"/>
      <c r="H931" s="82"/>
      <c r="I931" s="6"/>
      <c r="J931" s="6"/>
      <c r="K931" s="1"/>
      <c r="L931" s="1"/>
      <c r="M931" s="1"/>
      <c r="N931" s="1"/>
      <c r="O931" s="1"/>
      <c r="P931" s="1"/>
      <c r="Q931" s="1"/>
      <c r="R931" s="1"/>
      <c r="S931" s="1"/>
      <c r="T931" s="1"/>
      <c r="U931" s="1"/>
      <c r="V931" s="1"/>
      <c r="W931" s="1"/>
      <c r="X931" s="1"/>
      <c r="Y931" s="1"/>
      <c r="Z931" s="1"/>
    </row>
    <row r="932" spans="1:26" ht="15.75" customHeight="1" x14ac:dyDescent="0.3">
      <c r="A932" s="148"/>
      <c r="B932" s="6"/>
      <c r="C932" s="6"/>
      <c r="D932" s="82"/>
      <c r="E932" s="6"/>
      <c r="F932" s="6"/>
      <c r="G932" s="6"/>
      <c r="H932" s="82"/>
      <c r="I932" s="6"/>
      <c r="J932" s="6"/>
      <c r="K932" s="1"/>
      <c r="L932" s="1"/>
      <c r="M932" s="1"/>
      <c r="N932" s="1"/>
      <c r="O932" s="1"/>
      <c r="P932" s="1"/>
      <c r="Q932" s="1"/>
      <c r="R932" s="1"/>
      <c r="S932" s="1"/>
      <c r="T932" s="1"/>
      <c r="U932" s="1"/>
      <c r="V932" s="1"/>
      <c r="W932" s="1"/>
      <c r="X932" s="1"/>
      <c r="Y932" s="1"/>
      <c r="Z932" s="1"/>
    </row>
    <row r="933" spans="1:26" ht="15.75" customHeight="1" x14ac:dyDescent="0.3">
      <c r="A933" s="148"/>
      <c r="B933" s="6"/>
      <c r="C933" s="6"/>
      <c r="D933" s="82"/>
      <c r="E933" s="6"/>
      <c r="F933" s="6"/>
      <c r="G933" s="6"/>
      <c r="H933" s="82"/>
      <c r="I933" s="6"/>
      <c r="J933" s="6"/>
      <c r="K933" s="1"/>
      <c r="L933" s="1"/>
      <c r="M933" s="1"/>
      <c r="N933" s="1"/>
      <c r="O933" s="1"/>
      <c r="P933" s="1"/>
      <c r="Q933" s="1"/>
      <c r="R933" s="1"/>
      <c r="S933" s="1"/>
      <c r="T933" s="1"/>
      <c r="U933" s="1"/>
      <c r="V933" s="1"/>
      <c r="W933" s="1"/>
      <c r="X933" s="1"/>
      <c r="Y933" s="1"/>
      <c r="Z933" s="1"/>
    </row>
    <row r="934" spans="1:26" ht="15.75" customHeight="1" x14ac:dyDescent="0.3">
      <c r="A934" s="148"/>
      <c r="B934" s="6"/>
      <c r="C934" s="6"/>
      <c r="D934" s="82"/>
      <c r="E934" s="6"/>
      <c r="F934" s="6"/>
      <c r="G934" s="6"/>
      <c r="H934" s="82"/>
      <c r="I934" s="6"/>
      <c r="J934" s="6"/>
      <c r="K934" s="1"/>
      <c r="L934" s="1"/>
      <c r="M934" s="1"/>
      <c r="N934" s="1"/>
      <c r="O934" s="1"/>
      <c r="P934" s="1"/>
      <c r="Q934" s="1"/>
      <c r="R934" s="1"/>
      <c r="S934" s="1"/>
      <c r="T934" s="1"/>
      <c r="U934" s="1"/>
      <c r="V934" s="1"/>
      <c r="W934" s="1"/>
      <c r="X934" s="1"/>
      <c r="Y934" s="1"/>
      <c r="Z934" s="1"/>
    </row>
    <row r="935" spans="1:26" ht="15.75" customHeight="1" x14ac:dyDescent="0.3">
      <c r="A935" s="148"/>
      <c r="B935" s="6"/>
      <c r="C935" s="6"/>
      <c r="D935" s="82"/>
      <c r="E935" s="6"/>
      <c r="F935" s="6"/>
      <c r="G935" s="6"/>
      <c r="H935" s="82"/>
      <c r="I935" s="6"/>
      <c r="J935" s="6"/>
      <c r="K935" s="1"/>
      <c r="L935" s="1"/>
      <c r="M935" s="1"/>
      <c r="N935" s="1"/>
      <c r="O935" s="1"/>
      <c r="P935" s="1"/>
      <c r="Q935" s="1"/>
      <c r="R935" s="1"/>
      <c r="S935" s="1"/>
      <c r="T935" s="1"/>
      <c r="U935" s="1"/>
      <c r="V935" s="1"/>
      <c r="W935" s="1"/>
      <c r="X935" s="1"/>
      <c r="Y935" s="1"/>
      <c r="Z935" s="1"/>
    </row>
    <row r="936" spans="1:26" ht="15.75" customHeight="1" x14ac:dyDescent="0.3">
      <c r="A936" s="148"/>
      <c r="B936" s="6"/>
      <c r="C936" s="6"/>
      <c r="D936" s="82"/>
      <c r="E936" s="6"/>
      <c r="F936" s="6"/>
      <c r="G936" s="6"/>
      <c r="H936" s="82"/>
      <c r="I936" s="6"/>
      <c r="J936" s="6"/>
      <c r="K936" s="1"/>
      <c r="L936" s="1"/>
      <c r="M936" s="1"/>
      <c r="N936" s="1"/>
      <c r="O936" s="1"/>
      <c r="P936" s="1"/>
      <c r="Q936" s="1"/>
      <c r="R936" s="1"/>
      <c r="S936" s="1"/>
      <c r="T936" s="1"/>
      <c r="U936" s="1"/>
      <c r="V936" s="1"/>
      <c r="W936" s="1"/>
      <c r="X936" s="1"/>
      <c r="Y936" s="1"/>
      <c r="Z936" s="1"/>
    </row>
    <row r="937" spans="1:26" ht="15.75" customHeight="1" x14ac:dyDescent="0.3">
      <c r="A937" s="148"/>
      <c r="B937" s="6"/>
      <c r="C937" s="6"/>
      <c r="D937" s="82"/>
      <c r="E937" s="6"/>
      <c r="F937" s="6"/>
      <c r="G937" s="6"/>
      <c r="H937" s="82"/>
      <c r="I937" s="6"/>
      <c r="J937" s="6"/>
      <c r="K937" s="1"/>
      <c r="L937" s="1"/>
      <c r="M937" s="1"/>
      <c r="N937" s="1"/>
      <c r="O937" s="1"/>
      <c r="P937" s="1"/>
      <c r="Q937" s="1"/>
      <c r="R937" s="1"/>
      <c r="S937" s="1"/>
      <c r="T937" s="1"/>
      <c r="U937" s="1"/>
      <c r="V937" s="1"/>
      <c r="W937" s="1"/>
      <c r="X937" s="1"/>
      <c r="Y937" s="1"/>
      <c r="Z937" s="1"/>
    </row>
    <row r="938" spans="1:26" ht="15.75" customHeight="1" x14ac:dyDescent="0.3">
      <c r="A938" s="148"/>
      <c r="B938" s="6"/>
      <c r="C938" s="6"/>
      <c r="D938" s="82"/>
      <c r="E938" s="6"/>
      <c r="F938" s="6"/>
      <c r="G938" s="6"/>
      <c r="H938" s="82"/>
      <c r="I938" s="6"/>
      <c r="J938" s="6"/>
      <c r="K938" s="1"/>
      <c r="L938" s="1"/>
      <c r="M938" s="1"/>
      <c r="N938" s="1"/>
      <c r="O938" s="1"/>
      <c r="P938" s="1"/>
      <c r="Q938" s="1"/>
      <c r="R938" s="1"/>
      <c r="S938" s="1"/>
      <c r="T938" s="1"/>
      <c r="U938" s="1"/>
      <c r="V938" s="1"/>
      <c r="W938" s="1"/>
      <c r="X938" s="1"/>
      <c r="Y938" s="1"/>
      <c r="Z938" s="1"/>
    </row>
    <row r="939" spans="1:26" ht="15.75" customHeight="1" x14ac:dyDescent="0.3">
      <c r="A939" s="148"/>
      <c r="B939" s="6"/>
      <c r="C939" s="6"/>
      <c r="D939" s="82"/>
      <c r="E939" s="6"/>
      <c r="F939" s="6"/>
      <c r="G939" s="6"/>
      <c r="H939" s="82"/>
      <c r="I939" s="6"/>
      <c r="J939" s="6"/>
      <c r="K939" s="1"/>
      <c r="L939" s="1"/>
      <c r="M939" s="1"/>
      <c r="N939" s="1"/>
      <c r="O939" s="1"/>
      <c r="P939" s="1"/>
      <c r="Q939" s="1"/>
      <c r="R939" s="1"/>
      <c r="S939" s="1"/>
      <c r="T939" s="1"/>
      <c r="U939" s="1"/>
      <c r="V939" s="1"/>
      <c r="W939" s="1"/>
      <c r="X939" s="1"/>
      <c r="Y939" s="1"/>
      <c r="Z939" s="1"/>
    </row>
    <row r="940" spans="1:26" ht="15.75" customHeight="1" x14ac:dyDescent="0.3">
      <c r="A940" s="148"/>
      <c r="B940" s="6"/>
      <c r="C940" s="6"/>
      <c r="D940" s="82"/>
      <c r="E940" s="6"/>
      <c r="F940" s="6"/>
      <c r="G940" s="6"/>
      <c r="H940" s="82"/>
      <c r="I940" s="6"/>
      <c r="J940" s="6"/>
      <c r="K940" s="1"/>
      <c r="L940" s="1"/>
      <c r="M940" s="1"/>
      <c r="N940" s="1"/>
      <c r="O940" s="1"/>
      <c r="P940" s="1"/>
      <c r="Q940" s="1"/>
      <c r="R940" s="1"/>
      <c r="S940" s="1"/>
      <c r="T940" s="1"/>
      <c r="U940" s="1"/>
      <c r="V940" s="1"/>
      <c r="W940" s="1"/>
      <c r="X940" s="1"/>
      <c r="Y940" s="1"/>
      <c r="Z940" s="1"/>
    </row>
    <row r="941" spans="1:26" ht="15.75" customHeight="1" x14ac:dyDescent="0.3">
      <c r="A941" s="148"/>
      <c r="B941" s="6"/>
      <c r="C941" s="6"/>
      <c r="D941" s="82"/>
      <c r="E941" s="6"/>
      <c r="F941" s="6"/>
      <c r="G941" s="6"/>
      <c r="H941" s="82"/>
      <c r="I941" s="6"/>
      <c r="J941" s="6"/>
      <c r="K941" s="1"/>
      <c r="L941" s="1"/>
      <c r="M941" s="1"/>
      <c r="N941" s="1"/>
      <c r="O941" s="1"/>
      <c r="P941" s="1"/>
      <c r="Q941" s="1"/>
      <c r="R941" s="1"/>
      <c r="S941" s="1"/>
      <c r="T941" s="1"/>
      <c r="U941" s="1"/>
      <c r="V941" s="1"/>
      <c r="W941" s="1"/>
      <c r="X941" s="1"/>
      <c r="Y941" s="1"/>
      <c r="Z941" s="1"/>
    </row>
    <row r="942" spans="1:26" ht="15.75" customHeight="1" x14ac:dyDescent="0.3">
      <c r="A942" s="148"/>
      <c r="B942" s="6"/>
      <c r="C942" s="6"/>
      <c r="D942" s="82"/>
      <c r="E942" s="6"/>
      <c r="F942" s="6"/>
      <c r="G942" s="6"/>
      <c r="H942" s="82"/>
      <c r="I942" s="6"/>
      <c r="J942" s="6"/>
      <c r="K942" s="1"/>
      <c r="L942" s="1"/>
      <c r="M942" s="1"/>
      <c r="N942" s="1"/>
      <c r="O942" s="1"/>
      <c r="P942" s="1"/>
      <c r="Q942" s="1"/>
      <c r="R942" s="1"/>
      <c r="S942" s="1"/>
      <c r="T942" s="1"/>
      <c r="U942" s="1"/>
      <c r="V942" s="1"/>
      <c r="W942" s="1"/>
      <c r="X942" s="1"/>
      <c r="Y942" s="1"/>
      <c r="Z942" s="1"/>
    </row>
    <row r="943" spans="1:26" ht="15.75" customHeight="1" x14ac:dyDescent="0.3">
      <c r="A943" s="148"/>
      <c r="B943" s="6"/>
      <c r="C943" s="6"/>
      <c r="D943" s="82"/>
      <c r="E943" s="6"/>
      <c r="F943" s="6"/>
      <c r="G943" s="6"/>
      <c r="H943" s="82"/>
      <c r="I943" s="6"/>
      <c r="J943" s="6"/>
      <c r="K943" s="1"/>
      <c r="L943" s="1"/>
      <c r="M943" s="1"/>
      <c r="N943" s="1"/>
      <c r="O943" s="1"/>
      <c r="P943" s="1"/>
      <c r="Q943" s="1"/>
      <c r="R943" s="1"/>
      <c r="S943" s="1"/>
      <c r="T943" s="1"/>
      <c r="U943" s="1"/>
      <c r="V943" s="1"/>
      <c r="W943" s="1"/>
      <c r="X943" s="1"/>
      <c r="Y943" s="1"/>
      <c r="Z943" s="1"/>
    </row>
    <row r="944" spans="1:26" ht="15.75" customHeight="1" x14ac:dyDescent="0.3">
      <c r="A944" s="148"/>
      <c r="B944" s="6"/>
      <c r="C944" s="6"/>
      <c r="D944" s="82"/>
      <c r="E944" s="6"/>
      <c r="F944" s="6"/>
      <c r="G944" s="6"/>
      <c r="H944" s="82"/>
      <c r="I944" s="6"/>
      <c r="J944" s="6"/>
      <c r="K944" s="1"/>
      <c r="L944" s="1"/>
      <c r="M944" s="1"/>
      <c r="N944" s="1"/>
      <c r="O944" s="1"/>
      <c r="P944" s="1"/>
      <c r="Q944" s="1"/>
      <c r="R944" s="1"/>
      <c r="S944" s="1"/>
      <c r="T944" s="1"/>
      <c r="U944" s="1"/>
      <c r="V944" s="1"/>
      <c r="W944" s="1"/>
      <c r="X944" s="1"/>
      <c r="Y944" s="1"/>
      <c r="Z944" s="1"/>
    </row>
    <row r="945" spans="1:26" ht="15.75" customHeight="1" x14ac:dyDescent="0.3">
      <c r="A945" s="148"/>
      <c r="B945" s="6"/>
      <c r="C945" s="6"/>
      <c r="D945" s="82"/>
      <c r="E945" s="6"/>
      <c r="F945" s="6"/>
      <c r="G945" s="6"/>
      <c r="H945" s="82"/>
      <c r="I945" s="6"/>
      <c r="J945" s="6"/>
      <c r="K945" s="1"/>
      <c r="L945" s="1"/>
      <c r="M945" s="1"/>
      <c r="N945" s="1"/>
      <c r="O945" s="1"/>
      <c r="P945" s="1"/>
      <c r="Q945" s="1"/>
      <c r="R945" s="1"/>
      <c r="S945" s="1"/>
      <c r="T945" s="1"/>
      <c r="U945" s="1"/>
      <c r="V945" s="1"/>
      <c r="W945" s="1"/>
      <c r="X945" s="1"/>
      <c r="Y945" s="1"/>
      <c r="Z945" s="1"/>
    </row>
    <row r="946" spans="1:26" ht="15.75" customHeight="1" x14ac:dyDescent="0.3">
      <c r="A946" s="148"/>
      <c r="B946" s="6"/>
      <c r="C946" s="6"/>
      <c r="D946" s="82"/>
      <c r="E946" s="6"/>
      <c r="F946" s="6"/>
      <c r="G946" s="6"/>
      <c r="H946" s="82"/>
      <c r="I946" s="6"/>
      <c r="J946" s="6"/>
      <c r="K946" s="1"/>
      <c r="L946" s="1"/>
      <c r="M946" s="1"/>
      <c r="N946" s="1"/>
      <c r="O946" s="1"/>
      <c r="P946" s="1"/>
      <c r="Q946" s="1"/>
      <c r="R946" s="1"/>
      <c r="S946" s="1"/>
      <c r="T946" s="1"/>
      <c r="U946" s="1"/>
      <c r="V946" s="1"/>
      <c r="W946" s="1"/>
      <c r="X946" s="1"/>
      <c r="Y946" s="1"/>
      <c r="Z946" s="1"/>
    </row>
    <row r="947" spans="1:26" ht="15.75" customHeight="1" x14ac:dyDescent="0.3">
      <c r="A947" s="148"/>
      <c r="B947" s="6"/>
      <c r="C947" s="6"/>
      <c r="D947" s="82"/>
      <c r="E947" s="6"/>
      <c r="F947" s="6"/>
      <c r="G947" s="6"/>
      <c r="H947" s="82"/>
      <c r="I947" s="6"/>
      <c r="J947" s="6"/>
      <c r="K947" s="1"/>
      <c r="L947" s="1"/>
      <c r="M947" s="1"/>
      <c r="N947" s="1"/>
      <c r="O947" s="1"/>
      <c r="P947" s="1"/>
      <c r="Q947" s="1"/>
      <c r="R947" s="1"/>
      <c r="S947" s="1"/>
      <c r="T947" s="1"/>
      <c r="U947" s="1"/>
      <c r="V947" s="1"/>
      <c r="W947" s="1"/>
      <c r="X947" s="1"/>
      <c r="Y947" s="1"/>
      <c r="Z947" s="1"/>
    </row>
    <row r="948" spans="1:26" ht="15.75" customHeight="1" x14ac:dyDescent="0.3">
      <c r="A948" s="148"/>
      <c r="B948" s="6"/>
      <c r="C948" s="6"/>
      <c r="D948" s="82"/>
      <c r="E948" s="6"/>
      <c r="F948" s="6"/>
      <c r="G948" s="6"/>
      <c r="H948" s="82"/>
      <c r="I948" s="6"/>
      <c r="J948" s="6"/>
      <c r="K948" s="1"/>
      <c r="L948" s="1"/>
      <c r="M948" s="1"/>
      <c r="N948" s="1"/>
      <c r="O948" s="1"/>
      <c r="P948" s="1"/>
      <c r="Q948" s="1"/>
      <c r="R948" s="1"/>
      <c r="S948" s="1"/>
      <c r="T948" s="1"/>
      <c r="U948" s="1"/>
      <c r="V948" s="1"/>
      <c r="W948" s="1"/>
      <c r="X948" s="1"/>
      <c r="Y948" s="1"/>
      <c r="Z948" s="1"/>
    </row>
    <row r="949" spans="1:26" ht="15.75" customHeight="1" x14ac:dyDescent="0.3">
      <c r="A949" s="148"/>
      <c r="B949" s="6"/>
      <c r="C949" s="6"/>
      <c r="D949" s="82"/>
      <c r="E949" s="6"/>
      <c r="F949" s="6"/>
      <c r="G949" s="6"/>
      <c r="H949" s="82"/>
      <c r="I949" s="6"/>
      <c r="J949" s="6"/>
      <c r="K949" s="1"/>
      <c r="L949" s="1"/>
      <c r="M949" s="1"/>
      <c r="N949" s="1"/>
      <c r="O949" s="1"/>
      <c r="P949" s="1"/>
      <c r="Q949" s="1"/>
      <c r="R949" s="1"/>
      <c r="S949" s="1"/>
      <c r="T949" s="1"/>
      <c r="U949" s="1"/>
      <c r="V949" s="1"/>
      <c r="W949" s="1"/>
      <c r="X949" s="1"/>
      <c r="Y949" s="1"/>
      <c r="Z949" s="1"/>
    </row>
    <row r="950" spans="1:26" ht="15.75" customHeight="1" x14ac:dyDescent="0.3">
      <c r="A950" s="148"/>
      <c r="B950" s="6"/>
      <c r="C950" s="6"/>
      <c r="D950" s="82"/>
      <c r="E950" s="6"/>
      <c r="F950" s="6"/>
      <c r="G950" s="6"/>
      <c r="H950" s="82"/>
      <c r="I950" s="6"/>
      <c r="J950" s="6"/>
      <c r="K950" s="1"/>
      <c r="L950" s="1"/>
      <c r="M950" s="1"/>
      <c r="N950" s="1"/>
      <c r="O950" s="1"/>
      <c r="P950" s="1"/>
      <c r="Q950" s="1"/>
      <c r="R950" s="1"/>
      <c r="S950" s="1"/>
      <c r="T950" s="1"/>
      <c r="U950" s="1"/>
      <c r="V950" s="1"/>
      <c r="W950" s="1"/>
      <c r="X950" s="1"/>
      <c r="Y950" s="1"/>
      <c r="Z950" s="1"/>
    </row>
    <row r="951" spans="1:26" ht="15.75" customHeight="1" x14ac:dyDescent="0.3">
      <c r="A951" s="148"/>
      <c r="B951" s="6"/>
      <c r="C951" s="6"/>
      <c r="D951" s="82"/>
      <c r="E951" s="6"/>
      <c r="F951" s="6"/>
      <c r="G951" s="6"/>
      <c r="H951" s="82"/>
      <c r="I951" s="6"/>
      <c r="J951" s="6"/>
      <c r="K951" s="1"/>
      <c r="L951" s="1"/>
      <c r="M951" s="1"/>
      <c r="N951" s="1"/>
      <c r="O951" s="1"/>
      <c r="P951" s="1"/>
      <c r="Q951" s="1"/>
      <c r="R951" s="1"/>
      <c r="S951" s="1"/>
      <c r="T951" s="1"/>
      <c r="U951" s="1"/>
      <c r="V951" s="1"/>
      <c r="W951" s="1"/>
      <c r="X951" s="1"/>
      <c r="Y951" s="1"/>
      <c r="Z951" s="1"/>
    </row>
    <row r="952" spans="1:26" ht="15.75" customHeight="1" x14ac:dyDescent="0.3">
      <c r="A952" s="148"/>
      <c r="B952" s="6"/>
      <c r="C952" s="6"/>
      <c r="D952" s="82"/>
      <c r="E952" s="6"/>
      <c r="F952" s="6"/>
      <c r="G952" s="6"/>
      <c r="H952" s="82"/>
      <c r="I952" s="6"/>
      <c r="J952" s="6"/>
      <c r="K952" s="1"/>
      <c r="L952" s="1"/>
      <c r="M952" s="1"/>
      <c r="N952" s="1"/>
      <c r="O952" s="1"/>
      <c r="P952" s="1"/>
      <c r="Q952" s="1"/>
      <c r="R952" s="1"/>
      <c r="S952" s="1"/>
      <c r="T952" s="1"/>
      <c r="U952" s="1"/>
      <c r="V952" s="1"/>
      <c r="W952" s="1"/>
      <c r="X952" s="1"/>
      <c r="Y952" s="1"/>
      <c r="Z952" s="1"/>
    </row>
    <row r="953" spans="1:26" ht="15.75" customHeight="1" x14ac:dyDescent="0.3">
      <c r="A953" s="148"/>
      <c r="B953" s="6"/>
      <c r="C953" s="6"/>
      <c r="D953" s="82"/>
      <c r="E953" s="6"/>
      <c r="F953" s="6"/>
      <c r="G953" s="6"/>
      <c r="H953" s="82"/>
      <c r="I953" s="6"/>
      <c r="J953" s="6"/>
      <c r="K953" s="1"/>
      <c r="L953" s="1"/>
      <c r="M953" s="1"/>
      <c r="N953" s="1"/>
      <c r="O953" s="1"/>
      <c r="P953" s="1"/>
      <c r="Q953" s="1"/>
      <c r="R953" s="1"/>
      <c r="S953" s="1"/>
      <c r="T953" s="1"/>
      <c r="U953" s="1"/>
      <c r="V953" s="1"/>
      <c r="W953" s="1"/>
      <c r="X953" s="1"/>
      <c r="Y953" s="1"/>
      <c r="Z953" s="1"/>
    </row>
    <row r="954" spans="1:26" ht="15.75" customHeight="1" x14ac:dyDescent="0.3">
      <c r="A954" s="148"/>
      <c r="B954" s="6"/>
      <c r="C954" s="6"/>
      <c r="D954" s="82"/>
      <c r="E954" s="6"/>
      <c r="F954" s="6"/>
      <c r="G954" s="6"/>
      <c r="H954" s="82"/>
      <c r="I954" s="6"/>
      <c r="J954" s="6"/>
      <c r="K954" s="1"/>
      <c r="L954" s="1"/>
      <c r="M954" s="1"/>
      <c r="N954" s="1"/>
      <c r="O954" s="1"/>
      <c r="P954" s="1"/>
      <c r="Q954" s="1"/>
      <c r="R954" s="1"/>
      <c r="S954" s="1"/>
      <c r="T954" s="1"/>
      <c r="U954" s="1"/>
      <c r="V954" s="1"/>
      <c r="W954" s="1"/>
      <c r="X954" s="1"/>
      <c r="Y954" s="1"/>
      <c r="Z954" s="1"/>
    </row>
    <row r="955" spans="1:26" ht="15.75" customHeight="1" x14ac:dyDescent="0.3">
      <c r="A955" s="148"/>
      <c r="B955" s="6"/>
      <c r="C955" s="6"/>
      <c r="D955" s="82"/>
      <c r="E955" s="6"/>
      <c r="F955" s="6"/>
      <c r="G955" s="6"/>
      <c r="H955" s="82"/>
      <c r="I955" s="6"/>
      <c r="J955" s="6"/>
      <c r="K955" s="1"/>
      <c r="L955" s="1"/>
      <c r="M955" s="1"/>
      <c r="N955" s="1"/>
      <c r="O955" s="1"/>
      <c r="P955" s="1"/>
      <c r="Q955" s="1"/>
      <c r="R955" s="1"/>
      <c r="S955" s="1"/>
      <c r="T955" s="1"/>
      <c r="U955" s="1"/>
      <c r="V955" s="1"/>
      <c r="W955" s="1"/>
      <c r="X955" s="1"/>
      <c r="Y955" s="1"/>
      <c r="Z955" s="1"/>
    </row>
    <row r="956" spans="1:26" ht="15.75" customHeight="1" x14ac:dyDescent="0.3">
      <c r="A956" s="148"/>
      <c r="B956" s="6"/>
      <c r="C956" s="6"/>
      <c r="D956" s="82"/>
      <c r="E956" s="6"/>
      <c r="F956" s="6"/>
      <c r="G956" s="6"/>
      <c r="H956" s="82"/>
      <c r="I956" s="6"/>
      <c r="J956" s="6"/>
      <c r="K956" s="1"/>
      <c r="L956" s="1"/>
      <c r="M956" s="1"/>
      <c r="N956" s="1"/>
      <c r="O956" s="1"/>
      <c r="P956" s="1"/>
      <c r="Q956" s="1"/>
      <c r="R956" s="1"/>
      <c r="S956" s="1"/>
      <c r="T956" s="1"/>
      <c r="U956" s="1"/>
      <c r="V956" s="1"/>
      <c r="W956" s="1"/>
      <c r="X956" s="1"/>
      <c r="Y956" s="1"/>
      <c r="Z956" s="1"/>
    </row>
    <row r="957" spans="1:26" ht="15.75" customHeight="1" x14ac:dyDescent="0.3">
      <c r="A957" s="148"/>
      <c r="B957" s="6"/>
      <c r="C957" s="6"/>
      <c r="D957" s="82"/>
      <c r="E957" s="6"/>
      <c r="F957" s="6"/>
      <c r="G957" s="6"/>
      <c r="H957" s="82"/>
      <c r="I957" s="6"/>
      <c r="J957" s="6"/>
      <c r="K957" s="1"/>
      <c r="L957" s="1"/>
      <c r="M957" s="1"/>
      <c r="N957" s="1"/>
      <c r="O957" s="1"/>
      <c r="P957" s="1"/>
      <c r="Q957" s="1"/>
      <c r="R957" s="1"/>
      <c r="S957" s="1"/>
      <c r="T957" s="1"/>
      <c r="U957" s="1"/>
      <c r="V957" s="1"/>
      <c r="W957" s="1"/>
      <c r="X957" s="1"/>
      <c r="Y957" s="1"/>
      <c r="Z957" s="1"/>
    </row>
    <row r="958" spans="1:26" ht="15.75" customHeight="1" x14ac:dyDescent="0.3">
      <c r="A958" s="148"/>
      <c r="B958" s="6"/>
      <c r="C958" s="6"/>
      <c r="D958" s="82"/>
      <c r="E958" s="6"/>
      <c r="F958" s="6"/>
      <c r="G958" s="6"/>
      <c r="H958" s="82"/>
      <c r="I958" s="6"/>
      <c r="J958" s="6"/>
      <c r="K958" s="1"/>
      <c r="L958" s="1"/>
      <c r="M958" s="1"/>
      <c r="N958" s="1"/>
      <c r="O958" s="1"/>
      <c r="P958" s="1"/>
      <c r="Q958" s="1"/>
      <c r="R958" s="1"/>
      <c r="S958" s="1"/>
      <c r="T958" s="1"/>
      <c r="U958" s="1"/>
      <c r="V958" s="1"/>
      <c r="W958" s="1"/>
      <c r="X958" s="1"/>
      <c r="Y958" s="1"/>
      <c r="Z958" s="1"/>
    </row>
    <row r="959" spans="1:26" ht="15.75" customHeight="1" x14ac:dyDescent="0.3">
      <c r="A959" s="148"/>
      <c r="B959" s="6"/>
      <c r="C959" s="6"/>
      <c r="D959" s="82"/>
      <c r="E959" s="6"/>
      <c r="F959" s="6"/>
      <c r="G959" s="6"/>
      <c r="H959" s="82"/>
      <c r="I959" s="6"/>
      <c r="J959" s="6"/>
      <c r="K959" s="1"/>
      <c r="L959" s="1"/>
      <c r="M959" s="1"/>
      <c r="N959" s="1"/>
      <c r="O959" s="1"/>
      <c r="P959" s="1"/>
      <c r="Q959" s="1"/>
      <c r="R959" s="1"/>
      <c r="S959" s="1"/>
      <c r="T959" s="1"/>
      <c r="U959" s="1"/>
      <c r="V959" s="1"/>
      <c r="W959" s="1"/>
      <c r="X959" s="1"/>
      <c r="Y959" s="1"/>
      <c r="Z959" s="1"/>
    </row>
    <row r="960" spans="1:26" ht="15.75" customHeight="1" x14ac:dyDescent="0.3">
      <c r="A960" s="148"/>
      <c r="B960" s="6"/>
      <c r="C960" s="6"/>
      <c r="D960" s="82"/>
      <c r="E960" s="6"/>
      <c r="F960" s="6"/>
      <c r="G960" s="6"/>
      <c r="H960" s="82"/>
      <c r="I960" s="6"/>
      <c r="J960" s="6"/>
      <c r="K960" s="1"/>
      <c r="L960" s="1"/>
      <c r="M960" s="1"/>
      <c r="N960" s="1"/>
      <c r="O960" s="1"/>
      <c r="P960" s="1"/>
      <c r="Q960" s="1"/>
      <c r="R960" s="1"/>
      <c r="S960" s="1"/>
      <c r="T960" s="1"/>
      <c r="U960" s="1"/>
      <c r="V960" s="1"/>
      <c r="W960" s="1"/>
      <c r="X960" s="1"/>
      <c r="Y960" s="1"/>
      <c r="Z960" s="1"/>
    </row>
    <row r="961" spans="1:26" ht="15.75" customHeight="1" x14ac:dyDescent="0.3">
      <c r="A961" s="148"/>
      <c r="B961" s="6"/>
      <c r="C961" s="6"/>
      <c r="D961" s="82"/>
      <c r="E961" s="6"/>
      <c r="F961" s="6"/>
      <c r="G961" s="6"/>
      <c r="H961" s="82"/>
      <c r="I961" s="6"/>
      <c r="J961" s="6"/>
      <c r="K961" s="1"/>
      <c r="L961" s="1"/>
      <c r="M961" s="1"/>
      <c r="N961" s="1"/>
      <c r="O961" s="1"/>
      <c r="P961" s="1"/>
      <c r="Q961" s="1"/>
      <c r="R961" s="1"/>
      <c r="S961" s="1"/>
      <c r="T961" s="1"/>
      <c r="U961" s="1"/>
      <c r="V961" s="1"/>
      <c r="W961" s="1"/>
      <c r="X961" s="1"/>
      <c r="Y961" s="1"/>
      <c r="Z961" s="1"/>
    </row>
    <row r="962" spans="1:26" ht="15.75" customHeight="1" x14ac:dyDescent="0.3">
      <c r="A962" s="148"/>
      <c r="B962" s="6"/>
      <c r="C962" s="6"/>
      <c r="D962" s="82"/>
      <c r="E962" s="6"/>
      <c r="F962" s="6"/>
      <c r="G962" s="6"/>
      <c r="H962" s="82"/>
      <c r="I962" s="6"/>
      <c r="J962" s="6"/>
      <c r="K962" s="1"/>
      <c r="L962" s="1"/>
      <c r="M962" s="1"/>
      <c r="N962" s="1"/>
      <c r="O962" s="1"/>
      <c r="P962" s="1"/>
      <c r="Q962" s="1"/>
      <c r="R962" s="1"/>
      <c r="S962" s="1"/>
      <c r="T962" s="1"/>
      <c r="U962" s="1"/>
      <c r="V962" s="1"/>
      <c r="W962" s="1"/>
      <c r="X962" s="1"/>
      <c r="Y962" s="1"/>
      <c r="Z962" s="1"/>
    </row>
    <row r="963" spans="1:26" ht="15.75" customHeight="1" x14ac:dyDescent="0.3">
      <c r="A963" s="148"/>
      <c r="B963" s="6"/>
      <c r="C963" s="6"/>
      <c r="D963" s="82"/>
      <c r="E963" s="6"/>
      <c r="F963" s="6"/>
      <c r="G963" s="6"/>
      <c r="H963" s="82"/>
      <c r="I963" s="6"/>
      <c r="J963" s="6"/>
      <c r="K963" s="1"/>
      <c r="L963" s="1"/>
      <c r="M963" s="1"/>
      <c r="N963" s="1"/>
      <c r="O963" s="1"/>
      <c r="P963" s="1"/>
      <c r="Q963" s="1"/>
      <c r="R963" s="1"/>
      <c r="S963" s="1"/>
      <c r="T963" s="1"/>
      <c r="U963" s="1"/>
      <c r="V963" s="1"/>
      <c r="W963" s="1"/>
      <c r="X963" s="1"/>
      <c r="Y963" s="1"/>
      <c r="Z963" s="1"/>
    </row>
    <row r="964" spans="1:26" ht="15.75" customHeight="1" x14ac:dyDescent="0.3">
      <c r="A964" s="148"/>
      <c r="B964" s="6"/>
      <c r="C964" s="6"/>
      <c r="D964" s="82"/>
      <c r="E964" s="6"/>
      <c r="F964" s="6"/>
      <c r="G964" s="6"/>
      <c r="H964" s="82"/>
      <c r="I964" s="6"/>
      <c r="J964" s="6"/>
      <c r="K964" s="1"/>
      <c r="L964" s="1"/>
      <c r="M964" s="1"/>
      <c r="N964" s="1"/>
      <c r="O964" s="1"/>
      <c r="P964" s="1"/>
      <c r="Q964" s="1"/>
      <c r="R964" s="1"/>
      <c r="S964" s="1"/>
      <c r="T964" s="1"/>
      <c r="U964" s="1"/>
      <c r="V964" s="1"/>
      <c r="W964" s="1"/>
      <c r="X964" s="1"/>
      <c r="Y964" s="1"/>
      <c r="Z964" s="1"/>
    </row>
    <row r="965" spans="1:26" ht="15.75" customHeight="1" x14ac:dyDescent="0.3">
      <c r="A965" s="148"/>
      <c r="B965" s="6"/>
      <c r="C965" s="6"/>
      <c r="D965" s="82"/>
      <c r="E965" s="6"/>
      <c r="F965" s="6"/>
      <c r="G965" s="6"/>
      <c r="H965" s="82"/>
      <c r="I965" s="6"/>
      <c r="J965" s="6"/>
      <c r="K965" s="1"/>
      <c r="L965" s="1"/>
      <c r="M965" s="1"/>
      <c r="N965" s="1"/>
      <c r="O965" s="1"/>
      <c r="P965" s="1"/>
      <c r="Q965" s="1"/>
      <c r="R965" s="1"/>
      <c r="S965" s="1"/>
      <c r="T965" s="1"/>
      <c r="U965" s="1"/>
      <c r="V965" s="1"/>
      <c r="W965" s="1"/>
      <c r="X965" s="1"/>
      <c r="Y965" s="1"/>
      <c r="Z965" s="1"/>
    </row>
    <row r="966" spans="1:26" ht="15.75" customHeight="1" x14ac:dyDescent="0.3">
      <c r="A966" s="148"/>
      <c r="B966" s="6"/>
      <c r="C966" s="6"/>
      <c r="D966" s="82"/>
      <c r="E966" s="6"/>
      <c r="F966" s="6"/>
      <c r="G966" s="6"/>
      <c r="H966" s="82"/>
      <c r="I966" s="6"/>
      <c r="J966" s="6"/>
      <c r="K966" s="1"/>
      <c r="L966" s="1"/>
      <c r="M966" s="1"/>
      <c r="N966" s="1"/>
      <c r="O966" s="1"/>
      <c r="P966" s="1"/>
      <c r="Q966" s="1"/>
      <c r="R966" s="1"/>
      <c r="S966" s="1"/>
      <c r="T966" s="1"/>
      <c r="U966" s="1"/>
      <c r="V966" s="1"/>
      <c r="W966" s="1"/>
      <c r="X966" s="1"/>
      <c r="Y966" s="1"/>
      <c r="Z966" s="1"/>
    </row>
    <row r="967" spans="1:26" ht="15.75" customHeight="1" x14ac:dyDescent="0.3">
      <c r="A967" s="148"/>
      <c r="B967" s="6"/>
      <c r="C967" s="6"/>
      <c r="D967" s="82"/>
      <c r="E967" s="6"/>
      <c r="F967" s="6"/>
      <c r="G967" s="6"/>
      <c r="H967" s="82"/>
      <c r="I967" s="6"/>
      <c r="J967" s="6"/>
      <c r="K967" s="1"/>
      <c r="L967" s="1"/>
      <c r="M967" s="1"/>
      <c r="N967" s="1"/>
      <c r="O967" s="1"/>
      <c r="P967" s="1"/>
      <c r="Q967" s="1"/>
      <c r="R967" s="1"/>
      <c r="S967" s="1"/>
      <c r="T967" s="1"/>
      <c r="U967" s="1"/>
      <c r="V967" s="1"/>
      <c r="W967" s="1"/>
      <c r="X967" s="1"/>
      <c r="Y967" s="1"/>
      <c r="Z967" s="1"/>
    </row>
    <row r="968" spans="1:26" ht="15.75" customHeight="1" x14ac:dyDescent="0.3">
      <c r="A968" s="148"/>
      <c r="B968" s="6"/>
      <c r="C968" s="6"/>
      <c r="D968" s="82"/>
      <c r="E968" s="6"/>
      <c r="F968" s="6"/>
      <c r="G968" s="6"/>
      <c r="H968" s="82"/>
      <c r="I968" s="6"/>
      <c r="J968" s="6"/>
      <c r="K968" s="1"/>
      <c r="L968" s="1"/>
      <c r="M968" s="1"/>
      <c r="N968" s="1"/>
      <c r="O968" s="1"/>
      <c r="P968" s="1"/>
      <c r="Q968" s="1"/>
      <c r="R968" s="1"/>
      <c r="S968" s="1"/>
      <c r="T968" s="1"/>
      <c r="U968" s="1"/>
      <c r="V968" s="1"/>
      <c r="W968" s="1"/>
      <c r="X968" s="1"/>
      <c r="Y968" s="1"/>
      <c r="Z968" s="1"/>
    </row>
    <row r="969" spans="1:26" ht="15.75" customHeight="1" x14ac:dyDescent="0.3">
      <c r="A969" s="148"/>
      <c r="B969" s="6"/>
      <c r="C969" s="6"/>
      <c r="D969" s="82"/>
      <c r="E969" s="6"/>
      <c r="F969" s="6"/>
      <c r="G969" s="6"/>
      <c r="H969" s="82"/>
      <c r="I969" s="6"/>
      <c r="J969" s="6"/>
      <c r="K969" s="1"/>
      <c r="L969" s="1"/>
      <c r="M969" s="1"/>
      <c r="N969" s="1"/>
      <c r="O969" s="1"/>
      <c r="P969" s="1"/>
      <c r="Q969" s="1"/>
      <c r="R969" s="1"/>
      <c r="S969" s="1"/>
      <c r="T969" s="1"/>
      <c r="U969" s="1"/>
      <c r="V969" s="1"/>
      <c r="W969" s="1"/>
      <c r="X969" s="1"/>
      <c r="Y969" s="1"/>
      <c r="Z969" s="1"/>
    </row>
    <row r="970" spans="1:26" ht="15.75" customHeight="1" x14ac:dyDescent="0.3">
      <c r="A970" s="148"/>
      <c r="B970" s="6"/>
      <c r="C970" s="6"/>
      <c r="D970" s="82"/>
      <c r="E970" s="6"/>
      <c r="F970" s="6"/>
      <c r="G970" s="6"/>
      <c r="H970" s="82"/>
      <c r="I970" s="6"/>
      <c r="J970" s="6"/>
      <c r="K970" s="1"/>
      <c r="L970" s="1"/>
      <c r="M970" s="1"/>
      <c r="N970" s="1"/>
      <c r="O970" s="1"/>
      <c r="P970" s="1"/>
      <c r="Q970" s="1"/>
      <c r="R970" s="1"/>
      <c r="S970" s="1"/>
      <c r="T970" s="1"/>
      <c r="U970" s="1"/>
      <c r="V970" s="1"/>
      <c r="W970" s="1"/>
      <c r="X970" s="1"/>
      <c r="Y970" s="1"/>
      <c r="Z970" s="1"/>
    </row>
    <row r="971" spans="1:26" ht="15.75" customHeight="1" x14ac:dyDescent="0.3">
      <c r="A971" s="148"/>
      <c r="B971" s="6"/>
      <c r="C971" s="6"/>
      <c r="D971" s="82"/>
      <c r="E971" s="6"/>
      <c r="F971" s="6"/>
      <c r="G971" s="6"/>
      <c r="H971" s="82"/>
      <c r="I971" s="6"/>
      <c r="J971" s="6"/>
      <c r="K971" s="1"/>
      <c r="L971" s="1"/>
      <c r="M971" s="1"/>
      <c r="N971" s="1"/>
      <c r="O971" s="1"/>
      <c r="P971" s="1"/>
      <c r="Q971" s="1"/>
      <c r="R971" s="1"/>
      <c r="S971" s="1"/>
      <c r="T971" s="1"/>
      <c r="U971" s="1"/>
      <c r="V971" s="1"/>
      <c r="W971" s="1"/>
      <c r="X971" s="1"/>
      <c r="Y971" s="1"/>
      <c r="Z971" s="1"/>
    </row>
    <row r="972" spans="1:26" ht="15.75" customHeight="1" x14ac:dyDescent="0.3">
      <c r="A972" s="148"/>
      <c r="B972" s="6"/>
      <c r="C972" s="6"/>
      <c r="D972" s="82"/>
      <c r="E972" s="6"/>
      <c r="F972" s="6"/>
      <c r="G972" s="6"/>
      <c r="H972" s="82"/>
      <c r="I972" s="6"/>
      <c r="J972" s="6"/>
      <c r="K972" s="1"/>
      <c r="L972" s="1"/>
      <c r="M972" s="1"/>
      <c r="N972" s="1"/>
      <c r="O972" s="1"/>
      <c r="P972" s="1"/>
      <c r="Q972" s="1"/>
      <c r="R972" s="1"/>
      <c r="S972" s="1"/>
      <c r="T972" s="1"/>
      <c r="U972" s="1"/>
      <c r="V972" s="1"/>
      <c r="W972" s="1"/>
      <c r="X972" s="1"/>
      <c r="Y972" s="1"/>
      <c r="Z972" s="1"/>
    </row>
    <row r="973" spans="1:26" ht="15.75" customHeight="1" x14ac:dyDescent="0.3">
      <c r="A973" s="148"/>
      <c r="B973" s="6"/>
      <c r="C973" s="6"/>
      <c r="D973" s="82"/>
      <c r="E973" s="6"/>
      <c r="F973" s="6"/>
      <c r="G973" s="6"/>
      <c r="H973" s="82"/>
      <c r="I973" s="6"/>
      <c r="J973" s="6"/>
      <c r="K973" s="1"/>
      <c r="L973" s="1"/>
      <c r="M973" s="1"/>
      <c r="N973" s="1"/>
      <c r="O973" s="1"/>
      <c r="P973" s="1"/>
      <c r="Q973" s="1"/>
      <c r="R973" s="1"/>
      <c r="S973" s="1"/>
      <c r="T973" s="1"/>
      <c r="U973" s="1"/>
      <c r="V973" s="1"/>
      <c r="W973" s="1"/>
      <c r="X973" s="1"/>
      <c r="Y973" s="1"/>
      <c r="Z973" s="1"/>
    </row>
    <row r="974" spans="1:26" ht="15.75" customHeight="1" x14ac:dyDescent="0.3">
      <c r="A974" s="148"/>
      <c r="B974" s="6"/>
      <c r="C974" s="6"/>
      <c r="D974" s="82"/>
      <c r="E974" s="6"/>
      <c r="F974" s="6"/>
      <c r="G974" s="6"/>
      <c r="H974" s="82"/>
      <c r="I974" s="6"/>
      <c r="J974" s="6"/>
      <c r="K974" s="1"/>
      <c r="L974" s="1"/>
      <c r="M974" s="1"/>
      <c r="N974" s="1"/>
      <c r="O974" s="1"/>
      <c r="P974" s="1"/>
      <c r="Q974" s="1"/>
      <c r="R974" s="1"/>
      <c r="S974" s="1"/>
      <c r="T974" s="1"/>
      <c r="U974" s="1"/>
      <c r="V974" s="1"/>
      <c r="W974" s="1"/>
      <c r="X974" s="1"/>
      <c r="Y974" s="1"/>
      <c r="Z974" s="1"/>
    </row>
    <row r="975" spans="1:26" ht="15.75" customHeight="1" x14ac:dyDescent="0.3">
      <c r="A975" s="148"/>
      <c r="B975" s="6"/>
      <c r="C975" s="6"/>
      <c r="D975" s="82"/>
      <c r="E975" s="6"/>
      <c r="F975" s="6"/>
      <c r="G975" s="6"/>
      <c r="H975" s="82"/>
      <c r="I975" s="6"/>
      <c r="J975" s="6"/>
      <c r="K975" s="1"/>
      <c r="L975" s="1"/>
      <c r="M975" s="1"/>
      <c r="N975" s="1"/>
      <c r="O975" s="1"/>
      <c r="P975" s="1"/>
      <c r="Q975" s="1"/>
      <c r="R975" s="1"/>
      <c r="S975" s="1"/>
      <c r="T975" s="1"/>
      <c r="U975" s="1"/>
      <c r="V975" s="1"/>
      <c r="W975" s="1"/>
      <c r="X975" s="1"/>
      <c r="Y975" s="1"/>
      <c r="Z975" s="1"/>
    </row>
    <row r="976" spans="1:26" ht="15.75" customHeight="1" x14ac:dyDescent="0.3">
      <c r="A976" s="148"/>
      <c r="B976" s="6"/>
      <c r="C976" s="6"/>
      <c r="D976" s="82"/>
      <c r="E976" s="6"/>
      <c r="F976" s="6"/>
      <c r="G976" s="6"/>
      <c r="H976" s="82"/>
      <c r="I976" s="6"/>
      <c r="J976" s="6"/>
      <c r="K976" s="1"/>
      <c r="L976" s="1"/>
      <c r="M976" s="1"/>
      <c r="N976" s="1"/>
      <c r="O976" s="1"/>
      <c r="P976" s="1"/>
      <c r="Q976" s="1"/>
      <c r="R976" s="1"/>
      <c r="S976" s="1"/>
      <c r="T976" s="1"/>
      <c r="U976" s="1"/>
      <c r="V976" s="1"/>
      <c r="W976" s="1"/>
      <c r="X976" s="1"/>
      <c r="Y976" s="1"/>
      <c r="Z976" s="1"/>
    </row>
    <row r="977" spans="1:26" ht="15.75" customHeight="1" x14ac:dyDescent="0.3">
      <c r="A977" s="148"/>
      <c r="B977" s="6"/>
      <c r="C977" s="6"/>
      <c r="D977" s="82"/>
      <c r="E977" s="6"/>
      <c r="F977" s="6"/>
      <c r="G977" s="6"/>
      <c r="H977" s="82"/>
      <c r="I977" s="6"/>
      <c r="J977" s="6"/>
      <c r="K977" s="1"/>
      <c r="L977" s="1"/>
      <c r="M977" s="1"/>
      <c r="N977" s="1"/>
      <c r="O977" s="1"/>
      <c r="P977" s="1"/>
      <c r="Q977" s="1"/>
      <c r="R977" s="1"/>
      <c r="S977" s="1"/>
      <c r="T977" s="1"/>
      <c r="U977" s="1"/>
      <c r="V977" s="1"/>
      <c r="W977" s="1"/>
      <c r="X977" s="1"/>
      <c r="Y977" s="1"/>
      <c r="Z977" s="1"/>
    </row>
    <row r="978" spans="1:26" ht="15.75" customHeight="1" x14ac:dyDescent="0.3">
      <c r="A978" s="148"/>
      <c r="B978" s="6"/>
      <c r="C978" s="6"/>
      <c r="D978" s="82"/>
      <c r="E978" s="6"/>
      <c r="F978" s="6"/>
      <c r="G978" s="6"/>
      <c r="H978" s="82"/>
      <c r="I978" s="6"/>
      <c r="J978" s="6"/>
      <c r="K978" s="1"/>
      <c r="L978" s="1"/>
      <c r="M978" s="1"/>
      <c r="N978" s="1"/>
      <c r="O978" s="1"/>
      <c r="P978" s="1"/>
      <c r="Q978" s="1"/>
      <c r="R978" s="1"/>
      <c r="S978" s="1"/>
      <c r="T978" s="1"/>
      <c r="U978" s="1"/>
      <c r="V978" s="1"/>
      <c r="W978" s="1"/>
      <c r="X978" s="1"/>
      <c r="Y978" s="1"/>
      <c r="Z978" s="1"/>
    </row>
    <row r="979" spans="1:26" ht="15.75" customHeight="1" x14ac:dyDescent="0.3">
      <c r="A979" s="148"/>
      <c r="B979" s="6"/>
      <c r="C979" s="6"/>
      <c r="D979" s="82"/>
      <c r="E979" s="6"/>
      <c r="F979" s="6"/>
      <c r="G979" s="6"/>
      <c r="H979" s="82"/>
      <c r="I979" s="6"/>
      <c r="J979" s="6"/>
      <c r="K979" s="1"/>
      <c r="L979" s="1"/>
      <c r="M979" s="1"/>
      <c r="N979" s="1"/>
      <c r="O979" s="1"/>
      <c r="P979" s="1"/>
      <c r="Q979" s="1"/>
      <c r="R979" s="1"/>
      <c r="S979" s="1"/>
      <c r="T979" s="1"/>
      <c r="U979" s="1"/>
      <c r="V979" s="1"/>
      <c r="W979" s="1"/>
      <c r="X979" s="1"/>
      <c r="Y979" s="1"/>
      <c r="Z979" s="1"/>
    </row>
    <row r="980" spans="1:26" ht="15.75" customHeight="1" x14ac:dyDescent="0.3">
      <c r="A980" s="148"/>
      <c r="B980" s="6"/>
      <c r="C980" s="6"/>
      <c r="D980" s="82"/>
      <c r="E980" s="6"/>
      <c r="F980" s="6"/>
      <c r="G980" s="6"/>
      <c r="H980" s="82"/>
      <c r="I980" s="6"/>
      <c r="J980" s="6"/>
      <c r="K980" s="1"/>
      <c r="L980" s="1"/>
      <c r="M980" s="1"/>
      <c r="N980" s="1"/>
      <c r="O980" s="1"/>
      <c r="P980" s="1"/>
      <c r="Q980" s="1"/>
      <c r="R980" s="1"/>
      <c r="S980" s="1"/>
      <c r="T980" s="1"/>
      <c r="U980" s="1"/>
      <c r="V980" s="1"/>
      <c r="W980" s="1"/>
      <c r="X980" s="1"/>
      <c r="Y980" s="1"/>
      <c r="Z980" s="1"/>
    </row>
    <row r="981" spans="1:26" ht="15.75" customHeight="1" x14ac:dyDescent="0.3">
      <c r="A981" s="148"/>
      <c r="B981" s="6"/>
      <c r="C981" s="6"/>
      <c r="D981" s="82"/>
      <c r="E981" s="6"/>
      <c r="F981" s="6"/>
      <c r="G981" s="6"/>
      <c r="H981" s="82"/>
      <c r="I981" s="6"/>
      <c r="J981" s="6"/>
      <c r="K981" s="1"/>
      <c r="L981" s="1"/>
      <c r="M981" s="1"/>
      <c r="N981" s="1"/>
      <c r="O981" s="1"/>
      <c r="P981" s="1"/>
      <c r="Q981" s="1"/>
      <c r="R981" s="1"/>
      <c r="S981" s="1"/>
      <c r="T981" s="1"/>
      <c r="U981" s="1"/>
      <c r="V981" s="1"/>
      <c r="W981" s="1"/>
      <c r="X981" s="1"/>
      <c r="Y981" s="1"/>
      <c r="Z981" s="1"/>
    </row>
    <row r="982" spans="1:26" ht="15.75" customHeight="1" x14ac:dyDescent="0.3">
      <c r="A982" s="148"/>
      <c r="B982" s="6"/>
      <c r="C982" s="6"/>
      <c r="D982" s="82"/>
      <c r="E982" s="6"/>
      <c r="F982" s="6"/>
      <c r="G982" s="6"/>
      <c r="H982" s="82"/>
      <c r="I982" s="6"/>
      <c r="J982" s="6"/>
      <c r="K982" s="1"/>
      <c r="L982" s="1"/>
      <c r="M982" s="1"/>
      <c r="N982" s="1"/>
      <c r="O982" s="1"/>
      <c r="P982" s="1"/>
      <c r="Q982" s="1"/>
      <c r="R982" s="1"/>
      <c r="S982" s="1"/>
      <c r="T982" s="1"/>
      <c r="U982" s="1"/>
      <c r="V982" s="1"/>
      <c r="W982" s="1"/>
      <c r="X982" s="1"/>
      <c r="Y982" s="1"/>
      <c r="Z982" s="1"/>
    </row>
    <row r="983" spans="1:26" ht="15.75" customHeight="1" x14ac:dyDescent="0.3">
      <c r="A983" s="148"/>
      <c r="B983" s="6"/>
      <c r="C983" s="6"/>
      <c r="D983" s="82"/>
      <c r="E983" s="6"/>
      <c r="F983" s="6"/>
      <c r="G983" s="6"/>
      <c r="H983" s="82"/>
      <c r="I983" s="6"/>
      <c r="J983" s="6"/>
      <c r="K983" s="1"/>
      <c r="L983" s="1"/>
      <c r="M983" s="1"/>
      <c r="N983" s="1"/>
      <c r="O983" s="1"/>
      <c r="P983" s="1"/>
      <c r="Q983" s="1"/>
      <c r="R983" s="1"/>
      <c r="S983" s="1"/>
      <c r="T983" s="1"/>
      <c r="U983" s="1"/>
      <c r="V983" s="1"/>
      <c r="W983" s="1"/>
      <c r="X983" s="1"/>
      <c r="Y983" s="1"/>
      <c r="Z983" s="1"/>
    </row>
    <row r="984" spans="1:26" ht="15.75" customHeight="1" x14ac:dyDescent="0.3">
      <c r="A984" s="148"/>
      <c r="B984" s="6"/>
      <c r="C984" s="6"/>
      <c r="D984" s="82"/>
      <c r="E984" s="6"/>
      <c r="F984" s="6"/>
      <c r="G984" s="6"/>
      <c r="H984" s="82"/>
      <c r="I984" s="6"/>
      <c r="J984" s="6"/>
      <c r="K984" s="1"/>
      <c r="L984" s="1"/>
      <c r="M984" s="1"/>
      <c r="N984" s="1"/>
      <c r="O984" s="1"/>
      <c r="P984" s="1"/>
      <c r="Q984" s="1"/>
      <c r="R984" s="1"/>
      <c r="S984" s="1"/>
      <c r="T984" s="1"/>
      <c r="U984" s="1"/>
      <c r="V984" s="1"/>
      <c r="W984" s="1"/>
      <c r="X984" s="1"/>
      <c r="Y984" s="1"/>
      <c r="Z984" s="1"/>
    </row>
    <row r="985" spans="1:26" ht="15.75" customHeight="1" x14ac:dyDescent="0.3">
      <c r="A985" s="148"/>
      <c r="B985" s="6"/>
      <c r="C985" s="6"/>
      <c r="D985" s="82"/>
      <c r="E985" s="6"/>
      <c r="F985" s="6"/>
      <c r="G985" s="6"/>
      <c r="H985" s="82"/>
      <c r="I985" s="6"/>
      <c r="J985" s="6"/>
      <c r="K985" s="1"/>
      <c r="L985" s="1"/>
      <c r="M985" s="1"/>
      <c r="N985" s="1"/>
      <c r="O985" s="1"/>
      <c r="P985" s="1"/>
      <c r="Q985" s="1"/>
      <c r="R985" s="1"/>
      <c r="S985" s="1"/>
      <c r="T985" s="1"/>
      <c r="U985" s="1"/>
      <c r="V985" s="1"/>
      <c r="W985" s="1"/>
      <c r="X985" s="1"/>
      <c r="Y985" s="1"/>
      <c r="Z985" s="1"/>
    </row>
    <row r="986" spans="1:26" ht="15.75" customHeight="1" x14ac:dyDescent="0.3">
      <c r="A986" s="148"/>
      <c r="B986" s="6"/>
      <c r="C986" s="6"/>
      <c r="D986" s="82"/>
      <c r="E986" s="6"/>
      <c r="F986" s="6"/>
      <c r="G986" s="6"/>
      <c r="H986" s="82"/>
      <c r="I986" s="6"/>
      <c r="J986" s="6"/>
      <c r="K986" s="1"/>
      <c r="L986" s="1"/>
      <c r="M986" s="1"/>
      <c r="N986" s="1"/>
      <c r="O986" s="1"/>
      <c r="P986" s="1"/>
      <c r="Q986" s="1"/>
      <c r="R986" s="1"/>
      <c r="S986" s="1"/>
      <c r="T986" s="1"/>
      <c r="U986" s="1"/>
      <c r="V986" s="1"/>
      <c r="W986" s="1"/>
      <c r="X986" s="1"/>
      <c r="Y986" s="1"/>
      <c r="Z986" s="1"/>
    </row>
    <row r="987" spans="1:26" ht="15.75" customHeight="1" x14ac:dyDescent="0.3">
      <c r="A987" s="148"/>
      <c r="B987" s="6"/>
      <c r="C987" s="6"/>
      <c r="D987" s="82"/>
      <c r="E987" s="6"/>
      <c r="F987" s="6"/>
      <c r="G987" s="6"/>
      <c r="H987" s="82"/>
      <c r="I987" s="6"/>
      <c r="J987" s="6"/>
      <c r="K987" s="1"/>
      <c r="L987" s="1"/>
      <c r="M987" s="1"/>
      <c r="N987" s="1"/>
      <c r="O987" s="1"/>
      <c r="P987" s="1"/>
      <c r="Q987" s="1"/>
      <c r="R987" s="1"/>
      <c r="S987" s="1"/>
      <c r="T987" s="1"/>
      <c r="U987" s="1"/>
      <c r="V987" s="1"/>
      <c r="W987" s="1"/>
      <c r="X987" s="1"/>
      <c r="Y987" s="1"/>
      <c r="Z987" s="1"/>
    </row>
    <row r="988" spans="1:26" ht="15.75" customHeight="1" x14ac:dyDescent="0.3">
      <c r="A988" s="148"/>
      <c r="B988" s="6"/>
      <c r="C988" s="6"/>
      <c r="D988" s="82"/>
      <c r="E988" s="6"/>
      <c r="F988" s="6"/>
      <c r="G988" s="6"/>
      <c r="H988" s="82"/>
      <c r="I988" s="6"/>
      <c r="J988" s="6"/>
      <c r="K988" s="1"/>
      <c r="L988" s="1"/>
      <c r="M988" s="1"/>
      <c r="N988" s="1"/>
      <c r="O988" s="1"/>
      <c r="P988" s="1"/>
      <c r="Q988" s="1"/>
      <c r="R988" s="1"/>
      <c r="S988" s="1"/>
      <c r="T988" s="1"/>
      <c r="U988" s="1"/>
      <c r="V988" s="1"/>
      <c r="W988" s="1"/>
      <c r="X988" s="1"/>
      <c r="Y988" s="1"/>
      <c r="Z988" s="1"/>
    </row>
    <row r="989" spans="1:26" ht="15.75" customHeight="1" x14ac:dyDescent="0.3">
      <c r="A989" s="148"/>
      <c r="B989" s="6"/>
      <c r="C989" s="6"/>
      <c r="D989" s="82"/>
      <c r="E989" s="6"/>
      <c r="F989" s="6"/>
      <c r="G989" s="6"/>
      <c r="H989" s="82"/>
      <c r="I989" s="6"/>
      <c r="J989" s="6"/>
      <c r="K989" s="1"/>
      <c r="L989" s="1"/>
      <c r="M989" s="1"/>
      <c r="N989" s="1"/>
      <c r="O989" s="1"/>
      <c r="P989" s="1"/>
      <c r="Q989" s="1"/>
      <c r="R989" s="1"/>
      <c r="S989" s="1"/>
      <c r="T989" s="1"/>
      <c r="U989" s="1"/>
      <c r="V989" s="1"/>
      <c r="W989" s="1"/>
      <c r="X989" s="1"/>
      <c r="Y989" s="1"/>
      <c r="Z989" s="1"/>
    </row>
    <row r="990" spans="1:26" ht="15.75" customHeight="1" x14ac:dyDescent="0.3">
      <c r="A990" s="148"/>
      <c r="B990" s="6"/>
      <c r="C990" s="6"/>
      <c r="D990" s="82"/>
      <c r="E990" s="6"/>
      <c r="F990" s="6"/>
      <c r="G990" s="6"/>
      <c r="H990" s="82"/>
      <c r="I990" s="6"/>
      <c r="J990" s="6"/>
      <c r="K990" s="1"/>
      <c r="L990" s="1"/>
      <c r="M990" s="1"/>
      <c r="N990" s="1"/>
      <c r="O990" s="1"/>
      <c r="P990" s="1"/>
      <c r="Q990" s="1"/>
      <c r="R990" s="1"/>
      <c r="S990" s="1"/>
      <c r="T990" s="1"/>
      <c r="U990" s="1"/>
      <c r="V990" s="1"/>
      <c r="W990" s="1"/>
      <c r="X990" s="1"/>
      <c r="Y990" s="1"/>
      <c r="Z990" s="1"/>
    </row>
    <row r="991" spans="1:26" ht="15.75" customHeight="1" x14ac:dyDescent="0.3">
      <c r="A991" s="148"/>
      <c r="B991" s="6"/>
      <c r="C991" s="6"/>
      <c r="D991" s="82"/>
      <c r="E991" s="6"/>
      <c r="F991" s="6"/>
      <c r="G991" s="6"/>
      <c r="H991" s="82"/>
      <c r="I991" s="6"/>
      <c r="J991" s="6"/>
      <c r="K991" s="1"/>
      <c r="L991" s="1"/>
      <c r="M991" s="1"/>
      <c r="N991" s="1"/>
      <c r="O991" s="1"/>
      <c r="P991" s="1"/>
      <c r="Q991" s="1"/>
      <c r="R991" s="1"/>
      <c r="S991" s="1"/>
      <c r="T991" s="1"/>
      <c r="U991" s="1"/>
      <c r="V991" s="1"/>
      <c r="W991" s="1"/>
      <c r="X991" s="1"/>
      <c r="Y991" s="1"/>
      <c r="Z991" s="1"/>
    </row>
    <row r="992" spans="1:26" ht="15.75" customHeight="1" x14ac:dyDescent="0.3">
      <c r="A992" s="148"/>
      <c r="B992" s="6"/>
      <c r="C992" s="6"/>
      <c r="D992" s="82"/>
      <c r="E992" s="6"/>
      <c r="F992" s="6"/>
      <c r="G992" s="6"/>
      <c r="H992" s="82"/>
      <c r="I992" s="6"/>
      <c r="J992" s="6"/>
      <c r="K992" s="1"/>
      <c r="L992" s="1"/>
      <c r="M992" s="1"/>
      <c r="N992" s="1"/>
      <c r="O992" s="1"/>
      <c r="P992" s="1"/>
      <c r="Q992" s="1"/>
      <c r="R992" s="1"/>
      <c r="S992" s="1"/>
      <c r="T992" s="1"/>
      <c r="U992" s="1"/>
      <c r="V992" s="1"/>
      <c r="W992" s="1"/>
      <c r="X992" s="1"/>
      <c r="Y992" s="1"/>
      <c r="Z992" s="1"/>
    </row>
    <row r="993" spans="1:26" ht="15.75" customHeight="1" x14ac:dyDescent="0.3">
      <c r="A993" s="148"/>
      <c r="B993" s="6"/>
      <c r="C993" s="6"/>
      <c r="D993" s="82"/>
      <c r="E993" s="6"/>
      <c r="F993" s="6"/>
      <c r="G993" s="6"/>
      <c r="H993" s="82"/>
      <c r="I993" s="6"/>
      <c r="J993" s="6"/>
      <c r="K993" s="1"/>
      <c r="L993" s="1"/>
      <c r="M993" s="1"/>
      <c r="N993" s="1"/>
      <c r="O993" s="1"/>
      <c r="P993" s="1"/>
      <c r="Q993" s="1"/>
      <c r="R993" s="1"/>
      <c r="S993" s="1"/>
      <c r="T993" s="1"/>
      <c r="U993" s="1"/>
      <c r="V993" s="1"/>
      <c r="W993" s="1"/>
      <c r="X993" s="1"/>
      <c r="Y993" s="1"/>
      <c r="Z993" s="1"/>
    </row>
    <row r="994" spans="1:26" ht="15.75" customHeight="1" x14ac:dyDescent="0.3">
      <c r="A994" s="148"/>
      <c r="B994" s="6"/>
      <c r="C994" s="6"/>
      <c r="D994" s="82"/>
      <c r="E994" s="6"/>
      <c r="F994" s="6"/>
      <c r="G994" s="6"/>
      <c r="H994" s="82"/>
      <c r="I994" s="6"/>
      <c r="J994" s="6"/>
      <c r="K994" s="1"/>
      <c r="L994" s="1"/>
      <c r="M994" s="1"/>
      <c r="N994" s="1"/>
      <c r="O994" s="1"/>
      <c r="P994" s="1"/>
      <c r="Q994" s="1"/>
      <c r="R994" s="1"/>
      <c r="S994" s="1"/>
      <c r="T994" s="1"/>
      <c r="U994" s="1"/>
      <c r="V994" s="1"/>
      <c r="W994" s="1"/>
      <c r="X994" s="1"/>
      <c r="Y994" s="1"/>
      <c r="Z994" s="1"/>
    </row>
    <row r="995" spans="1:26" ht="15.75" customHeight="1" x14ac:dyDescent="0.3">
      <c r="A995" s="148"/>
      <c r="B995" s="6"/>
      <c r="C995" s="6"/>
      <c r="D995" s="82"/>
      <c r="E995" s="6"/>
      <c r="F995" s="6"/>
      <c r="G995" s="6"/>
      <c r="H995" s="82"/>
      <c r="I995" s="6"/>
      <c r="J995" s="6"/>
      <c r="K995" s="1"/>
      <c r="L995" s="1"/>
      <c r="M995" s="1"/>
      <c r="N995" s="1"/>
      <c r="O995" s="1"/>
      <c r="P995" s="1"/>
      <c r="Q995" s="1"/>
      <c r="R995" s="1"/>
      <c r="S995" s="1"/>
      <c r="T995" s="1"/>
      <c r="U995" s="1"/>
      <c r="V995" s="1"/>
      <c r="W995" s="1"/>
      <c r="X995" s="1"/>
      <c r="Y995" s="1"/>
      <c r="Z995" s="1"/>
    </row>
    <row r="996" spans="1:26" ht="15.75" customHeight="1" x14ac:dyDescent="0.3">
      <c r="A996" s="148"/>
      <c r="B996" s="6"/>
      <c r="C996" s="6"/>
      <c r="D996" s="82"/>
      <c r="E996" s="6"/>
      <c r="F996" s="6"/>
      <c r="G996" s="6"/>
      <c r="H996" s="82"/>
      <c r="I996" s="6"/>
      <c r="J996" s="6"/>
      <c r="K996" s="1"/>
      <c r="L996" s="1"/>
      <c r="M996" s="1"/>
      <c r="N996" s="1"/>
      <c r="O996" s="1"/>
      <c r="P996" s="1"/>
      <c r="Q996" s="1"/>
      <c r="R996" s="1"/>
      <c r="S996" s="1"/>
      <c r="T996" s="1"/>
      <c r="U996" s="1"/>
      <c r="V996" s="1"/>
      <c r="W996" s="1"/>
      <c r="X996" s="1"/>
      <c r="Y996" s="1"/>
      <c r="Z996" s="1"/>
    </row>
    <row r="997" spans="1:26" ht="15.75" customHeight="1" x14ac:dyDescent="0.3">
      <c r="A997" s="148"/>
      <c r="B997" s="6"/>
      <c r="C997" s="6"/>
      <c r="D997" s="82"/>
      <c r="E997" s="6"/>
      <c r="F997" s="6"/>
      <c r="G997" s="6"/>
      <c r="H997" s="82"/>
      <c r="I997" s="6"/>
      <c r="J997" s="6"/>
      <c r="K997" s="1"/>
      <c r="L997" s="1"/>
      <c r="M997" s="1"/>
      <c r="N997" s="1"/>
      <c r="O997" s="1"/>
      <c r="P997" s="1"/>
      <c r="Q997" s="1"/>
      <c r="R997" s="1"/>
      <c r="S997" s="1"/>
      <c r="T997" s="1"/>
      <c r="U997" s="1"/>
      <c r="V997" s="1"/>
      <c r="W997" s="1"/>
      <c r="X997" s="1"/>
      <c r="Y997" s="1"/>
      <c r="Z997" s="1"/>
    </row>
    <row r="998" spans="1:26" ht="15.75" customHeight="1" x14ac:dyDescent="0.3">
      <c r="A998" s="148"/>
      <c r="B998" s="6"/>
      <c r="C998" s="6"/>
      <c r="D998" s="82"/>
      <c r="E998" s="6"/>
      <c r="F998" s="6"/>
      <c r="G998" s="6"/>
      <c r="H998" s="82"/>
      <c r="I998" s="6"/>
      <c r="J998" s="6"/>
      <c r="K998" s="1"/>
      <c r="L998" s="1"/>
      <c r="M998" s="1"/>
      <c r="N998" s="1"/>
      <c r="O998" s="1"/>
      <c r="P998" s="1"/>
      <c r="Q998" s="1"/>
      <c r="R998" s="1"/>
      <c r="S998" s="1"/>
      <c r="T998" s="1"/>
      <c r="U998" s="1"/>
      <c r="V998" s="1"/>
      <c r="W998" s="1"/>
      <c r="X998" s="1"/>
      <c r="Y998" s="1"/>
      <c r="Z998" s="1"/>
    </row>
    <row r="999" spans="1:26" ht="15.75" customHeight="1" x14ac:dyDescent="0.3">
      <c r="A999" s="148"/>
      <c r="B999" s="6"/>
      <c r="C999" s="6"/>
      <c r="D999" s="82"/>
      <c r="E999" s="6"/>
      <c r="F999" s="6"/>
      <c r="G999" s="6"/>
      <c r="H999" s="82"/>
      <c r="I999" s="6"/>
      <c r="J999" s="6"/>
      <c r="K999" s="1"/>
      <c r="L999" s="1"/>
      <c r="M999" s="1"/>
      <c r="N999" s="1"/>
      <c r="O999" s="1"/>
      <c r="P999" s="1"/>
      <c r="Q999" s="1"/>
      <c r="R999" s="1"/>
      <c r="S999" s="1"/>
      <c r="T999" s="1"/>
      <c r="U999" s="1"/>
      <c r="V999" s="1"/>
      <c r="W999" s="1"/>
      <c r="X999" s="1"/>
      <c r="Y999" s="1"/>
      <c r="Z999" s="1"/>
    </row>
  </sheetData>
  <mergeCells count="6">
    <mergeCell ref="A18:H18"/>
    <mergeCell ref="A2:F2"/>
    <mergeCell ref="G2:I4"/>
    <mergeCell ref="A3:F3"/>
    <mergeCell ref="A4:F4"/>
    <mergeCell ref="A6:I6"/>
  </mergeCells>
  <printOptions horizontalCentered="1"/>
  <pageMargins left="0.51181102362204722" right="0.51181102362204722" top="0.55118110236220474" bottom="0.55118110236220474" header="0" footer="0"/>
  <pageSetup paperSize="9" scale="41"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C1000"/>
  <sheetViews>
    <sheetView workbookViewId="0">
      <selection activeCell="J3915" sqref="J3915"/>
    </sheetView>
  </sheetViews>
  <sheetFormatPr baseColWidth="10" defaultColWidth="14.44140625" defaultRowHeight="15" customHeight="1" x14ac:dyDescent="0.3"/>
  <cols>
    <col min="1" max="1" width="4.5546875" customWidth="1"/>
    <col min="2" max="2" width="46" customWidth="1"/>
    <col min="3" max="3" width="10.6640625" customWidth="1"/>
    <col min="4" max="4" width="3.109375" customWidth="1"/>
    <col min="5" max="22" width="10.6640625" customWidth="1"/>
  </cols>
  <sheetData>
    <row r="1" spans="2:3" thickBot="1" x14ac:dyDescent="0.35">
      <c r="B1" s="1" t="s">
        <v>307</v>
      </c>
    </row>
    <row r="2" spans="2:3" ht="18.600000000000001" thickBot="1" x14ac:dyDescent="0.4">
      <c r="B2" s="477" t="s">
        <v>806</v>
      </c>
      <c r="C2" s="478"/>
    </row>
    <row r="3" spans="2:3" thickBot="1" x14ac:dyDescent="0.35">
      <c r="B3" s="154" t="s">
        <v>411</v>
      </c>
      <c r="C3" s="155" t="s">
        <v>412</v>
      </c>
    </row>
    <row r="4" spans="2:3" ht="16.2" thickBot="1" x14ac:dyDescent="0.35">
      <c r="B4" s="156" t="s">
        <v>413</v>
      </c>
      <c r="C4" s="157">
        <v>1</v>
      </c>
    </row>
    <row r="5" spans="2:3" ht="15.6" x14ac:dyDescent="0.3">
      <c r="B5" s="158" t="s">
        <v>414</v>
      </c>
      <c r="C5" s="159"/>
    </row>
    <row r="6" spans="2:3" ht="15.6" x14ac:dyDescent="0.3">
      <c r="B6" s="160" t="s">
        <v>415</v>
      </c>
      <c r="C6" s="161">
        <v>0</v>
      </c>
    </row>
    <row r="7" spans="2:3" ht="14.4" x14ac:dyDescent="0.3">
      <c r="B7" s="162" t="s">
        <v>417</v>
      </c>
      <c r="C7" s="161">
        <f>+C4/12</f>
        <v>8.3333333333333329E-2</v>
      </c>
    </row>
    <row r="8" spans="2:3" ht="14.4" x14ac:dyDescent="0.3">
      <c r="B8" s="162" t="s">
        <v>418</v>
      </c>
      <c r="C8" s="161">
        <v>0.01</v>
      </c>
    </row>
    <row r="9" spans="2:3" ht="14.4" x14ac:dyDescent="0.3">
      <c r="B9" s="162" t="s">
        <v>419</v>
      </c>
      <c r="C9" s="161">
        <f>+C4/12</f>
        <v>8.3333333333333329E-2</v>
      </c>
    </row>
    <row r="10" spans="2:3" ht="14.4" x14ac:dyDescent="0.3">
      <c r="B10" s="162" t="s">
        <v>420</v>
      </c>
      <c r="C10" s="161">
        <v>4.1700000000000001E-2</v>
      </c>
    </row>
    <row r="11" spans="2:3" ht="14.4" x14ac:dyDescent="0.3">
      <c r="B11" s="162" t="s">
        <v>421</v>
      </c>
      <c r="C11" s="161">
        <v>0.12</v>
      </c>
    </row>
    <row r="12" spans="2:3" ht="14.4" x14ac:dyDescent="0.3">
      <c r="B12" s="162" t="s">
        <v>422</v>
      </c>
      <c r="C12" s="161">
        <v>8.5000000000000006E-2</v>
      </c>
    </row>
    <row r="13" spans="2:3" ht="14.4" x14ac:dyDescent="0.3">
      <c r="B13" s="162" t="s">
        <v>423</v>
      </c>
      <c r="C13" s="161">
        <v>6.9599999999999995E-2</v>
      </c>
    </row>
    <row r="14" spans="2:3" ht="14.4" x14ac:dyDescent="0.3">
      <c r="B14" s="162" t="s">
        <v>424</v>
      </c>
      <c r="C14" s="161">
        <v>0.02</v>
      </c>
    </row>
    <row r="15" spans="2:3" ht="14.4" x14ac:dyDescent="0.3">
      <c r="B15" s="162" t="s">
        <v>425</v>
      </c>
      <c r="C15" s="161">
        <v>0.03</v>
      </c>
    </row>
    <row r="16" spans="2:3" ht="14.4" x14ac:dyDescent="0.3">
      <c r="B16" s="162" t="s">
        <v>426</v>
      </c>
      <c r="C16" s="161">
        <v>0.04</v>
      </c>
    </row>
    <row r="17" spans="2:3" ht="14.4" x14ac:dyDescent="0.3">
      <c r="B17" s="162" t="s">
        <v>427</v>
      </c>
      <c r="C17" s="161">
        <v>0.04</v>
      </c>
    </row>
    <row r="18" spans="2:3" ht="14.4" x14ac:dyDescent="0.3">
      <c r="B18" s="163" t="s">
        <v>428</v>
      </c>
      <c r="C18" s="164">
        <f>SUM(C6:C17)</f>
        <v>0.62296666666666678</v>
      </c>
    </row>
    <row r="19" spans="2:3" ht="16.2" thickBot="1" x14ac:dyDescent="0.35">
      <c r="B19" s="165" t="s">
        <v>429</v>
      </c>
      <c r="C19" s="166">
        <f>C4+C18</f>
        <v>1.6229666666666667</v>
      </c>
    </row>
    <row r="21" spans="2:3" ht="15.75" customHeight="1" x14ac:dyDescent="0.3">
      <c r="B21" s="167"/>
    </row>
    <row r="22" spans="2:3" ht="15.75" customHeight="1" x14ac:dyDescent="0.3"/>
    <row r="23" spans="2:3" ht="15.75" customHeight="1" x14ac:dyDescent="0.3"/>
    <row r="24" spans="2:3" ht="15.75" customHeight="1" x14ac:dyDescent="0.3"/>
    <row r="25" spans="2:3" ht="15.75" customHeight="1" x14ac:dyDescent="0.3"/>
    <row r="26" spans="2:3" ht="15.75" customHeight="1" x14ac:dyDescent="0.3"/>
    <row r="27" spans="2:3" ht="15.75" customHeight="1" x14ac:dyDescent="0.3"/>
    <row r="28" spans="2:3" ht="15.75" customHeight="1" x14ac:dyDescent="0.3"/>
    <row r="29" spans="2:3" ht="15.75" customHeight="1" x14ac:dyDescent="0.3"/>
    <row r="30" spans="2:3" ht="15.75" customHeight="1" x14ac:dyDescent="0.3"/>
    <row r="31" spans="2:3" ht="15.75" customHeight="1" x14ac:dyDescent="0.3"/>
    <row r="32" spans="2: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
    <mergeCell ref="B2:C2"/>
  </mergeCells>
  <printOptions horizontalCentered="1"/>
  <pageMargins left="0.51181102362204722" right="0.51181102362204722" top="0.55118110236220474" bottom="0.55118110236220474" header="0" footer="0"/>
  <pageSetup paperSize="9" scale="63" fitToHeight="0"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8D08D"/>
    <pageSetUpPr fitToPage="1"/>
  </sheetPr>
  <dimension ref="A1:Z1000"/>
  <sheetViews>
    <sheetView showGridLines="0" workbookViewId="0"/>
  </sheetViews>
  <sheetFormatPr baseColWidth="10" defaultColWidth="14.44140625" defaultRowHeight="15" customHeight="1" x14ac:dyDescent="0.3"/>
  <cols>
    <col min="1" max="1" width="11.44140625" customWidth="1"/>
    <col min="2" max="2" width="27.109375" customWidth="1"/>
    <col min="3" max="3" width="62.6640625" customWidth="1"/>
    <col min="4" max="5" width="5.6640625" customWidth="1"/>
    <col min="6" max="6" width="18.33203125" customWidth="1"/>
    <col min="7" max="7" width="13" customWidth="1"/>
    <col min="8" max="9" width="20.88671875" customWidth="1"/>
    <col min="10" max="10" width="15" customWidth="1"/>
    <col min="11" max="11" width="18.44140625" customWidth="1"/>
    <col min="12" max="12" width="5.6640625" customWidth="1"/>
    <col min="13" max="13" width="17.33203125" customWidth="1"/>
    <col min="14" max="14" width="15.109375" customWidth="1"/>
    <col min="15" max="15" width="16.33203125" customWidth="1"/>
    <col min="16" max="16" width="15.109375" customWidth="1"/>
    <col min="17" max="17" width="14.109375" customWidth="1"/>
    <col min="18" max="18" width="16.33203125" customWidth="1"/>
    <col min="19" max="21" width="11.44140625" customWidth="1"/>
    <col min="22" max="26" width="10.6640625" customWidth="1"/>
  </cols>
  <sheetData>
    <row r="1" spans="1:26" ht="7.5" customHeight="1" x14ac:dyDescent="0.3">
      <c r="A1" s="36"/>
      <c r="B1" s="36"/>
      <c r="C1" s="6"/>
      <c r="D1" s="36"/>
      <c r="E1" s="36"/>
      <c r="F1" s="36"/>
      <c r="G1" s="6"/>
      <c r="H1" s="36"/>
      <c r="I1" s="36"/>
      <c r="J1" s="37"/>
      <c r="K1" s="60"/>
      <c r="M1" s="61"/>
      <c r="N1" s="61"/>
      <c r="O1" s="61"/>
      <c r="P1" s="61"/>
      <c r="Q1" s="61"/>
      <c r="R1" s="61"/>
      <c r="S1" s="62"/>
      <c r="T1" s="62"/>
      <c r="U1" s="62"/>
    </row>
    <row r="2" spans="1:26" ht="24.75" customHeight="1" x14ac:dyDescent="0.3">
      <c r="A2" s="168" t="s">
        <v>267</v>
      </c>
      <c r="B2" s="168"/>
      <c r="C2" s="168"/>
      <c r="D2" s="168"/>
      <c r="E2" s="168"/>
      <c r="F2" s="36"/>
      <c r="G2" s="168"/>
      <c r="H2" s="36"/>
      <c r="I2" s="36"/>
      <c r="J2" s="168"/>
      <c r="K2" s="36"/>
      <c r="M2" s="61"/>
      <c r="N2" s="61"/>
      <c r="O2" s="61"/>
      <c r="P2" s="61"/>
      <c r="Q2" s="61"/>
      <c r="R2" s="61"/>
      <c r="S2" s="62"/>
      <c r="T2" s="62"/>
      <c r="U2" s="62"/>
    </row>
    <row r="3" spans="1:26" ht="24.75" customHeight="1" x14ac:dyDescent="0.3">
      <c r="A3" s="168" t="s">
        <v>430</v>
      </c>
      <c r="B3" s="168"/>
      <c r="C3" s="168"/>
      <c r="D3" s="168"/>
      <c r="E3" s="168"/>
      <c r="F3" s="36"/>
      <c r="G3" s="168"/>
      <c r="H3" s="36"/>
      <c r="I3" s="36"/>
      <c r="J3" s="168"/>
      <c r="K3" s="36"/>
      <c r="M3" s="61"/>
      <c r="N3" s="61"/>
      <c r="O3" s="61"/>
      <c r="P3" s="61"/>
      <c r="Q3" s="61"/>
      <c r="R3" s="61"/>
      <c r="S3" s="62"/>
      <c r="T3" s="62"/>
      <c r="U3" s="62"/>
    </row>
    <row r="4" spans="1:26" ht="24.75" customHeight="1" x14ac:dyDescent="0.3">
      <c r="A4" s="168" t="s">
        <v>431</v>
      </c>
      <c r="B4" s="168"/>
      <c r="C4" s="168"/>
      <c r="D4" s="168"/>
      <c r="E4" s="168"/>
      <c r="F4" s="36"/>
      <c r="G4" s="168"/>
      <c r="H4" s="36"/>
      <c r="I4" s="36"/>
      <c r="J4" s="168"/>
      <c r="K4" s="36"/>
      <c r="M4" s="61"/>
      <c r="N4" s="61"/>
      <c r="O4" s="61"/>
      <c r="P4" s="61"/>
      <c r="Q4" s="61"/>
      <c r="R4" s="61"/>
      <c r="S4" s="62"/>
      <c r="T4" s="62"/>
      <c r="U4" s="62"/>
    </row>
    <row r="5" spans="1:26" ht="14.4" x14ac:dyDescent="0.3">
      <c r="C5" s="48"/>
      <c r="F5" s="36"/>
      <c r="G5" s="63"/>
      <c r="H5" s="36"/>
      <c r="I5" s="36"/>
      <c r="J5" s="64"/>
      <c r="K5" s="36"/>
      <c r="M5" s="61"/>
      <c r="N5" s="61"/>
      <c r="O5" s="61"/>
      <c r="P5" s="61"/>
      <c r="Q5" s="61"/>
      <c r="R5" s="61"/>
      <c r="S5" s="62"/>
      <c r="T5" s="62"/>
      <c r="U5" s="62"/>
    </row>
    <row r="6" spans="1:26" ht="18.75" customHeight="1" x14ac:dyDescent="0.35">
      <c r="A6" s="169" t="s">
        <v>269</v>
      </c>
      <c r="B6" s="169"/>
      <c r="C6" s="170" t="str">
        <f>+A3</f>
        <v>PNN TAYRONA</v>
      </c>
      <c r="D6" s="170"/>
      <c r="E6" s="170"/>
      <c r="F6" s="170"/>
      <c r="G6" s="170"/>
      <c r="H6" s="66" t="s">
        <v>270</v>
      </c>
      <c r="I6" s="66"/>
      <c r="J6" s="170"/>
      <c r="K6" s="171">
        <v>3</v>
      </c>
      <c r="L6" s="65"/>
      <c r="M6" s="68"/>
      <c r="N6" s="68"/>
      <c r="O6" s="68"/>
      <c r="P6" s="68"/>
      <c r="Q6" s="68"/>
      <c r="R6" s="68"/>
      <c r="S6" s="69"/>
      <c r="T6" s="69"/>
      <c r="U6" s="69"/>
      <c r="V6" s="65"/>
      <c r="W6" s="65"/>
      <c r="X6" s="65"/>
      <c r="Y6" s="65"/>
      <c r="Z6" s="65"/>
    </row>
    <row r="7" spans="1:26" ht="28.5" customHeight="1" x14ac:dyDescent="0.3">
      <c r="A7" s="172" t="s">
        <v>43</v>
      </c>
      <c r="B7" s="172" t="s">
        <v>271</v>
      </c>
      <c r="C7" s="172"/>
      <c r="D7" s="172" t="s">
        <v>272</v>
      </c>
      <c r="E7" s="172"/>
      <c r="F7" s="172" t="s">
        <v>275</v>
      </c>
      <c r="G7" s="172" t="s">
        <v>273</v>
      </c>
      <c r="H7" s="173" t="s">
        <v>276</v>
      </c>
      <c r="I7" s="173"/>
      <c r="J7" s="174" t="s">
        <v>274</v>
      </c>
      <c r="K7" s="175" t="s">
        <v>277</v>
      </c>
      <c r="M7" s="61"/>
      <c r="N7" s="61"/>
      <c r="O7" s="61"/>
      <c r="P7" s="61"/>
      <c r="Q7" s="61"/>
      <c r="R7" s="61"/>
      <c r="S7" s="62"/>
      <c r="T7" s="62"/>
      <c r="U7" s="62"/>
    </row>
    <row r="8" spans="1:26" ht="14.4" x14ac:dyDescent="0.3">
      <c r="A8" s="172"/>
      <c r="B8" s="172"/>
      <c r="C8" s="172"/>
      <c r="D8" s="70" t="s">
        <v>278</v>
      </c>
      <c r="E8" s="70" t="s">
        <v>279</v>
      </c>
      <c r="F8" s="172"/>
      <c r="G8" s="172"/>
      <c r="H8" s="173"/>
      <c r="I8" s="173"/>
      <c r="J8" s="174"/>
      <c r="K8" s="175"/>
      <c r="M8" s="61"/>
      <c r="N8" s="61"/>
      <c r="O8" s="61"/>
      <c r="P8" s="61"/>
      <c r="Q8" s="61"/>
      <c r="R8" s="61"/>
      <c r="S8" s="62"/>
      <c r="T8" s="62"/>
      <c r="U8" s="62"/>
    </row>
    <row r="9" spans="1:26" ht="8.25" customHeight="1" x14ac:dyDescent="0.3">
      <c r="A9" s="36"/>
      <c r="B9" s="36"/>
      <c r="C9" s="6"/>
      <c r="D9" s="36"/>
      <c r="E9" s="36"/>
      <c r="F9" s="36"/>
      <c r="G9" s="6"/>
      <c r="H9" s="36"/>
      <c r="I9" s="36"/>
      <c r="J9" s="37"/>
      <c r="K9" s="60"/>
      <c r="M9" s="61"/>
      <c r="N9" s="61"/>
      <c r="O9" s="61"/>
      <c r="P9" s="61"/>
      <c r="Q9" s="61"/>
      <c r="R9" s="61"/>
      <c r="S9" s="62"/>
      <c r="T9" s="62"/>
      <c r="U9" s="62"/>
    </row>
    <row r="10" spans="1:26" ht="14.4" x14ac:dyDescent="0.3">
      <c r="A10" s="71">
        <v>1</v>
      </c>
      <c r="B10" s="176" t="s">
        <v>280</v>
      </c>
      <c r="C10" s="176"/>
      <c r="D10" s="176"/>
      <c r="E10" s="176"/>
      <c r="F10" s="176"/>
      <c r="G10" s="176"/>
      <c r="H10" s="176"/>
      <c r="I10" s="176"/>
      <c r="J10" s="176"/>
      <c r="K10" s="72">
        <v>106082642</v>
      </c>
      <c r="L10" s="117">
        <v>0.69358462491945649</v>
      </c>
      <c r="M10" s="61"/>
      <c r="N10" s="61">
        <v>1.3666666666666667</v>
      </c>
      <c r="O10" s="61"/>
      <c r="P10" s="61"/>
      <c r="Q10" s="61"/>
      <c r="R10" s="61"/>
      <c r="S10" s="62"/>
      <c r="T10" s="62"/>
      <c r="U10" s="62"/>
    </row>
    <row r="11" spans="1:26" ht="14.4" x14ac:dyDescent="0.3">
      <c r="A11" s="36"/>
      <c r="B11" s="446" t="s">
        <v>393</v>
      </c>
      <c r="C11" s="372"/>
      <c r="D11" s="372"/>
      <c r="E11" s="372"/>
      <c r="F11" s="372"/>
      <c r="G11" s="372"/>
      <c r="H11" s="372"/>
      <c r="I11" s="372"/>
      <c r="J11" s="372"/>
      <c r="K11" s="373"/>
      <c r="L11" s="117"/>
      <c r="M11" s="61"/>
      <c r="N11" s="61"/>
      <c r="O11" s="61"/>
      <c r="P11" s="61"/>
      <c r="Q11" s="61"/>
      <c r="R11" s="61"/>
      <c r="S11" s="62"/>
      <c r="T11" s="62"/>
      <c r="U11" s="62"/>
    </row>
    <row r="12" spans="1:26" ht="14.4" x14ac:dyDescent="0.3">
      <c r="A12" s="71"/>
      <c r="B12" s="177" t="s">
        <v>432</v>
      </c>
      <c r="C12" s="177" t="s">
        <v>433</v>
      </c>
      <c r="D12" s="446" t="s">
        <v>46</v>
      </c>
      <c r="E12" s="373"/>
      <c r="F12" s="71" t="s">
        <v>434</v>
      </c>
      <c r="G12" s="71" t="s">
        <v>435</v>
      </c>
      <c r="H12" s="71" t="s">
        <v>436</v>
      </c>
      <c r="I12" s="71" t="s">
        <v>437</v>
      </c>
      <c r="J12" s="71" t="s">
        <v>438</v>
      </c>
      <c r="K12" s="72" t="s">
        <v>439</v>
      </c>
      <c r="L12" s="117"/>
      <c r="M12" s="61"/>
      <c r="N12" s="61"/>
      <c r="O12" s="61"/>
      <c r="P12" s="61"/>
      <c r="Q12" s="61"/>
      <c r="R12" s="61"/>
      <c r="S12" s="62"/>
      <c r="T12" s="62"/>
      <c r="U12" s="62"/>
    </row>
    <row r="13" spans="1:26" ht="93.75" customHeight="1" x14ac:dyDescent="0.3">
      <c r="A13" s="74">
        <v>1.01</v>
      </c>
      <c r="B13" s="75" t="s">
        <v>440</v>
      </c>
      <c r="C13" s="75" t="s">
        <v>441</v>
      </c>
      <c r="D13" s="178">
        <v>1</v>
      </c>
      <c r="E13" s="179"/>
      <c r="F13" s="180">
        <v>0</v>
      </c>
      <c r="G13" s="77">
        <v>0.5</v>
      </c>
      <c r="H13" s="78"/>
      <c r="I13" s="101">
        <v>0</v>
      </c>
      <c r="J13" s="78">
        <v>3</v>
      </c>
      <c r="K13" s="81">
        <v>0</v>
      </c>
      <c r="M13" s="61"/>
      <c r="N13" s="61"/>
      <c r="O13" s="61"/>
      <c r="P13" s="61"/>
      <c r="Q13" s="61"/>
      <c r="R13" s="61"/>
      <c r="S13" s="62"/>
      <c r="T13" s="62"/>
      <c r="U13" s="62"/>
    </row>
    <row r="14" spans="1:26" ht="96.75" customHeight="1" x14ac:dyDescent="0.3">
      <c r="A14" s="74">
        <v>1.02</v>
      </c>
      <c r="B14" s="75" t="s">
        <v>442</v>
      </c>
      <c r="C14" s="75" t="s">
        <v>443</v>
      </c>
      <c r="D14" s="178">
        <v>2</v>
      </c>
      <c r="E14" s="179"/>
      <c r="F14" s="180">
        <v>0</v>
      </c>
      <c r="G14" s="77">
        <v>1</v>
      </c>
      <c r="H14" s="78"/>
      <c r="I14" s="101">
        <v>0</v>
      </c>
      <c r="J14" s="78">
        <v>3</v>
      </c>
      <c r="K14" s="81">
        <v>0</v>
      </c>
      <c r="M14" s="61"/>
      <c r="N14" s="61"/>
      <c r="O14" s="61"/>
      <c r="P14" s="61"/>
      <c r="Q14" s="61"/>
      <c r="R14" s="61"/>
      <c r="S14" s="62"/>
      <c r="T14" s="62"/>
      <c r="U14" s="62"/>
    </row>
    <row r="15" spans="1:26" ht="86.25" customHeight="1" x14ac:dyDescent="0.3">
      <c r="A15" s="74">
        <v>1.03</v>
      </c>
      <c r="B15" s="75" t="s">
        <v>444</v>
      </c>
      <c r="C15" s="75" t="s">
        <v>445</v>
      </c>
      <c r="D15" s="178">
        <v>1</v>
      </c>
      <c r="E15" s="179"/>
      <c r="F15" s="180">
        <v>0</v>
      </c>
      <c r="G15" s="77">
        <v>0.5</v>
      </c>
      <c r="H15" s="78"/>
      <c r="I15" s="101">
        <v>0</v>
      </c>
      <c r="J15" s="78">
        <v>3</v>
      </c>
      <c r="K15" s="81">
        <v>0</v>
      </c>
      <c r="M15" s="61"/>
      <c r="N15" s="61"/>
      <c r="O15" s="61"/>
      <c r="P15" s="61"/>
      <c r="Q15" s="61"/>
      <c r="R15" s="61"/>
      <c r="S15" s="62"/>
      <c r="T15" s="62"/>
      <c r="U15" s="62"/>
    </row>
    <row r="16" spans="1:26" ht="97.5" customHeight="1" x14ac:dyDescent="0.3">
      <c r="A16" s="74">
        <v>1.04</v>
      </c>
      <c r="B16" s="75" t="s">
        <v>446</v>
      </c>
      <c r="C16" s="75" t="s">
        <v>447</v>
      </c>
      <c r="D16" s="178">
        <v>1</v>
      </c>
      <c r="E16" s="179"/>
      <c r="F16" s="180">
        <v>0</v>
      </c>
      <c r="G16" s="77">
        <v>0.7</v>
      </c>
      <c r="H16" s="78"/>
      <c r="I16" s="101">
        <v>0</v>
      </c>
      <c r="J16" s="78">
        <v>3</v>
      </c>
      <c r="K16" s="81">
        <v>0</v>
      </c>
      <c r="M16" s="61"/>
      <c r="N16" s="61"/>
      <c r="O16" s="61"/>
      <c r="P16" s="61"/>
      <c r="Q16" s="61"/>
      <c r="R16" s="61"/>
      <c r="S16" s="62"/>
      <c r="T16" s="62"/>
      <c r="U16" s="62"/>
    </row>
    <row r="17" spans="1:26" ht="93.75" customHeight="1" x14ac:dyDescent="0.3">
      <c r="A17" s="74">
        <v>1.05</v>
      </c>
      <c r="B17" s="75" t="s">
        <v>448</v>
      </c>
      <c r="C17" s="75" t="s">
        <v>449</v>
      </c>
      <c r="D17" s="178">
        <v>1</v>
      </c>
      <c r="E17" s="179"/>
      <c r="F17" s="180">
        <v>0</v>
      </c>
      <c r="G17" s="77">
        <v>0.5</v>
      </c>
      <c r="H17" s="78"/>
      <c r="I17" s="101">
        <v>0</v>
      </c>
      <c r="J17" s="78">
        <v>3</v>
      </c>
      <c r="K17" s="81">
        <v>0</v>
      </c>
      <c r="M17" s="61"/>
      <c r="N17" s="61"/>
      <c r="O17" s="61"/>
      <c r="P17" s="61"/>
      <c r="Q17" s="61"/>
      <c r="R17" s="61"/>
      <c r="S17" s="62"/>
      <c r="T17" s="62"/>
      <c r="U17" s="62"/>
    </row>
    <row r="18" spans="1:26" ht="75.75" customHeight="1" x14ac:dyDescent="0.3">
      <c r="A18" s="74">
        <v>1.06</v>
      </c>
      <c r="B18" s="75" t="s">
        <v>450</v>
      </c>
      <c r="C18" s="75" t="s">
        <v>451</v>
      </c>
      <c r="D18" s="178">
        <v>1</v>
      </c>
      <c r="E18" s="179"/>
      <c r="F18" s="180">
        <v>0</v>
      </c>
      <c r="G18" s="77">
        <v>1</v>
      </c>
      <c r="H18" s="78"/>
      <c r="I18" s="101">
        <v>0</v>
      </c>
      <c r="J18" s="78">
        <v>3</v>
      </c>
      <c r="K18" s="81">
        <v>0</v>
      </c>
      <c r="M18" s="61"/>
      <c r="N18" s="61"/>
      <c r="O18" s="61"/>
      <c r="P18" s="61"/>
      <c r="Q18" s="61"/>
      <c r="R18" s="61"/>
      <c r="S18" s="62"/>
      <c r="T18" s="62"/>
      <c r="U18" s="62"/>
    </row>
    <row r="19" spans="1:26" ht="83.25" customHeight="1" x14ac:dyDescent="0.3">
      <c r="A19" s="74">
        <v>1.07</v>
      </c>
      <c r="B19" s="75" t="s">
        <v>452</v>
      </c>
      <c r="C19" s="75" t="s">
        <v>453</v>
      </c>
      <c r="D19" s="178">
        <v>1</v>
      </c>
      <c r="E19" s="179"/>
      <c r="F19" s="180">
        <v>0</v>
      </c>
      <c r="G19" s="77">
        <v>0.5</v>
      </c>
      <c r="H19" s="78"/>
      <c r="I19" s="101">
        <v>0</v>
      </c>
      <c r="J19" s="78">
        <v>3</v>
      </c>
      <c r="K19" s="81">
        <v>0</v>
      </c>
      <c r="M19" s="61"/>
      <c r="N19" s="61"/>
      <c r="O19" s="61"/>
      <c r="P19" s="61"/>
      <c r="Q19" s="61"/>
      <c r="R19" s="61"/>
      <c r="S19" s="62"/>
      <c r="T19" s="62"/>
      <c r="U19" s="62"/>
      <c r="V19" s="62"/>
      <c r="W19" s="62"/>
      <c r="X19" s="62"/>
      <c r="Y19" s="62"/>
      <c r="Z19" s="62"/>
    </row>
    <row r="20" spans="1:26" ht="81.75" customHeight="1" x14ac:dyDescent="0.3">
      <c r="A20" s="74">
        <v>1.08</v>
      </c>
      <c r="B20" s="75" t="s">
        <v>454</v>
      </c>
      <c r="C20" s="75" t="s">
        <v>455</v>
      </c>
      <c r="D20" s="178">
        <v>2</v>
      </c>
      <c r="E20" s="179"/>
      <c r="F20" s="180">
        <v>0</v>
      </c>
      <c r="G20" s="77">
        <v>1</v>
      </c>
      <c r="H20" s="78"/>
      <c r="I20" s="101">
        <v>0</v>
      </c>
      <c r="J20" s="78">
        <v>3</v>
      </c>
      <c r="K20" s="81">
        <v>0</v>
      </c>
      <c r="M20" s="61"/>
      <c r="N20" s="61"/>
      <c r="O20" s="61"/>
      <c r="P20" s="61"/>
      <c r="Q20" s="61"/>
      <c r="R20" s="61"/>
      <c r="S20" s="62"/>
      <c r="T20" s="62"/>
      <c r="U20" s="62"/>
      <c r="V20" s="62"/>
      <c r="W20" s="62"/>
      <c r="X20" s="62"/>
      <c r="Y20" s="62"/>
      <c r="Z20" s="62"/>
    </row>
    <row r="21" spans="1:26" ht="68.25" customHeight="1" x14ac:dyDescent="0.3">
      <c r="A21" s="74">
        <v>1.0900000000000001</v>
      </c>
      <c r="B21" s="75" t="s">
        <v>456</v>
      </c>
      <c r="C21" s="75" t="s">
        <v>457</v>
      </c>
      <c r="D21" s="178">
        <v>1</v>
      </c>
      <c r="E21" s="179"/>
      <c r="F21" s="180">
        <v>0</v>
      </c>
      <c r="G21" s="77">
        <v>0.2</v>
      </c>
      <c r="H21" s="78"/>
      <c r="I21" s="101">
        <v>0</v>
      </c>
      <c r="J21" s="78">
        <v>3</v>
      </c>
      <c r="K21" s="81">
        <v>0</v>
      </c>
      <c r="M21" s="61"/>
      <c r="N21" s="61"/>
      <c r="O21" s="61"/>
      <c r="P21" s="61"/>
      <c r="Q21" s="61"/>
      <c r="R21" s="61"/>
      <c r="S21" s="62"/>
      <c r="T21" s="62"/>
      <c r="U21" s="62"/>
      <c r="V21" s="62"/>
      <c r="W21" s="62"/>
      <c r="X21" s="62"/>
      <c r="Y21" s="62"/>
      <c r="Z21" s="62"/>
    </row>
    <row r="22" spans="1:26" ht="62.25" customHeight="1" x14ac:dyDescent="0.3">
      <c r="A22" s="78">
        <v>1.1000000000000001</v>
      </c>
      <c r="B22" s="75" t="s">
        <v>458</v>
      </c>
      <c r="C22" s="75" t="s">
        <v>459</v>
      </c>
      <c r="D22" s="178">
        <v>2</v>
      </c>
      <c r="E22" s="179"/>
      <c r="F22" s="180">
        <v>0</v>
      </c>
      <c r="G22" s="77">
        <v>0.2</v>
      </c>
      <c r="H22" s="78"/>
      <c r="I22" s="101">
        <v>0</v>
      </c>
      <c r="J22" s="78">
        <v>3</v>
      </c>
      <c r="K22" s="81">
        <v>0</v>
      </c>
      <c r="M22" s="61"/>
      <c r="N22" s="61"/>
      <c r="O22" s="61"/>
      <c r="P22" s="61"/>
      <c r="Q22" s="61"/>
      <c r="R22" s="61"/>
      <c r="S22" s="62"/>
      <c r="T22" s="62"/>
      <c r="U22" s="62"/>
      <c r="V22" s="62"/>
      <c r="W22" s="62"/>
      <c r="X22" s="62"/>
      <c r="Y22" s="62"/>
      <c r="Z22" s="62"/>
    </row>
    <row r="23" spans="1:26" ht="15" hidden="1" customHeight="1" x14ac:dyDescent="0.3">
      <c r="A23" s="78">
        <v>1.1100000000000001</v>
      </c>
      <c r="B23" s="75"/>
      <c r="C23" s="75"/>
      <c r="D23" s="76">
        <v>1</v>
      </c>
      <c r="E23" s="76">
        <v>0</v>
      </c>
      <c r="F23" s="180">
        <v>2263208</v>
      </c>
      <c r="G23" s="77"/>
      <c r="H23" s="78">
        <v>1.6716000000000002</v>
      </c>
      <c r="I23" s="78"/>
      <c r="J23" s="78">
        <v>3</v>
      </c>
      <c r="K23" s="81">
        <v>0</v>
      </c>
      <c r="M23" s="61"/>
      <c r="N23" s="61"/>
      <c r="O23" s="61"/>
      <c r="P23" s="61"/>
      <c r="Q23" s="61"/>
      <c r="R23" s="61"/>
      <c r="S23" s="62"/>
      <c r="T23" s="62"/>
      <c r="U23" s="62"/>
      <c r="V23" s="62"/>
      <c r="W23" s="62"/>
      <c r="X23" s="62"/>
      <c r="Y23" s="62"/>
      <c r="Z23" s="62"/>
    </row>
    <row r="24" spans="1:26" ht="15.75" customHeight="1" x14ac:dyDescent="0.3">
      <c r="A24" s="62"/>
      <c r="B24" s="446" t="s">
        <v>460</v>
      </c>
      <c r="C24" s="372"/>
      <c r="D24" s="372"/>
      <c r="E24" s="372"/>
      <c r="F24" s="372"/>
      <c r="G24" s="372"/>
      <c r="H24" s="372"/>
      <c r="I24" s="372"/>
      <c r="J24" s="373"/>
      <c r="K24" s="181">
        <v>0</v>
      </c>
      <c r="M24" s="61"/>
      <c r="N24" s="61"/>
      <c r="O24" s="61"/>
      <c r="P24" s="61"/>
      <c r="Q24" s="61"/>
      <c r="R24" s="61"/>
      <c r="S24" s="62"/>
      <c r="T24" s="62"/>
      <c r="U24" s="62"/>
      <c r="V24" s="62"/>
      <c r="W24" s="62"/>
      <c r="X24" s="62"/>
      <c r="Y24" s="62"/>
      <c r="Z24" s="62"/>
    </row>
    <row r="25" spans="1:26" ht="15.75" customHeight="1" x14ac:dyDescent="0.3">
      <c r="A25" s="182"/>
      <c r="B25" s="98"/>
      <c r="C25" s="98"/>
      <c r="D25" s="98"/>
      <c r="E25" s="98"/>
      <c r="F25" s="98"/>
      <c r="G25" s="98"/>
      <c r="H25" s="99"/>
      <c r="I25" s="99"/>
      <c r="J25" s="98"/>
      <c r="K25" s="100"/>
      <c r="M25" s="61"/>
      <c r="N25" s="61"/>
      <c r="O25" s="61"/>
      <c r="P25" s="61"/>
      <c r="Q25" s="61"/>
      <c r="R25" s="61"/>
      <c r="S25" s="62"/>
      <c r="T25" s="62"/>
      <c r="U25" s="62"/>
      <c r="V25" s="62"/>
      <c r="W25" s="62"/>
      <c r="X25" s="62"/>
      <c r="Y25" s="62"/>
      <c r="Z25" s="62"/>
    </row>
    <row r="26" spans="1:26" ht="15.75" customHeight="1" x14ac:dyDescent="0.3">
      <c r="A26" s="71">
        <v>2</v>
      </c>
      <c r="B26" s="176" t="s">
        <v>285</v>
      </c>
      <c r="C26" s="176"/>
      <c r="D26" s="176"/>
      <c r="E26" s="176"/>
      <c r="F26" s="176"/>
      <c r="G26" s="176"/>
      <c r="H26" s="176"/>
      <c r="I26" s="176"/>
      <c r="J26" s="176"/>
      <c r="K26" s="72">
        <v>13180000</v>
      </c>
      <c r="L26" s="117"/>
      <c r="M26" s="61"/>
      <c r="N26" s="61"/>
      <c r="O26" s="61"/>
      <c r="P26" s="61"/>
      <c r="Q26" s="61"/>
      <c r="R26" s="61"/>
      <c r="S26" s="62"/>
      <c r="T26" s="62"/>
      <c r="U26" s="62"/>
      <c r="V26" s="62"/>
      <c r="W26" s="62"/>
      <c r="X26" s="62"/>
      <c r="Y26" s="62"/>
      <c r="Z26" s="62"/>
    </row>
    <row r="27" spans="1:26" ht="15.75" customHeight="1" x14ac:dyDescent="0.3">
      <c r="A27" s="183" t="s">
        <v>286</v>
      </c>
      <c r="B27" s="183"/>
      <c r="C27" s="183"/>
      <c r="D27" s="183"/>
      <c r="E27" s="183"/>
      <c r="F27" s="184" t="s">
        <v>46</v>
      </c>
      <c r="G27" s="183"/>
      <c r="H27" s="185" t="s">
        <v>288</v>
      </c>
      <c r="I27" s="185"/>
      <c r="J27" s="184" t="s">
        <v>287</v>
      </c>
      <c r="K27" s="184" t="s">
        <v>289</v>
      </c>
      <c r="M27" s="61"/>
      <c r="N27" s="61"/>
      <c r="O27" s="61"/>
      <c r="P27" s="61"/>
      <c r="Q27" s="61"/>
      <c r="R27" s="61"/>
      <c r="S27" s="62"/>
      <c r="T27" s="62"/>
      <c r="U27" s="62"/>
      <c r="V27" s="62"/>
      <c r="W27" s="62"/>
      <c r="X27" s="62"/>
      <c r="Y27" s="62"/>
      <c r="Z27" s="62"/>
    </row>
    <row r="28" spans="1:26" ht="15.75" customHeight="1" x14ac:dyDescent="0.3">
      <c r="A28" s="74">
        <v>2.0099999999999998</v>
      </c>
      <c r="B28" s="186" t="s">
        <v>461</v>
      </c>
      <c r="C28" s="186"/>
      <c r="D28" s="186"/>
      <c r="E28" s="186"/>
      <c r="F28" s="78">
        <v>3</v>
      </c>
      <c r="G28" s="186"/>
      <c r="H28" s="101">
        <v>2500000</v>
      </c>
      <c r="I28" s="101"/>
      <c r="J28" s="78" t="s">
        <v>295</v>
      </c>
      <c r="K28" s="101">
        <v>7500000</v>
      </c>
      <c r="M28" s="61"/>
      <c r="N28" s="61"/>
      <c r="O28" s="61"/>
      <c r="P28" s="61"/>
      <c r="Q28" s="61"/>
      <c r="R28" s="61"/>
      <c r="S28" s="62"/>
      <c r="T28" s="62"/>
      <c r="U28" s="62"/>
      <c r="V28" s="62"/>
      <c r="W28" s="62"/>
      <c r="X28" s="62"/>
      <c r="Y28" s="62"/>
      <c r="Z28" s="62"/>
    </row>
    <row r="29" spans="1:26" ht="15.75" customHeight="1" x14ac:dyDescent="0.3">
      <c r="A29" s="74">
        <v>2.0199999999999996</v>
      </c>
      <c r="B29" s="186" t="s">
        <v>462</v>
      </c>
      <c r="C29" s="186"/>
      <c r="D29" s="186"/>
      <c r="E29" s="186"/>
      <c r="F29" s="78">
        <v>3</v>
      </c>
      <c r="G29" s="186"/>
      <c r="H29" s="101">
        <v>300000</v>
      </c>
      <c r="I29" s="101"/>
      <c r="J29" s="78" t="s">
        <v>295</v>
      </c>
      <c r="K29" s="101">
        <v>900000</v>
      </c>
      <c r="M29" s="61"/>
      <c r="N29" s="61"/>
      <c r="O29" s="61"/>
      <c r="P29" s="61"/>
      <c r="Q29" s="61"/>
      <c r="R29" s="61"/>
      <c r="S29" s="62"/>
      <c r="T29" s="62"/>
      <c r="U29" s="62"/>
      <c r="V29" s="62"/>
      <c r="W29" s="62"/>
      <c r="X29" s="62"/>
      <c r="Y29" s="62"/>
      <c r="Z29" s="62"/>
    </row>
    <row r="30" spans="1:26" ht="15.75" customHeight="1" x14ac:dyDescent="0.3">
      <c r="A30" s="74">
        <v>2.0299999999999994</v>
      </c>
      <c r="B30" s="186" t="s">
        <v>463</v>
      </c>
      <c r="C30" s="186"/>
      <c r="D30" s="186"/>
      <c r="E30" s="186"/>
      <c r="F30" s="78">
        <v>3</v>
      </c>
      <c r="G30" s="186"/>
      <c r="H30" s="101">
        <v>1500000</v>
      </c>
      <c r="I30" s="101"/>
      <c r="J30" s="78" t="s">
        <v>295</v>
      </c>
      <c r="K30" s="101">
        <v>4500000</v>
      </c>
      <c r="M30" s="61"/>
      <c r="N30" s="61"/>
      <c r="O30" s="61"/>
      <c r="P30" s="61"/>
      <c r="Q30" s="61"/>
      <c r="R30" s="61"/>
      <c r="S30" s="62"/>
      <c r="T30" s="62"/>
      <c r="U30" s="62"/>
      <c r="V30" s="62"/>
      <c r="W30" s="62"/>
      <c r="X30" s="62"/>
      <c r="Y30" s="62"/>
      <c r="Z30" s="62"/>
    </row>
    <row r="31" spans="1:26" ht="15.75" customHeight="1" x14ac:dyDescent="0.3">
      <c r="A31" s="74">
        <v>2.0399999999999991</v>
      </c>
      <c r="B31" s="186" t="s">
        <v>464</v>
      </c>
      <c r="C31" s="186"/>
      <c r="D31" s="186"/>
      <c r="E31" s="186"/>
      <c r="F31" s="78">
        <v>14</v>
      </c>
      <c r="G31" s="186"/>
      <c r="H31" s="101">
        <v>20000</v>
      </c>
      <c r="I31" s="101"/>
      <c r="J31" s="78" t="s">
        <v>465</v>
      </c>
      <c r="K31" s="101">
        <v>280000</v>
      </c>
      <c r="M31" s="61"/>
      <c r="N31" s="61"/>
      <c r="O31" s="61"/>
      <c r="P31" s="61"/>
      <c r="Q31" s="61"/>
      <c r="R31" s="61"/>
      <c r="S31" s="62"/>
      <c r="T31" s="62"/>
      <c r="U31" s="62"/>
      <c r="V31" s="62"/>
      <c r="W31" s="62"/>
      <c r="X31" s="62"/>
      <c r="Y31" s="62"/>
      <c r="Z31" s="62"/>
    </row>
    <row r="32" spans="1:26" ht="15" hidden="1" customHeight="1" x14ac:dyDescent="0.3">
      <c r="A32" s="187">
        <v>2.0499999999999989</v>
      </c>
      <c r="B32" s="188"/>
      <c r="C32" s="189"/>
      <c r="D32" s="189"/>
      <c r="E32" s="189"/>
      <c r="F32" s="84">
        <v>3</v>
      </c>
      <c r="G32" s="189"/>
      <c r="H32" s="190"/>
      <c r="I32" s="190"/>
      <c r="J32" s="84" t="s">
        <v>295</v>
      </c>
      <c r="K32" s="190">
        <v>0</v>
      </c>
      <c r="M32" s="61"/>
      <c r="N32" s="61"/>
      <c r="O32" s="61"/>
      <c r="P32" s="61"/>
      <c r="Q32" s="61"/>
      <c r="R32" s="61"/>
      <c r="S32" s="62"/>
      <c r="T32" s="62"/>
      <c r="U32" s="62"/>
      <c r="V32" s="62"/>
      <c r="W32" s="62"/>
      <c r="X32" s="62"/>
      <c r="Y32" s="62"/>
      <c r="Z32" s="62"/>
    </row>
    <row r="33" spans="1:26" ht="15" hidden="1" customHeight="1" x14ac:dyDescent="0.3">
      <c r="A33" s="120">
        <v>2.0599999999999987</v>
      </c>
      <c r="B33" s="191"/>
      <c r="C33" s="192"/>
      <c r="D33" s="192"/>
      <c r="E33" s="192"/>
      <c r="F33" s="193">
        <v>3</v>
      </c>
      <c r="G33" s="192"/>
      <c r="H33" s="194"/>
      <c r="I33" s="194"/>
      <c r="J33" s="193" t="s">
        <v>295</v>
      </c>
      <c r="K33" s="194">
        <v>0</v>
      </c>
      <c r="M33" s="61"/>
      <c r="N33" s="61"/>
      <c r="O33" s="61"/>
      <c r="P33" s="61"/>
      <c r="Q33" s="61"/>
      <c r="R33" s="61"/>
      <c r="S33" s="62"/>
      <c r="T33" s="62"/>
      <c r="U33" s="62"/>
      <c r="V33" s="62"/>
      <c r="W33" s="62"/>
      <c r="X33" s="62"/>
      <c r="Y33" s="62"/>
      <c r="Z33" s="62"/>
    </row>
    <row r="34" spans="1:26" ht="15" hidden="1" customHeight="1" x14ac:dyDescent="0.3">
      <c r="A34" s="120">
        <v>2.0699999999999985</v>
      </c>
      <c r="B34" s="191"/>
      <c r="C34" s="192"/>
      <c r="D34" s="192"/>
      <c r="E34" s="192"/>
      <c r="F34" s="193">
        <v>3</v>
      </c>
      <c r="G34" s="192"/>
      <c r="H34" s="194"/>
      <c r="I34" s="194"/>
      <c r="J34" s="193" t="s">
        <v>295</v>
      </c>
      <c r="K34" s="194">
        <v>0</v>
      </c>
      <c r="M34" s="61"/>
      <c r="N34" s="61"/>
      <c r="O34" s="61"/>
      <c r="P34" s="61"/>
      <c r="Q34" s="61"/>
      <c r="R34" s="61"/>
      <c r="S34" s="62"/>
      <c r="T34" s="62"/>
      <c r="U34" s="62"/>
      <c r="V34" s="62"/>
      <c r="W34" s="62"/>
      <c r="X34" s="62"/>
      <c r="Y34" s="62"/>
      <c r="Z34" s="62"/>
    </row>
    <row r="35" spans="1:26" ht="15" hidden="1" customHeight="1" x14ac:dyDescent="0.3">
      <c r="A35" s="120">
        <v>2.0799999999999983</v>
      </c>
      <c r="B35" s="191"/>
      <c r="C35" s="192"/>
      <c r="D35" s="192"/>
      <c r="E35" s="192"/>
      <c r="F35" s="193">
        <v>3</v>
      </c>
      <c r="G35" s="192"/>
      <c r="H35" s="194"/>
      <c r="I35" s="194"/>
      <c r="J35" s="193" t="s">
        <v>295</v>
      </c>
      <c r="K35" s="194">
        <v>0</v>
      </c>
      <c r="M35" s="61"/>
      <c r="N35" s="61"/>
      <c r="O35" s="61"/>
      <c r="P35" s="61"/>
      <c r="Q35" s="61"/>
      <c r="R35" s="61"/>
      <c r="S35" s="62"/>
      <c r="T35" s="62"/>
      <c r="U35" s="62"/>
      <c r="V35" s="62"/>
      <c r="W35" s="62"/>
      <c r="X35" s="62"/>
      <c r="Y35" s="62"/>
      <c r="Z35" s="62"/>
    </row>
    <row r="36" spans="1:26" ht="15" hidden="1" customHeight="1" x14ac:dyDescent="0.3">
      <c r="A36" s="120">
        <v>2.0899999999999981</v>
      </c>
      <c r="B36" s="191"/>
      <c r="C36" s="192"/>
      <c r="D36" s="192"/>
      <c r="E36" s="192"/>
      <c r="F36" s="193">
        <v>3</v>
      </c>
      <c r="G36" s="192"/>
      <c r="H36" s="194"/>
      <c r="I36" s="194"/>
      <c r="J36" s="193" t="s">
        <v>295</v>
      </c>
      <c r="K36" s="194">
        <v>0</v>
      </c>
      <c r="M36" s="61"/>
      <c r="N36" s="61"/>
      <c r="O36" s="61"/>
      <c r="P36" s="61"/>
      <c r="Q36" s="61"/>
      <c r="R36" s="61"/>
      <c r="S36" s="62"/>
      <c r="T36" s="62"/>
      <c r="U36" s="62"/>
      <c r="V36" s="62"/>
      <c r="W36" s="62"/>
      <c r="X36" s="62"/>
      <c r="Y36" s="62"/>
      <c r="Z36" s="62"/>
    </row>
    <row r="37" spans="1:26" ht="15" hidden="1" customHeight="1" x14ac:dyDescent="0.3">
      <c r="A37" s="193">
        <v>2.0999999999999979</v>
      </c>
      <c r="B37" s="191"/>
      <c r="C37" s="192"/>
      <c r="D37" s="192"/>
      <c r="E37" s="192"/>
      <c r="F37" s="193">
        <v>3</v>
      </c>
      <c r="G37" s="192"/>
      <c r="H37" s="194"/>
      <c r="I37" s="194"/>
      <c r="J37" s="193" t="s">
        <v>295</v>
      </c>
      <c r="K37" s="194">
        <v>0</v>
      </c>
      <c r="M37" s="61"/>
      <c r="N37" s="61"/>
      <c r="O37" s="61"/>
      <c r="P37" s="61"/>
      <c r="Q37" s="61"/>
      <c r="R37" s="61"/>
      <c r="S37" s="62"/>
      <c r="T37" s="62"/>
      <c r="U37" s="62"/>
      <c r="V37" s="62"/>
      <c r="W37" s="62"/>
      <c r="X37" s="62"/>
      <c r="Y37" s="62"/>
      <c r="Z37" s="62"/>
    </row>
    <row r="38" spans="1:26" ht="15" hidden="1" customHeight="1" x14ac:dyDescent="0.3">
      <c r="A38" s="120">
        <v>2.1099999999999977</v>
      </c>
      <c r="B38" s="191"/>
      <c r="C38" s="192"/>
      <c r="D38" s="192"/>
      <c r="E38" s="192"/>
      <c r="F38" s="193">
        <v>3</v>
      </c>
      <c r="G38" s="192"/>
      <c r="H38" s="194"/>
      <c r="I38" s="194"/>
      <c r="J38" s="193" t="s">
        <v>295</v>
      </c>
      <c r="K38" s="194">
        <v>0</v>
      </c>
      <c r="M38" s="61"/>
      <c r="N38" s="61"/>
      <c r="O38" s="61"/>
      <c r="P38" s="61"/>
      <c r="Q38" s="61"/>
      <c r="R38" s="61"/>
      <c r="S38" s="62"/>
      <c r="T38" s="62"/>
      <c r="U38" s="62"/>
      <c r="V38" s="62"/>
      <c r="W38" s="62"/>
      <c r="X38" s="62"/>
      <c r="Y38" s="62"/>
      <c r="Z38" s="62"/>
    </row>
    <row r="39" spans="1:26" ht="15" hidden="1" customHeight="1" x14ac:dyDescent="0.3">
      <c r="A39" s="120">
        <v>2.1199999999999974</v>
      </c>
      <c r="B39" s="191"/>
      <c r="C39" s="192"/>
      <c r="D39" s="192"/>
      <c r="E39" s="192"/>
      <c r="F39" s="193">
        <v>3</v>
      </c>
      <c r="G39" s="192"/>
      <c r="H39" s="194"/>
      <c r="I39" s="194"/>
      <c r="J39" s="193" t="s">
        <v>295</v>
      </c>
      <c r="K39" s="194">
        <v>0</v>
      </c>
      <c r="M39" s="61"/>
      <c r="N39" s="61"/>
      <c r="O39" s="61"/>
      <c r="P39" s="61"/>
      <c r="Q39" s="61"/>
      <c r="R39" s="61"/>
      <c r="S39" s="62"/>
      <c r="T39" s="62"/>
      <c r="U39" s="62"/>
      <c r="V39" s="62"/>
      <c r="W39" s="62"/>
      <c r="X39" s="62"/>
      <c r="Y39" s="62"/>
      <c r="Z39" s="62"/>
    </row>
    <row r="40" spans="1:26" ht="15" hidden="1" customHeight="1" x14ac:dyDescent="0.3">
      <c r="A40" s="120">
        <v>2.1299999999999972</v>
      </c>
      <c r="B40" s="191"/>
      <c r="C40" s="192"/>
      <c r="D40" s="192"/>
      <c r="E40" s="192"/>
      <c r="F40" s="193">
        <v>3</v>
      </c>
      <c r="G40" s="192"/>
      <c r="H40" s="194"/>
      <c r="I40" s="194"/>
      <c r="J40" s="193" t="s">
        <v>295</v>
      </c>
      <c r="K40" s="194">
        <v>0</v>
      </c>
      <c r="M40" s="61"/>
      <c r="N40" s="61"/>
      <c r="O40" s="61"/>
      <c r="P40" s="61"/>
      <c r="Q40" s="61"/>
      <c r="R40" s="61"/>
      <c r="S40" s="62"/>
      <c r="T40" s="62"/>
      <c r="U40" s="62"/>
      <c r="V40" s="62"/>
      <c r="W40" s="62"/>
      <c r="X40" s="62"/>
      <c r="Y40" s="62"/>
      <c r="Z40" s="62"/>
    </row>
    <row r="41" spans="1:26" ht="15" hidden="1" customHeight="1" x14ac:dyDescent="0.3">
      <c r="A41" s="120">
        <v>2.139999999999997</v>
      </c>
      <c r="B41" s="191"/>
      <c r="C41" s="192"/>
      <c r="D41" s="192"/>
      <c r="E41" s="192"/>
      <c r="F41" s="193">
        <v>3</v>
      </c>
      <c r="G41" s="192"/>
      <c r="H41" s="194"/>
      <c r="I41" s="194"/>
      <c r="J41" s="193" t="s">
        <v>295</v>
      </c>
      <c r="K41" s="194">
        <v>0</v>
      </c>
      <c r="M41" s="61"/>
      <c r="N41" s="61"/>
      <c r="O41" s="61"/>
      <c r="P41" s="61"/>
      <c r="Q41" s="61"/>
      <c r="R41" s="61"/>
      <c r="S41" s="62"/>
      <c r="T41" s="62"/>
      <c r="U41" s="62"/>
      <c r="V41" s="62"/>
      <c r="W41" s="62"/>
      <c r="X41" s="62"/>
      <c r="Y41" s="62"/>
      <c r="Z41" s="62"/>
    </row>
    <row r="42" spans="1:26" ht="15" hidden="1" customHeight="1" x14ac:dyDescent="0.3">
      <c r="A42" s="120">
        <v>2.1499999999999968</v>
      </c>
      <c r="B42" s="191"/>
      <c r="C42" s="192"/>
      <c r="D42" s="192"/>
      <c r="E42" s="192"/>
      <c r="F42" s="193">
        <v>3</v>
      </c>
      <c r="G42" s="192"/>
      <c r="H42" s="194"/>
      <c r="I42" s="194"/>
      <c r="J42" s="193" t="s">
        <v>295</v>
      </c>
      <c r="K42" s="194">
        <v>0</v>
      </c>
      <c r="M42" s="61"/>
      <c r="N42" s="61"/>
      <c r="O42" s="61"/>
      <c r="P42" s="61"/>
      <c r="Q42" s="61"/>
      <c r="R42" s="61"/>
      <c r="S42" s="62"/>
      <c r="T42" s="62"/>
      <c r="U42" s="62"/>
      <c r="V42" s="62"/>
      <c r="W42" s="62"/>
      <c r="X42" s="62"/>
      <c r="Y42" s="62"/>
      <c r="Z42" s="62"/>
    </row>
    <row r="43" spans="1:26" ht="15.75" customHeight="1" x14ac:dyDescent="0.3">
      <c r="A43" s="182"/>
      <c r="B43" s="98"/>
      <c r="C43" s="98"/>
      <c r="D43" s="98"/>
      <c r="E43" s="98"/>
      <c r="F43" s="98"/>
      <c r="G43" s="98"/>
      <c r="H43" s="99"/>
      <c r="I43" s="99"/>
      <c r="J43" s="98"/>
      <c r="K43" s="100"/>
      <c r="M43" s="61"/>
      <c r="N43" s="61"/>
      <c r="O43" s="61"/>
      <c r="P43" s="61"/>
      <c r="Q43" s="61"/>
      <c r="R43" s="61"/>
      <c r="S43" s="62"/>
      <c r="T43" s="62"/>
      <c r="U43" s="62"/>
      <c r="V43" s="62"/>
      <c r="W43" s="62"/>
      <c r="X43" s="62"/>
      <c r="Y43" s="62"/>
      <c r="Z43" s="62"/>
    </row>
    <row r="44" spans="1:26" ht="15.75" customHeight="1" x14ac:dyDescent="0.3">
      <c r="A44" s="71">
        <v>3</v>
      </c>
      <c r="B44" s="176" t="s">
        <v>302</v>
      </c>
      <c r="C44" s="176"/>
      <c r="D44" s="176"/>
      <c r="E44" s="176"/>
      <c r="F44" s="176"/>
      <c r="G44" s="176"/>
      <c r="H44" s="176"/>
      <c r="I44" s="176"/>
      <c r="J44" s="176"/>
      <c r="K44" s="72">
        <v>33685734</v>
      </c>
      <c r="L44" s="117">
        <v>0.22024250849188487</v>
      </c>
      <c r="M44" s="61"/>
      <c r="N44" s="61"/>
      <c r="O44" s="61"/>
      <c r="P44" s="61"/>
      <c r="Q44" s="61"/>
      <c r="R44" s="61"/>
      <c r="S44" s="62"/>
      <c r="T44" s="62"/>
      <c r="U44" s="62"/>
      <c r="V44" s="62"/>
      <c r="W44" s="62"/>
      <c r="X44" s="62"/>
      <c r="Y44" s="62"/>
      <c r="Z44" s="62"/>
    </row>
    <row r="45" spans="1:26" ht="33.75" customHeight="1" x14ac:dyDescent="0.3">
      <c r="A45" s="74">
        <v>3.1</v>
      </c>
      <c r="B45" s="195" t="s">
        <v>466</v>
      </c>
      <c r="C45" s="195"/>
      <c r="D45" s="196" t="s">
        <v>304</v>
      </c>
      <c r="E45" s="196"/>
      <c r="F45" s="180"/>
      <c r="G45" s="196"/>
      <c r="H45" s="77">
        <v>0.01</v>
      </c>
      <c r="I45" s="77"/>
      <c r="J45" s="180">
        <v>125225774</v>
      </c>
      <c r="K45" s="102">
        <v>1252258</v>
      </c>
      <c r="M45" s="103"/>
      <c r="N45" s="61"/>
      <c r="O45" s="61"/>
      <c r="P45" s="61"/>
      <c r="Q45" s="61"/>
      <c r="R45" s="61"/>
      <c r="S45" s="62"/>
      <c r="T45" s="62"/>
      <c r="U45" s="62"/>
      <c r="V45" s="62"/>
      <c r="W45" s="62"/>
      <c r="X45" s="62"/>
      <c r="Y45" s="62"/>
      <c r="Z45" s="62"/>
    </row>
    <row r="46" spans="1:26" ht="33.75" customHeight="1" x14ac:dyDescent="0.3">
      <c r="A46" s="74">
        <v>3.2</v>
      </c>
      <c r="B46" s="195" t="s">
        <v>467</v>
      </c>
      <c r="C46" s="195"/>
      <c r="D46" s="196"/>
      <c r="E46" s="196"/>
      <c r="F46" s="180"/>
      <c r="G46" s="196"/>
      <c r="H46" s="77">
        <v>0.05</v>
      </c>
      <c r="I46" s="77"/>
      <c r="J46" s="180"/>
      <c r="K46" s="102">
        <v>6261289</v>
      </c>
      <c r="M46" s="61"/>
      <c r="N46" s="61"/>
      <c r="O46" s="61"/>
      <c r="P46" s="61"/>
      <c r="Q46" s="61"/>
      <c r="R46" s="61"/>
      <c r="S46" s="62"/>
      <c r="T46" s="62"/>
      <c r="U46" s="62"/>
      <c r="V46" s="62"/>
      <c r="W46" s="62"/>
      <c r="X46" s="62"/>
      <c r="Y46" s="62"/>
      <c r="Z46" s="62"/>
    </row>
    <row r="47" spans="1:26" ht="33.75" customHeight="1" x14ac:dyDescent="0.3">
      <c r="A47" s="74">
        <v>3.3000000000000003</v>
      </c>
      <c r="B47" s="195" t="s">
        <v>306</v>
      </c>
      <c r="C47" s="195"/>
      <c r="D47" s="196"/>
      <c r="E47" s="196"/>
      <c r="F47" s="180"/>
      <c r="G47" s="196"/>
      <c r="H47" s="77">
        <v>0.01</v>
      </c>
      <c r="I47" s="77"/>
      <c r="J47" s="180"/>
      <c r="K47" s="102">
        <v>1252258</v>
      </c>
      <c r="M47" s="61"/>
      <c r="N47" s="61" t="s">
        <v>307</v>
      </c>
      <c r="O47" s="61"/>
      <c r="P47" s="61"/>
      <c r="Q47" s="61"/>
      <c r="R47" s="61"/>
      <c r="S47" s="62"/>
      <c r="T47" s="62"/>
      <c r="U47" s="62"/>
      <c r="V47" s="62"/>
      <c r="W47" s="62"/>
      <c r="X47" s="62"/>
      <c r="Y47" s="62"/>
      <c r="Z47" s="62"/>
    </row>
    <row r="48" spans="1:26" ht="33.75" customHeight="1" x14ac:dyDescent="0.3">
      <c r="A48" s="74">
        <v>3.4000000000000004</v>
      </c>
      <c r="B48" s="195" t="s">
        <v>468</v>
      </c>
      <c r="C48" s="195"/>
      <c r="D48" s="196"/>
      <c r="E48" s="196"/>
      <c r="F48" s="180"/>
      <c r="G48" s="196"/>
      <c r="H48" s="106">
        <v>4.0000000000000001E-3</v>
      </c>
      <c r="I48" s="106"/>
      <c r="J48" s="180"/>
      <c r="K48" s="102">
        <v>500903</v>
      </c>
      <c r="M48" s="61"/>
      <c r="N48" s="61"/>
      <c r="O48" s="61"/>
      <c r="P48" s="61"/>
      <c r="Q48" s="61"/>
      <c r="R48" s="61"/>
      <c r="S48" s="62"/>
      <c r="T48" s="62"/>
      <c r="U48" s="62"/>
      <c r="V48" s="62"/>
      <c r="W48" s="62"/>
      <c r="X48" s="62"/>
      <c r="Y48" s="62"/>
      <c r="Z48" s="62"/>
    </row>
    <row r="49" spans="1:26" ht="54" customHeight="1" x14ac:dyDescent="0.3">
      <c r="A49" s="74">
        <v>3.5000000000000004</v>
      </c>
      <c r="B49" s="195" t="s">
        <v>469</v>
      </c>
      <c r="C49" s="195"/>
      <c r="D49" s="196"/>
      <c r="E49" s="196"/>
      <c r="F49" s="180"/>
      <c r="G49" s="196"/>
      <c r="H49" s="106">
        <v>5.0000000000000001E-3</v>
      </c>
      <c r="I49" s="106"/>
      <c r="J49" s="180"/>
      <c r="K49" s="102">
        <v>626129</v>
      </c>
      <c r="M49" s="61"/>
      <c r="N49" s="62"/>
      <c r="O49" s="61"/>
      <c r="P49" s="61"/>
      <c r="Q49" s="61"/>
      <c r="R49" s="61"/>
      <c r="S49" s="62"/>
      <c r="T49" s="62"/>
      <c r="U49" s="62"/>
      <c r="V49" s="62"/>
      <c r="W49" s="62"/>
      <c r="X49" s="62"/>
      <c r="Y49" s="62"/>
      <c r="Z49" s="62"/>
    </row>
    <row r="50" spans="1:26" ht="33.75" customHeight="1" x14ac:dyDescent="0.3">
      <c r="A50" s="74">
        <v>3.6000000000000005</v>
      </c>
      <c r="B50" s="195" t="s">
        <v>470</v>
      </c>
      <c r="C50" s="195"/>
      <c r="D50" s="196"/>
      <c r="E50" s="196"/>
      <c r="F50" s="180"/>
      <c r="G50" s="196"/>
      <c r="H50" s="77">
        <v>0.19</v>
      </c>
      <c r="I50" s="77"/>
      <c r="J50" s="180"/>
      <c r="K50" s="102">
        <v>23792897</v>
      </c>
      <c r="M50" s="61"/>
      <c r="N50" s="61"/>
      <c r="O50" s="61"/>
      <c r="P50" s="61"/>
      <c r="Q50" s="61"/>
      <c r="R50" s="61"/>
      <c r="S50" s="62"/>
      <c r="T50" s="62"/>
      <c r="U50" s="62"/>
      <c r="V50" s="62"/>
      <c r="W50" s="62"/>
      <c r="X50" s="62"/>
      <c r="Y50" s="62"/>
      <c r="Z50" s="62"/>
    </row>
    <row r="51" spans="1:26" ht="16.5" customHeight="1" x14ac:dyDescent="0.3">
      <c r="A51" s="197" t="s">
        <v>471</v>
      </c>
      <c r="B51" s="197" t="s">
        <v>472</v>
      </c>
      <c r="C51" s="197"/>
      <c r="D51" s="197"/>
      <c r="E51" s="197"/>
      <c r="F51" s="197"/>
      <c r="G51" s="197"/>
      <c r="H51" s="198">
        <v>152948376</v>
      </c>
      <c r="I51" s="198"/>
      <c r="J51" s="197"/>
      <c r="K51" s="176"/>
      <c r="L51" s="199"/>
      <c r="M51" s="103"/>
      <c r="N51" s="61" t="s">
        <v>473</v>
      </c>
      <c r="O51" s="61" t="s">
        <v>474</v>
      </c>
      <c r="P51" s="61" t="s">
        <v>475</v>
      </c>
      <c r="Q51" s="61" t="s">
        <v>476</v>
      </c>
      <c r="R51" s="61" t="s">
        <v>477</v>
      </c>
      <c r="S51" s="62"/>
      <c r="T51" s="62"/>
      <c r="U51" s="62"/>
      <c r="V51" s="62"/>
      <c r="W51" s="62"/>
      <c r="X51" s="62"/>
      <c r="Y51" s="62"/>
      <c r="Z51" s="62"/>
    </row>
    <row r="52" spans="1:26" ht="16.5" customHeight="1" x14ac:dyDescent="0.3">
      <c r="A52" s="197" t="s">
        <v>478</v>
      </c>
      <c r="B52" s="197" t="s">
        <v>472</v>
      </c>
      <c r="C52" s="197"/>
      <c r="D52" s="197"/>
      <c r="E52" s="197"/>
      <c r="F52" s="197"/>
      <c r="G52" s="197"/>
      <c r="H52" s="198">
        <v>5963132</v>
      </c>
      <c r="I52" s="198"/>
      <c r="J52" s="197"/>
      <c r="K52" s="176"/>
      <c r="L52" s="199"/>
      <c r="M52" s="103"/>
      <c r="N52" s="61"/>
      <c r="O52" s="61"/>
      <c r="P52" s="61"/>
      <c r="Q52" s="61"/>
      <c r="R52" s="61"/>
      <c r="S52" s="62"/>
      <c r="T52" s="62"/>
      <c r="U52" s="62"/>
      <c r="V52" s="62"/>
      <c r="W52" s="62"/>
      <c r="X52" s="62"/>
      <c r="Y52" s="62"/>
      <c r="Z52" s="62"/>
    </row>
    <row r="53" spans="1:26" ht="16.5" customHeight="1" x14ac:dyDescent="0.3">
      <c r="A53" s="197" t="s">
        <v>479</v>
      </c>
      <c r="B53" s="197" t="s">
        <v>472</v>
      </c>
      <c r="C53" s="197"/>
      <c r="D53" s="197"/>
      <c r="E53" s="197"/>
      <c r="F53" s="197"/>
      <c r="G53" s="197"/>
      <c r="H53" s="198">
        <v>158911508</v>
      </c>
      <c r="I53" s="198"/>
      <c r="J53" s="197"/>
      <c r="K53" s="176"/>
      <c r="L53" s="199"/>
      <c r="M53" s="103"/>
      <c r="N53" s="61"/>
      <c r="O53" s="61"/>
      <c r="P53" s="61"/>
      <c r="Q53" s="61"/>
      <c r="R53" s="61"/>
      <c r="S53" s="62"/>
      <c r="T53" s="62"/>
      <c r="U53" s="62"/>
      <c r="V53" s="62"/>
      <c r="W53" s="62"/>
      <c r="X53" s="62"/>
      <c r="Y53" s="62"/>
      <c r="Z53" s="62"/>
    </row>
    <row r="54" spans="1:26" ht="15.75" customHeight="1" x14ac:dyDescent="0.3">
      <c r="A54" s="36"/>
      <c r="B54" s="36"/>
      <c r="C54" s="6"/>
      <c r="D54" s="36"/>
      <c r="E54" s="36"/>
      <c r="F54" s="36"/>
      <c r="G54" s="6"/>
      <c r="H54" s="36"/>
      <c r="I54" s="36"/>
      <c r="J54" s="37"/>
      <c r="K54" s="60"/>
      <c r="M54" s="61"/>
      <c r="N54" s="61"/>
      <c r="O54" s="61"/>
      <c r="P54" s="61"/>
      <c r="Q54" s="61"/>
      <c r="R54" s="61"/>
      <c r="S54" s="62"/>
      <c r="T54" s="62"/>
      <c r="U54" s="62"/>
    </row>
    <row r="55" spans="1:26" ht="15.75" customHeight="1" x14ac:dyDescent="0.3">
      <c r="A55" s="36"/>
      <c r="B55" s="36"/>
      <c r="C55" s="6"/>
      <c r="D55" s="36"/>
      <c r="E55" s="36"/>
      <c r="F55" s="36"/>
      <c r="G55" s="6"/>
      <c r="H55" s="36"/>
      <c r="I55" s="36"/>
      <c r="J55" s="37"/>
      <c r="K55" s="60"/>
      <c r="M55" s="61"/>
      <c r="N55" s="61"/>
      <c r="O55" s="61"/>
      <c r="P55" s="61"/>
      <c r="Q55" s="61"/>
      <c r="R55" s="61"/>
      <c r="S55" s="62"/>
      <c r="T55" s="62"/>
      <c r="U55" s="62"/>
    </row>
    <row r="56" spans="1:26" ht="15.75" customHeight="1" x14ac:dyDescent="0.3">
      <c r="A56" s="36"/>
      <c r="B56" s="36"/>
      <c r="C56" s="6"/>
      <c r="D56" s="36"/>
      <c r="E56" s="36"/>
      <c r="F56" s="36"/>
      <c r="G56" s="6"/>
      <c r="H56" s="36"/>
      <c r="I56" s="36"/>
      <c r="J56" s="37"/>
      <c r="K56" s="60"/>
      <c r="M56" s="61"/>
      <c r="N56" s="61"/>
      <c r="O56" s="61"/>
      <c r="P56" s="61"/>
      <c r="Q56" s="61"/>
      <c r="R56" s="61"/>
      <c r="S56" s="62"/>
      <c r="T56" s="62"/>
      <c r="U56" s="62"/>
    </row>
    <row r="57" spans="1:26" ht="15.75" customHeight="1" x14ac:dyDescent="0.3">
      <c r="A57" s="36"/>
      <c r="B57" s="36"/>
      <c r="C57" s="6"/>
      <c r="D57" s="36"/>
      <c r="E57" s="36"/>
      <c r="F57" s="36"/>
      <c r="G57" s="6"/>
      <c r="H57" s="36"/>
      <c r="I57" s="36"/>
      <c r="J57" s="37"/>
      <c r="K57" s="60"/>
      <c r="M57" s="61"/>
      <c r="N57" s="61"/>
      <c r="O57" s="61"/>
      <c r="P57" s="61"/>
      <c r="Q57" s="61"/>
      <c r="R57" s="61"/>
      <c r="S57" s="62"/>
      <c r="T57" s="62"/>
      <c r="U57" s="62"/>
    </row>
    <row r="58" spans="1:26" ht="15.75" customHeight="1" x14ac:dyDescent="0.3">
      <c r="A58" s="36"/>
      <c r="B58" s="36"/>
      <c r="C58" s="6"/>
      <c r="D58" s="36"/>
      <c r="E58" s="36"/>
      <c r="F58" s="36"/>
      <c r="G58" s="6"/>
      <c r="H58" s="36"/>
      <c r="I58" s="36"/>
      <c r="J58" s="37"/>
      <c r="K58" s="60"/>
      <c r="M58" s="61"/>
      <c r="N58" s="61"/>
      <c r="O58" s="61"/>
      <c r="P58" s="61"/>
      <c r="Q58" s="61"/>
      <c r="R58" s="61"/>
      <c r="S58" s="62"/>
      <c r="T58" s="62"/>
      <c r="U58" s="62"/>
    </row>
    <row r="59" spans="1:26" ht="15.75" customHeight="1" x14ac:dyDescent="0.3">
      <c r="A59" s="36"/>
      <c r="B59" s="36"/>
      <c r="C59" s="6"/>
      <c r="D59" s="36"/>
      <c r="E59" s="36"/>
      <c r="F59" s="36"/>
      <c r="G59" s="6"/>
      <c r="H59" s="36"/>
      <c r="I59" s="36"/>
      <c r="J59" s="37"/>
      <c r="K59" s="60"/>
      <c r="M59" s="61"/>
      <c r="N59" s="61"/>
      <c r="O59" s="61"/>
      <c r="P59" s="61"/>
      <c r="Q59" s="61"/>
      <c r="R59" s="61"/>
      <c r="S59" s="62"/>
      <c r="T59" s="62"/>
      <c r="U59" s="62"/>
    </row>
    <row r="60" spans="1:26" ht="15.75" customHeight="1" x14ac:dyDescent="0.3">
      <c r="A60" s="36"/>
      <c r="B60" s="127"/>
      <c r="C60" s="6"/>
      <c r="D60" s="36"/>
      <c r="E60" s="36"/>
      <c r="F60" s="36"/>
      <c r="G60" s="6"/>
      <c r="H60" s="36"/>
      <c r="I60" s="36"/>
      <c r="J60" s="37"/>
      <c r="K60" s="60"/>
      <c r="M60" s="61"/>
      <c r="N60" s="61"/>
      <c r="O60" s="61"/>
      <c r="P60" s="61"/>
      <c r="Q60" s="61"/>
      <c r="R60" s="61"/>
      <c r="S60" s="62"/>
      <c r="T60" s="62"/>
      <c r="U60" s="62"/>
      <c r="V60" s="62"/>
      <c r="W60" s="62"/>
      <c r="X60" s="62"/>
      <c r="Y60" s="62"/>
      <c r="Z60" s="62"/>
    </row>
    <row r="61" spans="1:26" ht="15.75" customHeight="1" x14ac:dyDescent="0.3">
      <c r="A61" s="36"/>
      <c r="B61" s="36"/>
      <c r="C61" s="6"/>
      <c r="D61" s="36"/>
      <c r="E61" s="36"/>
      <c r="F61" s="36"/>
      <c r="G61" s="6"/>
      <c r="H61" s="36"/>
      <c r="I61" s="36"/>
      <c r="J61" s="37"/>
      <c r="K61" s="60"/>
      <c r="M61" s="61"/>
      <c r="N61" s="61"/>
      <c r="O61" s="61"/>
      <c r="P61" s="61"/>
      <c r="Q61" s="61"/>
      <c r="R61" s="61"/>
      <c r="S61" s="62"/>
      <c r="T61" s="62"/>
      <c r="U61" s="62"/>
    </row>
    <row r="62" spans="1:26" ht="15.75" customHeight="1" x14ac:dyDescent="0.3">
      <c r="A62" s="36"/>
      <c r="B62" s="36"/>
      <c r="C62" s="6"/>
      <c r="D62" s="36"/>
      <c r="E62" s="36"/>
      <c r="F62" s="36"/>
      <c r="G62" s="6"/>
      <c r="H62" s="36"/>
      <c r="I62" s="36"/>
      <c r="J62" s="37"/>
      <c r="K62" s="60"/>
      <c r="M62" s="61"/>
      <c r="N62" s="61"/>
      <c r="O62" s="61"/>
      <c r="P62" s="61"/>
      <c r="Q62" s="61"/>
      <c r="R62" s="61"/>
      <c r="S62" s="62"/>
      <c r="T62" s="62"/>
      <c r="U62" s="62"/>
    </row>
    <row r="63" spans="1:26" ht="15.75" customHeight="1" x14ac:dyDescent="0.3">
      <c r="A63" s="36"/>
      <c r="B63" s="36"/>
      <c r="C63" s="6"/>
      <c r="D63" s="36"/>
      <c r="E63" s="36"/>
      <c r="F63" s="36"/>
      <c r="G63" s="6"/>
      <c r="H63" s="36"/>
      <c r="I63" s="36"/>
      <c r="J63" s="37"/>
      <c r="K63" s="60"/>
      <c r="M63" s="61"/>
      <c r="N63" s="61"/>
      <c r="O63" s="61"/>
      <c r="P63" s="61"/>
      <c r="Q63" s="61"/>
      <c r="R63" s="61"/>
      <c r="S63" s="62"/>
      <c r="T63" s="62"/>
      <c r="U63" s="62"/>
    </row>
    <row r="64" spans="1:26" ht="15.75" customHeight="1" x14ac:dyDescent="0.3">
      <c r="A64" s="36"/>
      <c r="B64" s="36"/>
      <c r="C64" s="6"/>
      <c r="D64" s="36"/>
      <c r="E64" s="36"/>
      <c r="F64" s="36"/>
      <c r="G64" s="6"/>
      <c r="H64" s="36"/>
      <c r="I64" s="36"/>
      <c r="J64" s="37"/>
      <c r="K64" s="60"/>
      <c r="M64" s="61"/>
      <c r="N64" s="61"/>
      <c r="O64" s="61"/>
      <c r="P64" s="61"/>
      <c r="Q64" s="61"/>
      <c r="R64" s="61"/>
      <c r="S64" s="62"/>
      <c r="T64" s="62"/>
      <c r="U64" s="62"/>
    </row>
    <row r="65" spans="1:26" ht="15.75" customHeight="1" x14ac:dyDescent="0.3">
      <c r="A65" s="36"/>
      <c r="B65" s="36"/>
      <c r="C65" s="6"/>
      <c r="D65" s="36"/>
      <c r="E65" s="36"/>
      <c r="F65" s="36"/>
      <c r="G65" s="6"/>
      <c r="H65" s="36"/>
      <c r="I65" s="36"/>
      <c r="J65" s="37"/>
      <c r="K65" s="60"/>
      <c r="M65" s="61"/>
      <c r="N65" s="61"/>
      <c r="O65" s="61"/>
      <c r="P65" s="61"/>
      <c r="Q65" s="61"/>
      <c r="R65" s="61"/>
      <c r="S65" s="62"/>
      <c r="T65" s="62"/>
      <c r="U65" s="62"/>
    </row>
    <row r="66" spans="1:26" ht="15.75" customHeight="1" x14ac:dyDescent="0.3">
      <c r="A66" s="36"/>
      <c r="B66" s="36"/>
      <c r="C66" s="6"/>
      <c r="D66" s="36"/>
      <c r="E66" s="36"/>
      <c r="F66" s="36"/>
      <c r="G66" s="6"/>
      <c r="H66" s="36"/>
      <c r="I66" s="36"/>
      <c r="J66" s="37"/>
      <c r="K66" s="60"/>
      <c r="M66" s="61"/>
      <c r="N66" s="61"/>
      <c r="O66" s="61"/>
      <c r="P66" s="61"/>
      <c r="Q66" s="61"/>
      <c r="R66" s="61"/>
      <c r="S66" s="62"/>
      <c r="T66" s="62"/>
      <c r="U66" s="62"/>
    </row>
    <row r="67" spans="1:26" ht="15.75" customHeight="1" x14ac:dyDescent="0.3">
      <c r="A67" s="36"/>
      <c r="B67" s="36"/>
      <c r="C67" s="6"/>
      <c r="D67" s="36"/>
      <c r="E67" s="36"/>
      <c r="F67" s="36"/>
      <c r="G67" s="6"/>
      <c r="H67" s="36"/>
      <c r="I67" s="36"/>
      <c r="J67" s="37"/>
      <c r="K67" s="60"/>
      <c r="M67" s="61"/>
      <c r="N67" s="61"/>
      <c r="O67" s="61"/>
      <c r="P67" s="61"/>
      <c r="Q67" s="61"/>
      <c r="R67" s="61"/>
      <c r="S67" s="62"/>
      <c r="T67" s="62"/>
      <c r="U67" s="62"/>
    </row>
    <row r="68" spans="1:26" ht="15.75" customHeight="1" x14ac:dyDescent="0.3">
      <c r="A68" s="36"/>
      <c r="B68" s="36"/>
      <c r="C68" s="6"/>
      <c r="D68" s="36"/>
      <c r="E68" s="36"/>
      <c r="F68" s="36"/>
      <c r="G68" s="6"/>
      <c r="H68" s="36"/>
      <c r="I68" s="36"/>
      <c r="J68" s="37"/>
      <c r="K68" s="60"/>
      <c r="M68" s="61"/>
      <c r="N68" s="61"/>
      <c r="O68" s="61"/>
      <c r="P68" s="61"/>
      <c r="Q68" s="61"/>
      <c r="R68" s="61"/>
      <c r="S68" s="62"/>
      <c r="T68" s="62"/>
      <c r="U68" s="62"/>
    </row>
    <row r="69" spans="1:26" ht="15.75" customHeight="1" x14ac:dyDescent="0.3">
      <c r="A69" s="36"/>
      <c r="B69" s="36" t="s">
        <v>480</v>
      </c>
      <c r="C69" s="108">
        <v>908526</v>
      </c>
      <c r="D69" s="36"/>
      <c r="E69" s="36"/>
      <c r="F69" s="36"/>
      <c r="G69" s="6"/>
      <c r="H69" s="36"/>
      <c r="I69" s="36"/>
      <c r="J69" s="37"/>
      <c r="K69" s="60"/>
      <c r="M69" s="61"/>
      <c r="N69" s="61"/>
      <c r="O69" s="61"/>
      <c r="P69" s="61"/>
      <c r="Q69" s="61"/>
      <c r="R69" s="61"/>
      <c r="S69" s="62"/>
      <c r="T69" s="62"/>
      <c r="U69" s="62"/>
    </row>
    <row r="70" spans="1:26" ht="15.75" customHeight="1" x14ac:dyDescent="0.3">
      <c r="A70" s="36"/>
      <c r="B70" s="109" t="s">
        <v>481</v>
      </c>
      <c r="C70" s="6"/>
      <c r="D70" s="36"/>
      <c r="E70" s="36"/>
      <c r="F70" s="36"/>
      <c r="G70" s="6"/>
      <c r="H70" s="36"/>
      <c r="I70" s="36"/>
      <c r="J70" s="37"/>
      <c r="K70" s="60"/>
      <c r="M70" s="61"/>
      <c r="N70" s="61"/>
      <c r="O70" s="61"/>
      <c r="P70" s="61"/>
      <c r="Q70" s="61"/>
      <c r="R70" s="61"/>
      <c r="S70" s="62"/>
      <c r="T70" s="62"/>
      <c r="U70" s="62"/>
    </row>
    <row r="71" spans="1:26" ht="15.75" customHeight="1" x14ac:dyDescent="0.3">
      <c r="A71" s="36"/>
      <c r="B71" s="109" t="s">
        <v>482</v>
      </c>
      <c r="C71" s="110">
        <v>1817052000</v>
      </c>
      <c r="D71" s="36"/>
      <c r="E71" s="36"/>
      <c r="F71" s="36"/>
      <c r="H71" s="36"/>
      <c r="I71" s="36"/>
      <c r="J71" s="37"/>
      <c r="K71" s="60"/>
      <c r="M71" s="61"/>
      <c r="N71" s="61"/>
      <c r="O71" s="61"/>
      <c r="P71" s="61"/>
      <c r="Q71" s="61"/>
      <c r="R71" s="61"/>
      <c r="S71" s="62"/>
      <c r="T71" s="62"/>
      <c r="U71" s="62"/>
    </row>
    <row r="72" spans="1:26" ht="15.75" customHeight="1" x14ac:dyDescent="0.3">
      <c r="A72" s="36"/>
      <c r="B72" s="109" t="s">
        <v>483</v>
      </c>
      <c r="C72" s="110">
        <v>5451156000</v>
      </c>
      <c r="D72" s="36"/>
      <c r="E72" s="36"/>
      <c r="F72" s="36"/>
      <c r="G72" s="6"/>
      <c r="H72" s="36"/>
      <c r="I72" s="36"/>
      <c r="J72" s="37"/>
      <c r="K72" s="60"/>
      <c r="M72" s="61"/>
      <c r="N72" s="61"/>
      <c r="O72" s="61"/>
      <c r="P72" s="61"/>
      <c r="Q72" s="61"/>
      <c r="R72" s="61"/>
      <c r="S72" s="62"/>
      <c r="T72" s="62"/>
      <c r="U72" s="62"/>
      <c r="V72" s="36"/>
      <c r="W72" s="36"/>
      <c r="X72" s="36"/>
      <c r="Y72" s="36"/>
      <c r="Z72" s="36"/>
    </row>
    <row r="73" spans="1:26" ht="15.75" customHeight="1" x14ac:dyDescent="0.3">
      <c r="A73" s="36"/>
      <c r="B73" s="109" t="s">
        <v>484</v>
      </c>
      <c r="C73" s="110">
        <v>5452064526</v>
      </c>
      <c r="D73" s="36"/>
      <c r="E73" s="36"/>
      <c r="F73" s="36"/>
      <c r="G73" s="6"/>
      <c r="H73" s="36"/>
      <c r="I73" s="36"/>
      <c r="J73" s="37"/>
      <c r="K73" s="60"/>
      <c r="M73" s="61"/>
      <c r="N73" s="61"/>
      <c r="O73" s="61"/>
      <c r="P73" s="61"/>
      <c r="Q73" s="61"/>
      <c r="R73" s="61"/>
      <c r="S73" s="62"/>
      <c r="T73" s="62"/>
      <c r="U73" s="62"/>
      <c r="V73" s="36"/>
      <c r="W73" s="36"/>
      <c r="X73" s="36"/>
      <c r="Y73" s="36"/>
      <c r="Z73" s="36"/>
    </row>
    <row r="74" spans="1:26" ht="15.75" customHeight="1" x14ac:dyDescent="0.3">
      <c r="A74" s="36"/>
      <c r="B74" s="36"/>
      <c r="C74" s="6"/>
      <c r="D74" s="36"/>
      <c r="E74" s="36"/>
      <c r="F74" s="36"/>
      <c r="G74" s="6"/>
      <c r="H74" s="36"/>
      <c r="I74" s="36"/>
      <c r="J74" s="37"/>
      <c r="K74" s="60"/>
      <c r="M74" s="61"/>
      <c r="N74" s="61"/>
      <c r="O74" s="61"/>
      <c r="P74" s="61"/>
      <c r="Q74" s="61"/>
      <c r="R74" s="61"/>
      <c r="S74" s="62"/>
      <c r="T74" s="62"/>
      <c r="U74" s="62"/>
    </row>
    <row r="75" spans="1:26" ht="15.75" customHeight="1" x14ac:dyDescent="0.3">
      <c r="A75" s="36"/>
      <c r="B75" s="36"/>
      <c r="C75" s="6"/>
      <c r="D75" s="36"/>
      <c r="E75" s="36"/>
      <c r="F75" s="36"/>
      <c r="G75" s="6"/>
      <c r="H75" s="36"/>
      <c r="I75" s="36"/>
      <c r="J75" s="37"/>
      <c r="K75" s="60"/>
      <c r="M75" s="61"/>
      <c r="N75" s="61"/>
      <c r="O75" s="61"/>
      <c r="P75" s="61"/>
      <c r="Q75" s="61"/>
      <c r="R75" s="61"/>
      <c r="S75" s="62"/>
      <c r="T75" s="62"/>
      <c r="U75" s="62"/>
    </row>
    <row r="76" spans="1:26" ht="15.75" customHeight="1" x14ac:dyDescent="0.3">
      <c r="A76" s="36"/>
      <c r="B76" s="36"/>
      <c r="C76" s="6"/>
      <c r="D76" s="36"/>
      <c r="E76" s="36"/>
      <c r="F76" s="36"/>
      <c r="G76" s="6"/>
      <c r="H76" s="36"/>
      <c r="I76" s="36"/>
      <c r="J76" s="37"/>
      <c r="K76" s="60"/>
      <c r="M76" s="61"/>
      <c r="N76" s="61"/>
      <c r="O76" s="61"/>
      <c r="P76" s="61"/>
      <c r="Q76" s="61"/>
      <c r="R76" s="61"/>
      <c r="S76" s="62"/>
      <c r="T76" s="62"/>
      <c r="U76" s="62"/>
    </row>
    <row r="77" spans="1:26" ht="15.75" customHeight="1" x14ac:dyDescent="0.3">
      <c r="A77" s="36"/>
      <c r="B77" s="36"/>
      <c r="C77" s="6"/>
      <c r="D77" s="36"/>
      <c r="E77" s="36"/>
      <c r="F77" s="36"/>
      <c r="G77" s="6"/>
      <c r="H77" s="36"/>
      <c r="I77" s="36"/>
      <c r="J77" s="37"/>
      <c r="K77" s="60"/>
      <c r="M77" s="61"/>
      <c r="N77" s="61"/>
      <c r="O77" s="61"/>
      <c r="P77" s="61"/>
      <c r="Q77" s="61"/>
      <c r="R77" s="61"/>
      <c r="S77" s="62"/>
      <c r="T77" s="62"/>
      <c r="U77" s="62"/>
    </row>
    <row r="78" spans="1:26" ht="15.75" customHeight="1" x14ac:dyDescent="0.3">
      <c r="A78" s="36"/>
      <c r="B78" s="36"/>
      <c r="C78" s="6"/>
      <c r="D78" s="36"/>
      <c r="E78" s="36"/>
      <c r="F78" s="36"/>
      <c r="G78" s="6"/>
      <c r="H78" s="36"/>
      <c r="I78" s="36"/>
      <c r="J78" s="37"/>
      <c r="K78" s="60"/>
      <c r="M78" s="61"/>
      <c r="N78" s="61"/>
      <c r="O78" s="61"/>
      <c r="P78" s="61"/>
      <c r="Q78" s="61"/>
      <c r="R78" s="61"/>
      <c r="S78" s="62"/>
      <c r="T78" s="62"/>
      <c r="U78" s="62"/>
    </row>
    <row r="79" spans="1:26" ht="15.75" customHeight="1" x14ac:dyDescent="0.3">
      <c r="A79" s="36"/>
      <c r="B79" s="36"/>
      <c r="C79" s="6"/>
      <c r="D79" s="36"/>
      <c r="E79" s="36"/>
      <c r="F79" s="36"/>
      <c r="G79" s="6"/>
      <c r="H79" s="36"/>
      <c r="I79" s="36"/>
      <c r="J79" s="37"/>
      <c r="K79" s="60"/>
      <c r="M79" s="61"/>
      <c r="N79" s="61"/>
      <c r="O79" s="61"/>
      <c r="P79" s="61"/>
      <c r="Q79" s="61"/>
      <c r="R79" s="61"/>
      <c r="S79" s="62"/>
      <c r="T79" s="62"/>
      <c r="U79" s="62"/>
    </row>
    <row r="80" spans="1:26" ht="15.75" customHeight="1" x14ac:dyDescent="0.3">
      <c r="A80" s="36"/>
      <c r="B80" s="36"/>
      <c r="C80" s="6"/>
      <c r="D80" s="36"/>
      <c r="E80" s="36"/>
      <c r="F80" s="36"/>
      <c r="G80" s="6"/>
      <c r="H80" s="36"/>
      <c r="I80" s="36"/>
      <c r="J80" s="37"/>
      <c r="K80" s="60"/>
      <c r="M80" s="61"/>
      <c r="N80" s="61"/>
      <c r="O80" s="61"/>
      <c r="P80" s="61"/>
      <c r="Q80" s="61"/>
      <c r="R80" s="61"/>
      <c r="S80" s="62"/>
      <c r="T80" s="62"/>
      <c r="U80" s="62"/>
    </row>
    <row r="81" spans="1:21" ht="15.75" customHeight="1" x14ac:dyDescent="0.3">
      <c r="A81" s="36"/>
      <c r="B81" s="36"/>
      <c r="C81" s="6"/>
      <c r="D81" s="36"/>
      <c r="E81" s="36"/>
      <c r="F81" s="36"/>
      <c r="G81" s="6"/>
      <c r="H81" s="36"/>
      <c r="I81" s="36"/>
      <c r="J81" s="37"/>
      <c r="K81" s="60"/>
      <c r="M81" s="61"/>
      <c r="N81" s="61"/>
      <c r="O81" s="61"/>
      <c r="P81" s="61"/>
      <c r="Q81" s="61"/>
      <c r="R81" s="61"/>
      <c r="S81" s="62"/>
      <c r="T81" s="62"/>
      <c r="U81" s="62"/>
    </row>
    <row r="82" spans="1:21" ht="15.75" customHeight="1" x14ac:dyDescent="0.3">
      <c r="A82" s="36"/>
      <c r="B82" s="36"/>
      <c r="C82" s="6"/>
      <c r="D82" s="36"/>
      <c r="E82" s="36"/>
      <c r="F82" s="36"/>
      <c r="G82" s="6"/>
      <c r="H82" s="36"/>
      <c r="I82" s="36"/>
      <c r="J82" s="37"/>
      <c r="K82" s="60"/>
      <c r="M82" s="61"/>
      <c r="N82" s="61"/>
      <c r="O82" s="61"/>
      <c r="P82" s="61"/>
      <c r="Q82" s="61"/>
      <c r="R82" s="61"/>
      <c r="S82" s="62"/>
      <c r="T82" s="62"/>
      <c r="U82" s="62"/>
    </row>
    <row r="83" spans="1:21" ht="15.75" customHeight="1" x14ac:dyDescent="0.3">
      <c r="A83" s="36"/>
      <c r="B83" s="36"/>
      <c r="C83" s="6"/>
      <c r="D83" s="36"/>
      <c r="E83" s="36"/>
      <c r="F83" s="36"/>
      <c r="G83" s="6"/>
      <c r="H83" s="36"/>
      <c r="I83" s="36"/>
      <c r="J83" s="37"/>
      <c r="K83" s="60"/>
      <c r="M83" s="61"/>
      <c r="N83" s="61"/>
      <c r="O83" s="61"/>
      <c r="P83" s="61"/>
      <c r="Q83" s="61"/>
      <c r="R83" s="61"/>
      <c r="S83" s="62"/>
      <c r="T83" s="62"/>
      <c r="U83" s="62"/>
    </row>
    <row r="84" spans="1:21" ht="15.75" customHeight="1" x14ac:dyDescent="0.3">
      <c r="A84" s="36"/>
      <c r="B84" s="36"/>
      <c r="C84" s="6"/>
      <c r="D84" s="36"/>
      <c r="E84" s="36"/>
      <c r="F84" s="36"/>
      <c r="G84" s="6"/>
      <c r="H84" s="36"/>
      <c r="I84" s="36"/>
      <c r="J84" s="37"/>
      <c r="K84" s="60"/>
      <c r="M84" s="61"/>
      <c r="N84" s="61"/>
      <c r="O84" s="61"/>
      <c r="P84" s="61"/>
      <c r="Q84" s="61"/>
      <c r="R84" s="61"/>
      <c r="S84" s="62"/>
      <c r="T84" s="62"/>
      <c r="U84" s="62"/>
    </row>
    <row r="85" spans="1:21" ht="15.75" customHeight="1" x14ac:dyDescent="0.3">
      <c r="A85" s="36"/>
      <c r="B85" s="36"/>
      <c r="C85" s="6"/>
      <c r="D85" s="36"/>
      <c r="E85" s="36"/>
      <c r="F85" s="36"/>
      <c r="G85" s="6"/>
      <c r="H85" s="36"/>
      <c r="I85" s="36"/>
      <c r="J85" s="37"/>
      <c r="K85" s="60"/>
      <c r="M85" s="61"/>
      <c r="N85" s="61"/>
      <c r="O85" s="61"/>
      <c r="P85" s="61"/>
      <c r="Q85" s="61"/>
      <c r="R85" s="61"/>
      <c r="S85" s="62"/>
      <c r="T85" s="62"/>
      <c r="U85" s="62"/>
    </row>
    <row r="86" spans="1:21" ht="15.75" customHeight="1" x14ac:dyDescent="0.3">
      <c r="A86" s="36"/>
      <c r="B86" s="36"/>
      <c r="C86" s="6"/>
      <c r="D86" s="36"/>
      <c r="E86" s="36"/>
      <c r="F86" s="36"/>
      <c r="G86" s="6"/>
      <c r="H86" s="36"/>
      <c r="I86" s="36"/>
      <c r="J86" s="37"/>
      <c r="K86" s="60"/>
      <c r="M86" s="61"/>
      <c r="N86" s="61"/>
      <c r="O86" s="61"/>
      <c r="P86" s="61"/>
      <c r="Q86" s="61"/>
      <c r="R86" s="61"/>
      <c r="S86" s="62"/>
      <c r="T86" s="62"/>
      <c r="U86" s="62"/>
    </row>
    <row r="87" spans="1:21" ht="15.75" customHeight="1" x14ac:dyDescent="0.3">
      <c r="A87" s="36"/>
      <c r="B87" s="36"/>
      <c r="C87" s="6"/>
      <c r="D87" s="36"/>
      <c r="E87" s="36"/>
      <c r="F87" s="36"/>
      <c r="G87" s="6"/>
      <c r="H87" s="36"/>
      <c r="I87" s="36"/>
      <c r="J87" s="37"/>
      <c r="K87" s="60"/>
      <c r="M87" s="61"/>
      <c r="N87" s="61"/>
      <c r="O87" s="61"/>
      <c r="P87" s="61"/>
      <c r="Q87" s="61"/>
      <c r="R87" s="61"/>
      <c r="S87" s="62"/>
      <c r="T87" s="62"/>
      <c r="U87" s="62"/>
    </row>
    <row r="88" spans="1:21" ht="15.75" customHeight="1" x14ac:dyDescent="0.3">
      <c r="A88" s="36"/>
      <c r="B88" s="36"/>
      <c r="C88" s="6"/>
      <c r="D88" s="36"/>
      <c r="E88" s="36"/>
      <c r="F88" s="36"/>
      <c r="G88" s="6"/>
      <c r="H88" s="36"/>
      <c r="I88" s="36"/>
      <c r="J88" s="37"/>
      <c r="K88" s="60"/>
      <c r="M88" s="61"/>
      <c r="N88" s="61"/>
      <c r="O88" s="61"/>
      <c r="P88" s="61"/>
      <c r="Q88" s="61"/>
      <c r="R88" s="61"/>
      <c r="S88" s="62"/>
      <c r="T88" s="62"/>
      <c r="U88" s="62"/>
    </row>
    <row r="89" spans="1:21" ht="15.75" customHeight="1" x14ac:dyDescent="0.3">
      <c r="A89" s="36"/>
      <c r="B89" s="36"/>
      <c r="C89" s="6"/>
      <c r="D89" s="36"/>
      <c r="E89" s="36"/>
      <c r="F89" s="36"/>
      <c r="G89" s="6"/>
      <c r="H89" s="36"/>
      <c r="I89" s="36"/>
      <c r="J89" s="37"/>
      <c r="K89" s="60"/>
      <c r="M89" s="61"/>
      <c r="N89" s="61"/>
      <c r="O89" s="61"/>
      <c r="P89" s="61"/>
      <c r="Q89" s="61"/>
      <c r="R89" s="61"/>
      <c r="S89" s="62"/>
      <c r="T89" s="62"/>
      <c r="U89" s="62"/>
    </row>
    <row r="90" spans="1:21" ht="15.75" customHeight="1" x14ac:dyDescent="0.3">
      <c r="A90" s="36"/>
      <c r="B90" s="36"/>
      <c r="C90" s="6"/>
      <c r="D90" s="36"/>
      <c r="E90" s="36"/>
      <c r="F90" s="36"/>
      <c r="G90" s="6"/>
      <c r="H90" s="36"/>
      <c r="I90" s="36"/>
      <c r="J90" s="37"/>
      <c r="K90" s="60"/>
      <c r="M90" s="61"/>
      <c r="N90" s="61"/>
      <c r="O90" s="61"/>
      <c r="P90" s="61"/>
      <c r="Q90" s="61"/>
      <c r="R90" s="61"/>
      <c r="S90" s="62"/>
      <c r="T90" s="62"/>
      <c r="U90" s="62"/>
    </row>
    <row r="91" spans="1:21" ht="15.75" customHeight="1" x14ac:dyDescent="0.3">
      <c r="A91" s="36"/>
      <c r="B91" s="36"/>
      <c r="C91" s="6"/>
      <c r="D91" s="36"/>
      <c r="E91" s="36"/>
      <c r="F91" s="36"/>
      <c r="G91" s="6"/>
      <c r="H91" s="36"/>
      <c r="I91" s="36"/>
      <c r="J91" s="37"/>
      <c r="K91" s="60"/>
      <c r="M91" s="61"/>
      <c r="N91" s="61"/>
      <c r="O91" s="61"/>
      <c r="P91" s="61"/>
      <c r="Q91" s="61"/>
      <c r="R91" s="61"/>
      <c r="S91" s="62"/>
      <c r="T91" s="62"/>
      <c r="U91" s="62"/>
    </row>
    <row r="92" spans="1:21" ht="15.75" customHeight="1" x14ac:dyDescent="0.3">
      <c r="A92" s="36"/>
      <c r="B92" s="36"/>
      <c r="C92" s="6"/>
      <c r="D92" s="36"/>
      <c r="E92" s="36"/>
      <c r="F92" s="36"/>
      <c r="G92" s="6"/>
      <c r="H92" s="36"/>
      <c r="I92" s="36"/>
      <c r="J92" s="37"/>
      <c r="K92" s="60"/>
      <c r="M92" s="61"/>
      <c r="N92" s="61"/>
      <c r="O92" s="61"/>
      <c r="P92" s="61"/>
      <c r="Q92" s="61"/>
      <c r="R92" s="61"/>
      <c r="S92" s="62"/>
      <c r="T92" s="62"/>
      <c r="U92" s="62"/>
    </row>
    <row r="93" spans="1:21" ht="15.75" customHeight="1" x14ac:dyDescent="0.3">
      <c r="A93" s="36"/>
      <c r="B93" s="36"/>
      <c r="C93" s="6"/>
      <c r="D93" s="36"/>
      <c r="E93" s="36"/>
      <c r="F93" s="36"/>
      <c r="G93" s="6"/>
      <c r="H93" s="36"/>
      <c r="I93" s="36"/>
      <c r="J93" s="37"/>
      <c r="K93" s="60"/>
      <c r="M93" s="61"/>
      <c r="N93" s="61"/>
      <c r="O93" s="61"/>
      <c r="P93" s="61"/>
      <c r="Q93" s="61"/>
      <c r="R93" s="61"/>
      <c r="S93" s="62"/>
      <c r="T93" s="62"/>
      <c r="U93" s="62"/>
    </row>
    <row r="94" spans="1:21" ht="15.75" customHeight="1" x14ac:dyDescent="0.3">
      <c r="A94" s="36"/>
      <c r="B94" s="36"/>
      <c r="C94" s="6"/>
      <c r="D94" s="36"/>
      <c r="E94" s="36"/>
      <c r="F94" s="36"/>
      <c r="G94" s="6"/>
      <c r="H94" s="36"/>
      <c r="I94" s="36"/>
      <c r="J94" s="37"/>
      <c r="K94" s="60"/>
      <c r="M94" s="61"/>
      <c r="N94" s="61"/>
      <c r="O94" s="61"/>
      <c r="P94" s="61"/>
      <c r="Q94" s="61"/>
      <c r="R94" s="61"/>
      <c r="S94" s="62"/>
      <c r="T94" s="62"/>
      <c r="U94" s="62"/>
    </row>
    <row r="95" spans="1:21" ht="15.75" customHeight="1" x14ac:dyDescent="0.3">
      <c r="A95" s="36"/>
      <c r="B95" s="36"/>
      <c r="C95" s="6"/>
      <c r="D95" s="36"/>
      <c r="E95" s="36"/>
      <c r="F95" s="36"/>
      <c r="G95" s="6"/>
      <c r="H95" s="36"/>
      <c r="I95" s="36"/>
      <c r="J95" s="37"/>
      <c r="K95" s="60"/>
      <c r="M95" s="61"/>
      <c r="N95" s="61"/>
      <c r="O95" s="61"/>
      <c r="P95" s="61"/>
      <c r="Q95" s="61"/>
      <c r="R95" s="61"/>
      <c r="S95" s="62"/>
      <c r="T95" s="62"/>
      <c r="U95" s="62"/>
    </row>
    <row r="96" spans="1:21" ht="15.75" customHeight="1" x14ac:dyDescent="0.3">
      <c r="A96" s="36"/>
      <c r="B96" s="36"/>
      <c r="C96" s="6"/>
      <c r="D96" s="36"/>
      <c r="E96" s="36"/>
      <c r="F96" s="36"/>
      <c r="G96" s="6"/>
      <c r="H96" s="36"/>
      <c r="I96" s="36"/>
      <c r="J96" s="37"/>
      <c r="K96" s="60"/>
      <c r="M96" s="61"/>
      <c r="N96" s="61"/>
      <c r="O96" s="61"/>
      <c r="P96" s="61"/>
      <c r="Q96" s="61"/>
      <c r="R96" s="61"/>
      <c r="S96" s="62"/>
      <c r="T96" s="62"/>
      <c r="U96" s="62"/>
    </row>
    <row r="97" spans="1:21" ht="15.75" customHeight="1" x14ac:dyDescent="0.3">
      <c r="A97" s="36"/>
      <c r="B97" s="36"/>
      <c r="C97" s="6"/>
      <c r="D97" s="36"/>
      <c r="E97" s="36"/>
      <c r="F97" s="36"/>
      <c r="G97" s="6"/>
      <c r="H97" s="36"/>
      <c r="I97" s="36"/>
      <c r="J97" s="37"/>
      <c r="K97" s="60"/>
      <c r="M97" s="61"/>
      <c r="N97" s="61"/>
      <c r="O97" s="61"/>
      <c r="P97" s="61"/>
      <c r="Q97" s="61"/>
      <c r="R97" s="61"/>
      <c r="S97" s="62"/>
      <c r="T97" s="62"/>
      <c r="U97" s="62"/>
    </row>
    <row r="98" spans="1:21" ht="15.75" customHeight="1" x14ac:dyDescent="0.3">
      <c r="A98" s="36"/>
      <c r="B98" s="36"/>
      <c r="C98" s="6"/>
      <c r="D98" s="36"/>
      <c r="E98" s="36"/>
      <c r="F98" s="36"/>
      <c r="G98" s="6"/>
      <c r="H98" s="36"/>
      <c r="I98" s="36"/>
      <c r="J98" s="37"/>
      <c r="K98" s="60"/>
      <c r="M98" s="61"/>
      <c r="N98" s="61"/>
      <c r="O98" s="61"/>
      <c r="P98" s="61"/>
      <c r="Q98" s="61"/>
      <c r="R98" s="61"/>
      <c r="S98" s="62"/>
      <c r="T98" s="62"/>
      <c r="U98" s="62"/>
    </row>
    <row r="99" spans="1:21" ht="15.75" customHeight="1" x14ac:dyDescent="0.3">
      <c r="A99" s="36"/>
      <c r="B99" s="36"/>
      <c r="C99" s="6"/>
      <c r="D99" s="36"/>
      <c r="E99" s="36"/>
      <c r="F99" s="36"/>
      <c r="G99" s="6"/>
      <c r="H99" s="36"/>
      <c r="I99" s="36"/>
      <c r="J99" s="37"/>
      <c r="K99" s="60"/>
      <c r="M99" s="61"/>
      <c r="N99" s="61"/>
      <c r="O99" s="61"/>
      <c r="P99" s="61"/>
      <c r="Q99" s="61"/>
      <c r="R99" s="61"/>
      <c r="S99" s="62"/>
      <c r="T99" s="62"/>
      <c r="U99" s="62"/>
    </row>
    <row r="100" spans="1:21" ht="15.75" customHeight="1" x14ac:dyDescent="0.3">
      <c r="A100" s="36"/>
      <c r="B100" s="36"/>
      <c r="C100" s="6"/>
      <c r="D100" s="36"/>
      <c r="E100" s="36"/>
      <c r="F100" s="36"/>
      <c r="G100" s="6"/>
      <c r="H100" s="36"/>
      <c r="I100" s="36"/>
      <c r="J100" s="37"/>
      <c r="K100" s="60"/>
      <c r="M100" s="61"/>
      <c r="N100" s="61"/>
      <c r="O100" s="61"/>
      <c r="P100" s="61"/>
      <c r="Q100" s="61"/>
      <c r="R100" s="61"/>
      <c r="S100" s="62"/>
      <c r="T100" s="62"/>
      <c r="U100" s="62"/>
    </row>
    <row r="101" spans="1:21" ht="15.75" customHeight="1" x14ac:dyDescent="0.3">
      <c r="A101" s="36"/>
      <c r="B101" s="36"/>
      <c r="C101" s="6"/>
      <c r="D101" s="36"/>
      <c r="E101" s="36"/>
      <c r="F101" s="36"/>
      <c r="G101" s="6"/>
      <c r="H101" s="36"/>
      <c r="I101" s="36"/>
      <c r="J101" s="37"/>
      <c r="K101" s="60"/>
      <c r="M101" s="61"/>
      <c r="N101" s="61"/>
      <c r="O101" s="61"/>
      <c r="P101" s="61"/>
      <c r="Q101" s="61"/>
      <c r="R101" s="61"/>
      <c r="S101" s="62"/>
      <c r="T101" s="62"/>
      <c r="U101" s="62"/>
    </row>
    <row r="102" spans="1:21" ht="15.75" customHeight="1" x14ac:dyDescent="0.3">
      <c r="A102" s="36"/>
      <c r="B102" s="36"/>
      <c r="C102" s="6"/>
      <c r="D102" s="36"/>
      <c r="E102" s="36"/>
      <c r="F102" s="36"/>
      <c r="G102" s="6"/>
      <c r="H102" s="36"/>
      <c r="I102" s="36"/>
      <c r="J102" s="37"/>
      <c r="K102" s="60"/>
      <c r="M102" s="61"/>
      <c r="N102" s="61"/>
      <c r="O102" s="61"/>
      <c r="P102" s="61"/>
      <c r="Q102" s="61"/>
      <c r="R102" s="61"/>
      <c r="S102" s="62"/>
      <c r="T102" s="62"/>
      <c r="U102" s="62"/>
    </row>
    <row r="103" spans="1:21" ht="15.75" customHeight="1" x14ac:dyDescent="0.3">
      <c r="A103" s="36"/>
      <c r="B103" s="36"/>
      <c r="C103" s="6"/>
      <c r="D103" s="36"/>
      <c r="E103" s="36"/>
      <c r="F103" s="36"/>
      <c r="G103" s="6"/>
      <c r="H103" s="36"/>
      <c r="I103" s="36"/>
      <c r="J103" s="37"/>
      <c r="K103" s="60"/>
      <c r="M103" s="61"/>
      <c r="N103" s="61"/>
      <c r="O103" s="61"/>
      <c r="P103" s="61"/>
      <c r="Q103" s="61"/>
      <c r="R103" s="61"/>
      <c r="S103" s="62"/>
      <c r="T103" s="62"/>
      <c r="U103" s="62"/>
    </row>
    <row r="104" spans="1:21" ht="15.75" customHeight="1" x14ac:dyDescent="0.3">
      <c r="A104" s="36"/>
      <c r="B104" s="36"/>
      <c r="C104" s="6"/>
      <c r="D104" s="36"/>
      <c r="E104" s="36"/>
      <c r="F104" s="36"/>
      <c r="G104" s="6"/>
      <c r="H104" s="36"/>
      <c r="I104" s="36"/>
      <c r="J104" s="37"/>
      <c r="K104" s="60"/>
      <c r="M104" s="61"/>
      <c r="N104" s="61"/>
      <c r="O104" s="61"/>
      <c r="P104" s="61"/>
      <c r="Q104" s="61"/>
      <c r="R104" s="61"/>
      <c r="S104" s="62"/>
      <c r="T104" s="62"/>
      <c r="U104" s="62"/>
    </row>
    <row r="105" spans="1:21" ht="15.75" customHeight="1" x14ac:dyDescent="0.3">
      <c r="A105" s="36"/>
      <c r="B105" s="36"/>
      <c r="C105" s="6"/>
      <c r="D105" s="36"/>
      <c r="E105" s="36"/>
      <c r="F105" s="36"/>
      <c r="G105" s="6"/>
      <c r="H105" s="36"/>
      <c r="I105" s="36"/>
      <c r="J105" s="37"/>
      <c r="K105" s="60"/>
      <c r="M105" s="61"/>
      <c r="N105" s="61"/>
      <c r="O105" s="61"/>
      <c r="P105" s="61"/>
      <c r="Q105" s="61"/>
      <c r="R105" s="61"/>
      <c r="S105" s="62"/>
      <c r="T105" s="62"/>
      <c r="U105" s="62"/>
    </row>
    <row r="106" spans="1:21" ht="15.75" customHeight="1" x14ac:dyDescent="0.3">
      <c r="A106" s="36"/>
      <c r="B106" s="36"/>
      <c r="C106" s="6"/>
      <c r="D106" s="36"/>
      <c r="E106" s="36"/>
      <c r="F106" s="36"/>
      <c r="G106" s="6"/>
      <c r="H106" s="36"/>
      <c r="I106" s="36"/>
      <c r="J106" s="37"/>
      <c r="K106" s="60"/>
      <c r="M106" s="61"/>
      <c r="N106" s="61"/>
      <c r="O106" s="61"/>
      <c r="P106" s="61"/>
      <c r="Q106" s="61"/>
      <c r="R106" s="61"/>
      <c r="S106" s="62"/>
      <c r="T106" s="62"/>
      <c r="U106" s="62"/>
    </row>
    <row r="107" spans="1:21" ht="15.75" customHeight="1" x14ac:dyDescent="0.3">
      <c r="A107" s="36"/>
      <c r="B107" s="36"/>
      <c r="C107" s="6"/>
      <c r="D107" s="36"/>
      <c r="E107" s="36"/>
      <c r="F107" s="36"/>
      <c r="G107" s="6"/>
      <c r="H107" s="36"/>
      <c r="I107" s="36"/>
      <c r="J107" s="37"/>
      <c r="K107" s="60"/>
      <c r="M107" s="61"/>
      <c r="N107" s="61"/>
      <c r="O107" s="61"/>
      <c r="P107" s="61"/>
      <c r="Q107" s="61"/>
      <c r="R107" s="61"/>
      <c r="S107" s="62"/>
      <c r="T107" s="62"/>
      <c r="U107" s="62"/>
    </row>
    <row r="108" spans="1:21" ht="15.75" customHeight="1" x14ac:dyDescent="0.3">
      <c r="A108" s="36"/>
      <c r="B108" s="36"/>
      <c r="C108" s="6"/>
      <c r="D108" s="36"/>
      <c r="E108" s="36"/>
      <c r="F108" s="36"/>
      <c r="G108" s="6"/>
      <c r="H108" s="36"/>
      <c r="I108" s="36"/>
      <c r="J108" s="37"/>
      <c r="K108" s="60"/>
      <c r="M108" s="61"/>
      <c r="N108" s="61"/>
      <c r="O108" s="61"/>
      <c r="P108" s="61"/>
      <c r="Q108" s="61"/>
      <c r="R108" s="61"/>
      <c r="S108" s="62"/>
      <c r="T108" s="62"/>
      <c r="U108" s="62"/>
    </row>
    <row r="109" spans="1:21" ht="15.75" customHeight="1" x14ac:dyDescent="0.3">
      <c r="A109" s="36"/>
      <c r="B109" s="36"/>
      <c r="C109" s="6"/>
      <c r="D109" s="36"/>
      <c r="E109" s="36"/>
      <c r="F109" s="36"/>
      <c r="G109" s="6"/>
      <c r="H109" s="36"/>
      <c r="I109" s="36"/>
      <c r="J109" s="37"/>
      <c r="K109" s="60"/>
      <c r="M109" s="61"/>
      <c r="N109" s="61"/>
      <c r="O109" s="61"/>
      <c r="P109" s="61"/>
      <c r="Q109" s="61"/>
      <c r="R109" s="61"/>
      <c r="S109" s="62"/>
      <c r="T109" s="62"/>
      <c r="U109" s="62"/>
    </row>
    <row r="110" spans="1:21" ht="15.75" customHeight="1" x14ac:dyDescent="0.3">
      <c r="A110" s="36"/>
      <c r="B110" s="36"/>
      <c r="C110" s="6"/>
      <c r="D110" s="36"/>
      <c r="E110" s="36"/>
      <c r="F110" s="36"/>
      <c r="G110" s="6"/>
      <c r="H110" s="36"/>
      <c r="I110" s="36"/>
      <c r="J110" s="37"/>
      <c r="K110" s="60"/>
      <c r="M110" s="61"/>
      <c r="N110" s="61"/>
      <c r="O110" s="61"/>
      <c r="P110" s="61"/>
      <c r="Q110" s="61"/>
      <c r="R110" s="61"/>
      <c r="S110" s="62"/>
      <c r="T110" s="62"/>
      <c r="U110" s="62"/>
    </row>
    <row r="111" spans="1:21" ht="15.75" customHeight="1" x14ac:dyDescent="0.3">
      <c r="A111" s="36"/>
      <c r="B111" s="36"/>
      <c r="C111" s="6"/>
      <c r="D111" s="36"/>
      <c r="E111" s="36"/>
      <c r="F111" s="36"/>
      <c r="G111" s="6"/>
      <c r="H111" s="36"/>
      <c r="I111" s="36"/>
      <c r="J111" s="37"/>
      <c r="K111" s="60"/>
      <c r="M111" s="61"/>
      <c r="N111" s="61"/>
      <c r="O111" s="61"/>
      <c r="P111" s="61"/>
      <c r="Q111" s="61"/>
      <c r="R111" s="61"/>
      <c r="S111" s="62"/>
      <c r="T111" s="62"/>
      <c r="U111" s="62"/>
    </row>
    <row r="112" spans="1:21" ht="15.75" customHeight="1" x14ac:dyDescent="0.3">
      <c r="A112" s="36"/>
      <c r="B112" s="36"/>
      <c r="C112" s="6"/>
      <c r="D112" s="36"/>
      <c r="E112" s="36"/>
      <c r="F112" s="36"/>
      <c r="G112" s="6"/>
      <c r="H112" s="36"/>
      <c r="I112" s="36"/>
      <c r="J112" s="37"/>
      <c r="K112" s="60"/>
      <c r="M112" s="61"/>
      <c r="N112" s="61"/>
      <c r="O112" s="61"/>
      <c r="P112" s="61"/>
      <c r="Q112" s="61"/>
      <c r="R112" s="61"/>
      <c r="S112" s="62"/>
      <c r="T112" s="62"/>
      <c r="U112" s="62"/>
    </row>
    <row r="113" spans="1:21" ht="15.75" customHeight="1" x14ac:dyDescent="0.3">
      <c r="A113" s="36"/>
      <c r="B113" s="36"/>
      <c r="C113" s="6"/>
      <c r="D113" s="36"/>
      <c r="E113" s="36"/>
      <c r="F113" s="36"/>
      <c r="G113" s="6"/>
      <c r="H113" s="36"/>
      <c r="I113" s="36"/>
      <c r="J113" s="37"/>
      <c r="K113" s="60"/>
      <c r="M113" s="61"/>
      <c r="N113" s="61"/>
      <c r="O113" s="61"/>
      <c r="P113" s="61"/>
      <c r="Q113" s="61"/>
      <c r="R113" s="61"/>
      <c r="S113" s="62"/>
      <c r="T113" s="62"/>
      <c r="U113" s="62"/>
    </row>
    <row r="114" spans="1:21" ht="15.75" customHeight="1" x14ac:dyDescent="0.3">
      <c r="A114" s="36"/>
      <c r="B114" s="36"/>
      <c r="C114" s="6"/>
      <c r="D114" s="36"/>
      <c r="E114" s="36"/>
      <c r="F114" s="36"/>
      <c r="G114" s="6"/>
      <c r="H114" s="36"/>
      <c r="I114" s="36"/>
      <c r="J114" s="37"/>
      <c r="K114" s="60"/>
      <c r="M114" s="61"/>
      <c r="N114" s="61"/>
      <c r="O114" s="61"/>
      <c r="P114" s="61"/>
      <c r="Q114" s="61"/>
      <c r="R114" s="61"/>
      <c r="S114" s="62"/>
      <c r="T114" s="62"/>
      <c r="U114" s="62"/>
    </row>
    <row r="115" spans="1:21" ht="15.75" customHeight="1" x14ac:dyDescent="0.3">
      <c r="A115" s="36"/>
      <c r="B115" s="36"/>
      <c r="C115" s="6"/>
      <c r="D115" s="36"/>
      <c r="E115" s="36"/>
      <c r="F115" s="36"/>
      <c r="G115" s="6"/>
      <c r="H115" s="36"/>
      <c r="I115" s="36"/>
      <c r="J115" s="37"/>
      <c r="K115" s="60"/>
      <c r="M115" s="61"/>
      <c r="N115" s="61"/>
      <c r="O115" s="61"/>
      <c r="P115" s="61"/>
      <c r="Q115" s="61"/>
      <c r="R115" s="61"/>
      <c r="S115" s="62"/>
      <c r="T115" s="62"/>
      <c r="U115" s="62"/>
    </row>
    <row r="116" spans="1:21" ht="15.75" customHeight="1" x14ac:dyDescent="0.3">
      <c r="A116" s="36"/>
      <c r="B116" s="36"/>
      <c r="C116" s="6"/>
      <c r="D116" s="36"/>
      <c r="E116" s="36"/>
      <c r="F116" s="36"/>
      <c r="G116" s="6"/>
      <c r="H116" s="36"/>
      <c r="I116" s="36"/>
      <c r="J116" s="37"/>
      <c r="K116" s="60"/>
      <c r="M116" s="61"/>
      <c r="N116" s="61"/>
      <c r="O116" s="61"/>
      <c r="P116" s="61"/>
      <c r="Q116" s="61"/>
      <c r="R116" s="61"/>
      <c r="S116" s="62"/>
      <c r="T116" s="62"/>
      <c r="U116" s="62"/>
    </row>
    <row r="117" spans="1:21" ht="15.75" customHeight="1" x14ac:dyDescent="0.3">
      <c r="A117" s="36"/>
      <c r="B117" s="36"/>
      <c r="C117" s="6"/>
      <c r="D117" s="36"/>
      <c r="E117" s="36"/>
      <c r="F117" s="36"/>
      <c r="G117" s="6"/>
      <c r="H117" s="36"/>
      <c r="I117" s="36"/>
      <c r="J117" s="37"/>
      <c r="K117" s="60"/>
      <c r="M117" s="61"/>
      <c r="N117" s="61"/>
      <c r="O117" s="61"/>
      <c r="P117" s="61"/>
      <c r="Q117" s="61"/>
      <c r="R117" s="61"/>
      <c r="S117" s="62"/>
      <c r="T117" s="62"/>
      <c r="U117" s="62"/>
    </row>
    <row r="118" spans="1:21" ht="15.75" customHeight="1" x14ac:dyDescent="0.3">
      <c r="A118" s="36"/>
      <c r="B118" s="36"/>
      <c r="C118" s="6"/>
      <c r="D118" s="36"/>
      <c r="E118" s="36"/>
      <c r="F118" s="36"/>
      <c r="G118" s="6"/>
      <c r="H118" s="36"/>
      <c r="I118" s="36"/>
      <c r="J118" s="37"/>
      <c r="K118" s="60"/>
      <c r="M118" s="61"/>
      <c r="N118" s="61"/>
      <c r="O118" s="61"/>
      <c r="P118" s="61"/>
      <c r="Q118" s="61"/>
      <c r="R118" s="61"/>
      <c r="S118" s="62"/>
      <c r="T118" s="62"/>
      <c r="U118" s="62"/>
    </row>
    <row r="119" spans="1:21" ht="15.75" customHeight="1" x14ac:dyDescent="0.3">
      <c r="A119" s="36"/>
      <c r="B119" s="36"/>
      <c r="C119" s="6"/>
      <c r="D119" s="36"/>
      <c r="E119" s="36"/>
      <c r="F119" s="36"/>
      <c r="G119" s="6"/>
      <c r="H119" s="36"/>
      <c r="I119" s="36"/>
      <c r="J119" s="37"/>
      <c r="K119" s="60"/>
      <c r="M119" s="61"/>
      <c r="N119" s="61"/>
      <c r="O119" s="61"/>
      <c r="P119" s="61"/>
      <c r="Q119" s="61"/>
      <c r="R119" s="61"/>
      <c r="S119" s="62"/>
      <c r="T119" s="62"/>
      <c r="U119" s="62"/>
    </row>
    <row r="120" spans="1:21" ht="15.75" customHeight="1" x14ac:dyDescent="0.3">
      <c r="A120" s="36"/>
      <c r="B120" s="36"/>
      <c r="C120" s="6"/>
      <c r="D120" s="36"/>
      <c r="E120" s="36"/>
      <c r="F120" s="36"/>
      <c r="G120" s="6"/>
      <c r="H120" s="36"/>
      <c r="I120" s="36"/>
      <c r="J120" s="37"/>
      <c r="K120" s="60"/>
      <c r="M120" s="61"/>
      <c r="N120" s="61"/>
      <c r="O120" s="61"/>
      <c r="P120" s="61"/>
      <c r="Q120" s="61"/>
      <c r="R120" s="61"/>
      <c r="S120" s="62"/>
      <c r="T120" s="62"/>
      <c r="U120" s="62"/>
    </row>
    <row r="121" spans="1:21" ht="15.75" customHeight="1" x14ac:dyDescent="0.3">
      <c r="A121" s="36"/>
      <c r="B121" s="36"/>
      <c r="C121" s="6"/>
      <c r="D121" s="36"/>
      <c r="E121" s="36"/>
      <c r="F121" s="36"/>
      <c r="G121" s="6"/>
      <c r="H121" s="36"/>
      <c r="I121" s="36"/>
      <c r="J121" s="37"/>
      <c r="K121" s="60"/>
      <c r="M121" s="61"/>
      <c r="N121" s="61"/>
      <c r="O121" s="61"/>
      <c r="P121" s="61"/>
      <c r="Q121" s="61"/>
      <c r="R121" s="61"/>
      <c r="S121" s="62"/>
      <c r="T121" s="62"/>
      <c r="U121" s="62"/>
    </row>
    <row r="122" spans="1:21" ht="15.75" customHeight="1" x14ac:dyDescent="0.3">
      <c r="A122" s="36"/>
      <c r="B122" s="36"/>
      <c r="C122" s="6"/>
      <c r="D122" s="36"/>
      <c r="E122" s="36"/>
      <c r="F122" s="36"/>
      <c r="G122" s="6"/>
      <c r="H122" s="36"/>
      <c r="I122" s="36"/>
      <c r="J122" s="37"/>
      <c r="K122" s="60"/>
      <c r="M122" s="61"/>
      <c r="N122" s="61"/>
      <c r="O122" s="61"/>
      <c r="P122" s="61"/>
      <c r="Q122" s="61"/>
      <c r="R122" s="61"/>
      <c r="S122" s="62"/>
      <c r="T122" s="62"/>
      <c r="U122" s="62"/>
    </row>
    <row r="123" spans="1:21" ht="15.75" customHeight="1" x14ac:dyDescent="0.3">
      <c r="A123" s="36"/>
      <c r="B123" s="36"/>
      <c r="C123" s="6"/>
      <c r="D123" s="36"/>
      <c r="E123" s="36"/>
      <c r="F123" s="36"/>
      <c r="G123" s="6"/>
      <c r="H123" s="36"/>
      <c r="I123" s="36"/>
      <c r="J123" s="37"/>
      <c r="K123" s="60"/>
      <c r="M123" s="61"/>
      <c r="N123" s="61"/>
      <c r="O123" s="61"/>
      <c r="P123" s="61"/>
      <c r="Q123" s="61"/>
      <c r="R123" s="61"/>
      <c r="S123" s="62"/>
      <c r="T123" s="62"/>
      <c r="U123" s="62"/>
    </row>
    <row r="124" spans="1:21" ht="15.75" customHeight="1" x14ac:dyDescent="0.3">
      <c r="A124" s="36"/>
      <c r="B124" s="36"/>
      <c r="C124" s="6"/>
      <c r="D124" s="36"/>
      <c r="E124" s="36"/>
      <c r="F124" s="36"/>
      <c r="G124" s="6"/>
      <c r="H124" s="36"/>
      <c r="I124" s="36"/>
      <c r="J124" s="37"/>
      <c r="K124" s="60"/>
      <c r="M124" s="61"/>
      <c r="N124" s="61"/>
      <c r="O124" s="61"/>
      <c r="P124" s="61"/>
      <c r="Q124" s="61"/>
      <c r="R124" s="61"/>
      <c r="S124" s="62"/>
      <c r="T124" s="62"/>
      <c r="U124" s="62"/>
    </row>
    <row r="125" spans="1:21" ht="15.75" customHeight="1" x14ac:dyDescent="0.3">
      <c r="A125" s="36"/>
      <c r="B125" s="36"/>
      <c r="C125" s="6"/>
      <c r="D125" s="36"/>
      <c r="E125" s="36"/>
      <c r="F125" s="36"/>
      <c r="G125" s="6"/>
      <c r="H125" s="36"/>
      <c r="I125" s="36"/>
      <c r="J125" s="37"/>
      <c r="K125" s="60"/>
      <c r="M125" s="61"/>
      <c r="N125" s="61"/>
      <c r="O125" s="61"/>
      <c r="P125" s="61"/>
      <c r="Q125" s="61"/>
      <c r="R125" s="61"/>
      <c r="S125" s="62"/>
      <c r="T125" s="62"/>
      <c r="U125" s="62"/>
    </row>
    <row r="126" spans="1:21" ht="15.75" customHeight="1" x14ac:dyDescent="0.3">
      <c r="A126" s="36"/>
      <c r="B126" s="36"/>
      <c r="C126" s="6"/>
      <c r="D126" s="36"/>
      <c r="E126" s="36"/>
      <c r="F126" s="36"/>
      <c r="G126" s="6"/>
      <c r="H126" s="36"/>
      <c r="I126" s="36"/>
      <c r="J126" s="37"/>
      <c r="K126" s="60"/>
      <c r="M126" s="61"/>
      <c r="N126" s="61"/>
      <c r="O126" s="61"/>
      <c r="P126" s="61"/>
      <c r="Q126" s="61"/>
      <c r="R126" s="61"/>
      <c r="S126" s="62"/>
      <c r="T126" s="62"/>
      <c r="U126" s="62"/>
    </row>
    <row r="127" spans="1:21" ht="15.75" customHeight="1" x14ac:dyDescent="0.3">
      <c r="A127" s="36"/>
      <c r="B127" s="36"/>
      <c r="C127" s="6"/>
      <c r="D127" s="36"/>
      <c r="E127" s="36"/>
      <c r="F127" s="36"/>
      <c r="G127" s="6"/>
      <c r="H127" s="36"/>
      <c r="I127" s="36"/>
      <c r="J127" s="37"/>
      <c r="K127" s="60"/>
      <c r="M127" s="61"/>
      <c r="N127" s="61"/>
      <c r="O127" s="61"/>
      <c r="P127" s="61"/>
      <c r="Q127" s="61"/>
      <c r="R127" s="61"/>
      <c r="S127" s="62"/>
      <c r="T127" s="62"/>
      <c r="U127" s="62"/>
    </row>
    <row r="128" spans="1:21" ht="15.75" customHeight="1" x14ac:dyDescent="0.3">
      <c r="A128" s="36"/>
      <c r="B128" s="36"/>
      <c r="C128" s="6"/>
      <c r="D128" s="36"/>
      <c r="E128" s="36"/>
      <c r="F128" s="36"/>
      <c r="G128" s="6"/>
      <c r="H128" s="36"/>
      <c r="I128" s="36"/>
      <c r="J128" s="37"/>
      <c r="K128" s="60"/>
      <c r="M128" s="61"/>
      <c r="N128" s="61"/>
      <c r="O128" s="61"/>
      <c r="P128" s="61"/>
      <c r="Q128" s="61"/>
      <c r="R128" s="61"/>
      <c r="S128" s="62"/>
      <c r="T128" s="62"/>
      <c r="U128" s="62"/>
    </row>
    <row r="129" spans="1:21" ht="15.75" customHeight="1" x14ac:dyDescent="0.3">
      <c r="A129" s="36"/>
      <c r="B129" s="36"/>
      <c r="C129" s="6"/>
      <c r="D129" s="36"/>
      <c r="E129" s="36"/>
      <c r="F129" s="36"/>
      <c r="G129" s="6"/>
      <c r="H129" s="36"/>
      <c r="I129" s="36"/>
      <c r="J129" s="37"/>
      <c r="K129" s="60"/>
      <c r="M129" s="61"/>
      <c r="N129" s="61"/>
      <c r="O129" s="61"/>
      <c r="P129" s="61"/>
      <c r="Q129" s="61"/>
      <c r="R129" s="61"/>
      <c r="S129" s="62"/>
      <c r="T129" s="62"/>
      <c r="U129" s="62"/>
    </row>
    <row r="130" spans="1:21" ht="15.75" customHeight="1" x14ac:dyDescent="0.3">
      <c r="A130" s="36"/>
      <c r="B130" s="36"/>
      <c r="C130" s="6"/>
      <c r="D130" s="36"/>
      <c r="E130" s="36"/>
      <c r="F130" s="36"/>
      <c r="G130" s="6"/>
      <c r="H130" s="36"/>
      <c r="I130" s="36"/>
      <c r="J130" s="37"/>
      <c r="K130" s="60"/>
      <c r="M130" s="61"/>
      <c r="N130" s="61"/>
      <c r="O130" s="61"/>
      <c r="P130" s="61"/>
      <c r="Q130" s="61"/>
      <c r="R130" s="61"/>
      <c r="S130" s="62"/>
      <c r="T130" s="62"/>
      <c r="U130" s="62"/>
    </row>
    <row r="131" spans="1:21" ht="15.75" customHeight="1" x14ac:dyDescent="0.3">
      <c r="A131" s="36"/>
      <c r="B131" s="36"/>
      <c r="C131" s="6"/>
      <c r="D131" s="36"/>
      <c r="E131" s="36"/>
      <c r="F131" s="36"/>
      <c r="G131" s="6"/>
      <c r="H131" s="36"/>
      <c r="I131" s="36"/>
      <c r="J131" s="37"/>
      <c r="K131" s="60"/>
      <c r="M131" s="61"/>
      <c r="N131" s="61"/>
      <c r="O131" s="61"/>
      <c r="P131" s="61"/>
      <c r="Q131" s="61"/>
      <c r="R131" s="61"/>
      <c r="S131" s="62"/>
      <c r="T131" s="62"/>
      <c r="U131" s="62"/>
    </row>
    <row r="132" spans="1:21" ht="15.75" customHeight="1" x14ac:dyDescent="0.3">
      <c r="A132" s="36"/>
      <c r="B132" s="36"/>
      <c r="C132" s="6"/>
      <c r="D132" s="36"/>
      <c r="E132" s="36"/>
      <c r="F132" s="36"/>
      <c r="G132" s="6"/>
      <c r="H132" s="36"/>
      <c r="I132" s="36"/>
      <c r="J132" s="37"/>
      <c r="K132" s="60"/>
      <c r="M132" s="61"/>
      <c r="N132" s="61"/>
      <c r="O132" s="61"/>
      <c r="P132" s="61"/>
      <c r="Q132" s="61"/>
      <c r="R132" s="61"/>
      <c r="S132" s="62"/>
      <c r="T132" s="62"/>
      <c r="U132" s="62"/>
    </row>
    <row r="133" spans="1:21" ht="15.75" customHeight="1" x14ac:dyDescent="0.3">
      <c r="A133" s="36"/>
      <c r="B133" s="36"/>
      <c r="C133" s="6"/>
      <c r="D133" s="36"/>
      <c r="E133" s="36"/>
      <c r="F133" s="36"/>
      <c r="G133" s="6"/>
      <c r="H133" s="36"/>
      <c r="I133" s="36"/>
      <c r="J133" s="37"/>
      <c r="K133" s="60"/>
      <c r="M133" s="61"/>
      <c r="N133" s="61"/>
      <c r="O133" s="61"/>
      <c r="P133" s="61"/>
      <c r="Q133" s="61"/>
      <c r="R133" s="61"/>
      <c r="S133" s="62"/>
      <c r="T133" s="62"/>
      <c r="U133" s="62"/>
    </row>
    <row r="134" spans="1:21" ht="15.75" customHeight="1" x14ac:dyDescent="0.3">
      <c r="A134" s="36"/>
      <c r="B134" s="36"/>
      <c r="C134" s="6"/>
      <c r="D134" s="36"/>
      <c r="E134" s="36"/>
      <c r="F134" s="36"/>
      <c r="G134" s="6"/>
      <c r="H134" s="36"/>
      <c r="I134" s="36"/>
      <c r="J134" s="37"/>
      <c r="K134" s="60"/>
      <c r="M134" s="61"/>
      <c r="N134" s="61"/>
      <c r="O134" s="61"/>
      <c r="P134" s="61"/>
      <c r="Q134" s="61"/>
      <c r="R134" s="61"/>
      <c r="S134" s="62"/>
      <c r="T134" s="62"/>
      <c r="U134" s="62"/>
    </row>
    <row r="135" spans="1:21" ht="15.75" customHeight="1" x14ac:dyDescent="0.3">
      <c r="A135" s="36"/>
      <c r="B135" s="36"/>
      <c r="C135" s="6"/>
      <c r="D135" s="36"/>
      <c r="E135" s="36"/>
      <c r="F135" s="36"/>
      <c r="G135" s="6"/>
      <c r="H135" s="36"/>
      <c r="I135" s="36"/>
      <c r="J135" s="37"/>
      <c r="K135" s="60"/>
      <c r="M135" s="61"/>
      <c r="N135" s="61"/>
      <c r="O135" s="61"/>
      <c r="P135" s="61"/>
      <c r="Q135" s="61"/>
      <c r="R135" s="61"/>
      <c r="S135" s="62"/>
      <c r="T135" s="62"/>
      <c r="U135" s="62"/>
    </row>
    <row r="136" spans="1:21" ht="15.75" customHeight="1" x14ac:dyDescent="0.3">
      <c r="A136" s="36"/>
      <c r="B136" s="36"/>
      <c r="C136" s="6"/>
      <c r="D136" s="36"/>
      <c r="E136" s="36"/>
      <c r="F136" s="36"/>
      <c r="G136" s="6"/>
      <c r="H136" s="36"/>
      <c r="I136" s="36"/>
      <c r="J136" s="37"/>
      <c r="K136" s="60"/>
      <c r="M136" s="61"/>
      <c r="N136" s="61"/>
      <c r="O136" s="61"/>
      <c r="P136" s="61"/>
      <c r="Q136" s="61"/>
      <c r="R136" s="61"/>
      <c r="S136" s="62"/>
      <c r="T136" s="62"/>
      <c r="U136" s="62"/>
    </row>
    <row r="137" spans="1:21" ht="15.75" customHeight="1" x14ac:dyDescent="0.3">
      <c r="A137" s="36"/>
      <c r="B137" s="36"/>
      <c r="C137" s="6"/>
      <c r="D137" s="36"/>
      <c r="E137" s="36"/>
      <c r="F137" s="36"/>
      <c r="G137" s="6"/>
      <c r="H137" s="36"/>
      <c r="I137" s="36"/>
      <c r="J137" s="37"/>
      <c r="K137" s="60"/>
      <c r="M137" s="61"/>
      <c r="N137" s="61"/>
      <c r="O137" s="61"/>
      <c r="P137" s="61"/>
      <c r="Q137" s="61"/>
      <c r="R137" s="61"/>
      <c r="S137" s="62"/>
      <c r="T137" s="62"/>
      <c r="U137" s="62"/>
    </row>
    <row r="138" spans="1:21" ht="15.75" customHeight="1" x14ac:dyDescent="0.3">
      <c r="A138" s="36"/>
      <c r="B138" s="36"/>
      <c r="C138" s="6"/>
      <c r="D138" s="36"/>
      <c r="E138" s="36"/>
      <c r="F138" s="36"/>
      <c r="G138" s="6"/>
      <c r="H138" s="36"/>
      <c r="I138" s="36"/>
      <c r="J138" s="37"/>
      <c r="K138" s="60"/>
      <c r="M138" s="61"/>
      <c r="N138" s="61"/>
      <c r="O138" s="61"/>
      <c r="P138" s="61"/>
      <c r="Q138" s="61"/>
      <c r="R138" s="61"/>
      <c r="S138" s="62"/>
      <c r="T138" s="62"/>
      <c r="U138" s="62"/>
    </row>
    <row r="139" spans="1:21" ht="15.75" customHeight="1" x14ac:dyDescent="0.3">
      <c r="A139" s="36"/>
      <c r="B139" s="36"/>
      <c r="C139" s="6"/>
      <c r="D139" s="36"/>
      <c r="E139" s="36"/>
      <c r="F139" s="36"/>
      <c r="G139" s="6"/>
      <c r="H139" s="36"/>
      <c r="I139" s="36"/>
      <c r="J139" s="37"/>
      <c r="K139" s="60"/>
      <c r="M139" s="61"/>
      <c r="N139" s="61"/>
      <c r="O139" s="61"/>
      <c r="P139" s="61"/>
      <c r="Q139" s="61"/>
      <c r="R139" s="61"/>
      <c r="S139" s="62"/>
      <c r="T139" s="62"/>
      <c r="U139" s="62"/>
    </row>
    <row r="140" spans="1:21" ht="15.75" customHeight="1" x14ac:dyDescent="0.3">
      <c r="A140" s="36"/>
      <c r="B140" s="36"/>
      <c r="C140" s="6"/>
      <c r="D140" s="36"/>
      <c r="E140" s="36"/>
      <c r="F140" s="36"/>
      <c r="G140" s="6"/>
      <c r="H140" s="36"/>
      <c r="I140" s="36"/>
      <c r="J140" s="37"/>
      <c r="K140" s="60"/>
      <c r="M140" s="61"/>
      <c r="N140" s="61"/>
      <c r="O140" s="61"/>
      <c r="P140" s="61"/>
      <c r="Q140" s="61"/>
      <c r="R140" s="61"/>
      <c r="S140" s="62"/>
      <c r="T140" s="62"/>
      <c r="U140" s="62"/>
    </row>
    <row r="141" spans="1:21" ht="15.75" customHeight="1" x14ac:dyDescent="0.3">
      <c r="A141" s="36"/>
      <c r="B141" s="36"/>
      <c r="C141" s="6"/>
      <c r="D141" s="36"/>
      <c r="E141" s="36"/>
      <c r="F141" s="36"/>
      <c r="G141" s="6"/>
      <c r="H141" s="36"/>
      <c r="I141" s="36"/>
      <c r="J141" s="37"/>
      <c r="K141" s="60"/>
      <c r="M141" s="61"/>
      <c r="N141" s="61"/>
      <c r="O141" s="61"/>
      <c r="P141" s="61"/>
      <c r="Q141" s="61"/>
      <c r="R141" s="61"/>
      <c r="S141" s="62"/>
      <c r="T141" s="62"/>
      <c r="U141" s="62"/>
    </row>
    <row r="142" spans="1:21" ht="15.75" customHeight="1" x14ac:dyDescent="0.3">
      <c r="A142" s="36"/>
      <c r="B142" s="36"/>
      <c r="C142" s="6"/>
      <c r="D142" s="36"/>
      <c r="E142" s="36"/>
      <c r="F142" s="36"/>
      <c r="G142" s="6"/>
      <c r="H142" s="36"/>
      <c r="I142" s="36"/>
      <c r="J142" s="37"/>
      <c r="K142" s="60"/>
      <c r="M142" s="61"/>
      <c r="N142" s="61"/>
      <c r="O142" s="61"/>
      <c r="P142" s="61"/>
      <c r="Q142" s="61"/>
      <c r="R142" s="61"/>
      <c r="S142" s="62"/>
      <c r="T142" s="62"/>
      <c r="U142" s="62"/>
    </row>
    <row r="143" spans="1:21" ht="15.75" customHeight="1" x14ac:dyDescent="0.3">
      <c r="A143" s="36"/>
      <c r="B143" s="36"/>
      <c r="C143" s="6"/>
      <c r="D143" s="36"/>
      <c r="E143" s="36"/>
      <c r="F143" s="36"/>
      <c r="G143" s="6"/>
      <c r="H143" s="36"/>
      <c r="I143" s="36"/>
      <c r="J143" s="37"/>
      <c r="K143" s="60"/>
      <c r="M143" s="61"/>
      <c r="N143" s="61"/>
      <c r="O143" s="61"/>
      <c r="P143" s="61"/>
      <c r="Q143" s="61"/>
      <c r="R143" s="61"/>
      <c r="S143" s="62"/>
      <c r="T143" s="62"/>
      <c r="U143" s="62"/>
    </row>
    <row r="144" spans="1:21" ht="15.75" customHeight="1" x14ac:dyDescent="0.3">
      <c r="A144" s="36"/>
      <c r="B144" s="36"/>
      <c r="C144" s="6"/>
      <c r="D144" s="36"/>
      <c r="E144" s="36"/>
      <c r="F144" s="36"/>
      <c r="G144" s="6"/>
      <c r="H144" s="36"/>
      <c r="I144" s="36"/>
      <c r="J144" s="37"/>
      <c r="K144" s="60"/>
      <c r="M144" s="61"/>
      <c r="N144" s="61"/>
      <c r="O144" s="61"/>
      <c r="P144" s="61"/>
      <c r="Q144" s="61"/>
      <c r="R144" s="61"/>
      <c r="S144" s="62"/>
      <c r="T144" s="62"/>
      <c r="U144" s="62"/>
    </row>
    <row r="145" spans="1:21" ht="15.75" customHeight="1" x14ac:dyDescent="0.3">
      <c r="A145" s="36"/>
      <c r="B145" s="36"/>
      <c r="C145" s="6"/>
      <c r="D145" s="36"/>
      <c r="E145" s="36"/>
      <c r="F145" s="36"/>
      <c r="G145" s="6"/>
      <c r="H145" s="36"/>
      <c r="I145" s="36"/>
      <c r="J145" s="37"/>
      <c r="K145" s="60"/>
      <c r="M145" s="61"/>
      <c r="N145" s="61"/>
      <c r="O145" s="61"/>
      <c r="P145" s="61"/>
      <c r="Q145" s="61"/>
      <c r="R145" s="61"/>
      <c r="S145" s="62"/>
      <c r="T145" s="62"/>
      <c r="U145" s="62"/>
    </row>
    <row r="146" spans="1:21" ht="15.75" customHeight="1" x14ac:dyDescent="0.3">
      <c r="A146" s="36"/>
      <c r="B146" s="36"/>
      <c r="C146" s="6"/>
      <c r="D146" s="36"/>
      <c r="E146" s="36"/>
      <c r="F146" s="36"/>
      <c r="G146" s="6"/>
      <c r="H146" s="36"/>
      <c r="I146" s="36"/>
      <c r="J146" s="37"/>
      <c r="K146" s="60"/>
      <c r="M146" s="61"/>
      <c r="N146" s="61"/>
      <c r="O146" s="61"/>
      <c r="P146" s="61"/>
      <c r="Q146" s="61"/>
      <c r="R146" s="61"/>
      <c r="S146" s="62"/>
      <c r="T146" s="62"/>
      <c r="U146" s="62"/>
    </row>
    <row r="147" spans="1:21" ht="15.75" customHeight="1" x14ac:dyDescent="0.3">
      <c r="A147" s="36"/>
      <c r="B147" s="36"/>
      <c r="C147" s="6"/>
      <c r="D147" s="36"/>
      <c r="E147" s="36"/>
      <c r="F147" s="36"/>
      <c r="G147" s="6"/>
      <c r="H147" s="36"/>
      <c r="I147" s="36"/>
      <c r="J147" s="37"/>
      <c r="K147" s="60"/>
      <c r="M147" s="61"/>
      <c r="N147" s="61"/>
      <c r="O147" s="61"/>
      <c r="P147" s="61"/>
      <c r="Q147" s="61"/>
      <c r="R147" s="61"/>
      <c r="S147" s="62"/>
      <c r="T147" s="62"/>
      <c r="U147" s="62"/>
    </row>
    <row r="148" spans="1:21" ht="15.75" customHeight="1" x14ac:dyDescent="0.3">
      <c r="A148" s="36"/>
      <c r="B148" s="36"/>
      <c r="C148" s="6"/>
      <c r="D148" s="36"/>
      <c r="E148" s="36"/>
      <c r="F148" s="36"/>
      <c r="G148" s="6"/>
      <c r="H148" s="36"/>
      <c r="I148" s="36"/>
      <c r="J148" s="37"/>
      <c r="K148" s="60"/>
      <c r="M148" s="61"/>
      <c r="N148" s="61"/>
      <c r="O148" s="61"/>
      <c r="P148" s="61"/>
      <c r="Q148" s="61"/>
      <c r="R148" s="61"/>
      <c r="S148" s="62"/>
      <c r="T148" s="62"/>
      <c r="U148" s="62"/>
    </row>
    <row r="149" spans="1:21" ht="15.75" customHeight="1" x14ac:dyDescent="0.3">
      <c r="A149" s="36"/>
      <c r="B149" s="36"/>
      <c r="C149" s="6"/>
      <c r="D149" s="36"/>
      <c r="E149" s="36"/>
      <c r="F149" s="36"/>
      <c r="G149" s="6"/>
      <c r="H149" s="36"/>
      <c r="I149" s="36"/>
      <c r="J149" s="37"/>
      <c r="K149" s="60"/>
      <c r="M149" s="61"/>
      <c r="N149" s="61"/>
      <c r="O149" s="61"/>
      <c r="P149" s="61"/>
      <c r="Q149" s="61"/>
      <c r="R149" s="61"/>
      <c r="S149" s="62"/>
      <c r="T149" s="62"/>
      <c r="U149" s="62"/>
    </row>
    <row r="150" spans="1:21" ht="15.75" customHeight="1" x14ac:dyDescent="0.3">
      <c r="A150" s="36"/>
      <c r="B150" s="36"/>
      <c r="C150" s="6"/>
      <c r="D150" s="36"/>
      <c r="E150" s="36"/>
      <c r="F150" s="36"/>
      <c r="G150" s="6"/>
      <c r="H150" s="36"/>
      <c r="I150" s="36"/>
      <c r="J150" s="37"/>
      <c r="K150" s="60"/>
      <c r="M150" s="61"/>
      <c r="N150" s="61"/>
      <c r="O150" s="61"/>
      <c r="P150" s="61"/>
      <c r="Q150" s="61"/>
      <c r="R150" s="61"/>
      <c r="S150" s="62"/>
      <c r="T150" s="62"/>
      <c r="U150" s="62"/>
    </row>
    <row r="151" spans="1:21" ht="15.75" customHeight="1" x14ac:dyDescent="0.3">
      <c r="A151" s="36"/>
      <c r="B151" s="36"/>
      <c r="C151" s="6"/>
      <c r="D151" s="36"/>
      <c r="E151" s="36"/>
      <c r="F151" s="36"/>
      <c r="G151" s="6"/>
      <c r="H151" s="36"/>
      <c r="I151" s="36"/>
      <c r="J151" s="37"/>
      <c r="K151" s="60"/>
      <c r="M151" s="61"/>
      <c r="N151" s="61"/>
      <c r="O151" s="61"/>
      <c r="P151" s="61"/>
      <c r="Q151" s="61"/>
      <c r="R151" s="61"/>
      <c r="S151" s="62"/>
      <c r="T151" s="62"/>
      <c r="U151" s="62"/>
    </row>
    <row r="152" spans="1:21" ht="15.75" customHeight="1" x14ac:dyDescent="0.3">
      <c r="A152" s="36"/>
      <c r="B152" s="36"/>
      <c r="C152" s="6"/>
      <c r="D152" s="36"/>
      <c r="E152" s="36"/>
      <c r="F152" s="36"/>
      <c r="G152" s="6"/>
      <c r="H152" s="36"/>
      <c r="I152" s="36"/>
      <c r="J152" s="37"/>
      <c r="K152" s="60"/>
      <c r="M152" s="61"/>
      <c r="N152" s="61"/>
      <c r="O152" s="61"/>
      <c r="P152" s="61"/>
      <c r="Q152" s="61"/>
      <c r="R152" s="61"/>
      <c r="S152" s="62"/>
      <c r="T152" s="62"/>
      <c r="U152" s="62"/>
    </row>
    <row r="153" spans="1:21" ht="15.75" customHeight="1" x14ac:dyDescent="0.3">
      <c r="A153" s="36"/>
      <c r="B153" s="36"/>
      <c r="C153" s="6"/>
      <c r="D153" s="36"/>
      <c r="E153" s="36"/>
      <c r="F153" s="36"/>
      <c r="G153" s="6"/>
      <c r="H153" s="36"/>
      <c r="I153" s="36"/>
      <c r="J153" s="37"/>
      <c r="K153" s="60"/>
      <c r="M153" s="61"/>
      <c r="N153" s="61"/>
      <c r="O153" s="61"/>
      <c r="P153" s="61"/>
      <c r="Q153" s="61"/>
      <c r="R153" s="61"/>
      <c r="S153" s="62"/>
      <c r="T153" s="62"/>
      <c r="U153" s="62"/>
    </row>
    <row r="154" spans="1:21" ht="15.75" customHeight="1" x14ac:dyDescent="0.3">
      <c r="A154" s="36"/>
      <c r="B154" s="36"/>
      <c r="C154" s="6"/>
      <c r="D154" s="36"/>
      <c r="E154" s="36"/>
      <c r="F154" s="36"/>
      <c r="G154" s="6"/>
      <c r="H154" s="36"/>
      <c r="I154" s="36"/>
      <c r="J154" s="37"/>
      <c r="K154" s="60"/>
      <c r="M154" s="61"/>
      <c r="N154" s="61"/>
      <c r="O154" s="61"/>
      <c r="P154" s="61"/>
      <c r="Q154" s="61"/>
      <c r="R154" s="61"/>
      <c r="S154" s="62"/>
      <c r="T154" s="62"/>
      <c r="U154" s="62"/>
    </row>
    <row r="155" spans="1:21" ht="15.75" customHeight="1" x14ac:dyDescent="0.3">
      <c r="A155" s="36"/>
      <c r="B155" s="36"/>
      <c r="C155" s="6"/>
      <c r="D155" s="36"/>
      <c r="E155" s="36"/>
      <c r="F155" s="36"/>
      <c r="G155" s="6"/>
      <c r="H155" s="36"/>
      <c r="I155" s="36"/>
      <c r="J155" s="37"/>
      <c r="K155" s="60"/>
      <c r="M155" s="61"/>
      <c r="N155" s="61"/>
      <c r="O155" s="61"/>
      <c r="P155" s="61"/>
      <c r="Q155" s="61"/>
      <c r="R155" s="61"/>
      <c r="S155" s="62"/>
      <c r="T155" s="62"/>
      <c r="U155" s="62"/>
    </row>
    <row r="156" spans="1:21" ht="15.75" customHeight="1" x14ac:dyDescent="0.3">
      <c r="A156" s="36"/>
      <c r="B156" s="36"/>
      <c r="C156" s="6"/>
      <c r="D156" s="36"/>
      <c r="E156" s="36"/>
      <c r="F156" s="36"/>
      <c r="G156" s="6"/>
      <c r="H156" s="36"/>
      <c r="I156" s="36"/>
      <c r="J156" s="37"/>
      <c r="K156" s="60"/>
      <c r="M156" s="61"/>
      <c r="N156" s="61"/>
      <c r="O156" s="61"/>
      <c r="P156" s="61"/>
      <c r="Q156" s="61"/>
      <c r="R156" s="61"/>
      <c r="S156" s="62"/>
      <c r="T156" s="62"/>
      <c r="U156" s="62"/>
    </row>
    <row r="157" spans="1:21" ht="15.75" customHeight="1" x14ac:dyDescent="0.3">
      <c r="A157" s="36"/>
      <c r="B157" s="36"/>
      <c r="C157" s="6"/>
      <c r="D157" s="36"/>
      <c r="E157" s="36"/>
      <c r="F157" s="36"/>
      <c r="G157" s="6"/>
      <c r="H157" s="36"/>
      <c r="I157" s="36"/>
      <c r="J157" s="37"/>
      <c r="K157" s="60"/>
      <c r="M157" s="61"/>
      <c r="N157" s="61"/>
      <c r="O157" s="61"/>
      <c r="P157" s="61"/>
      <c r="Q157" s="61"/>
      <c r="R157" s="61"/>
      <c r="S157" s="62"/>
      <c r="T157" s="62"/>
      <c r="U157" s="62"/>
    </row>
    <row r="158" spans="1:21" ht="15.75" customHeight="1" x14ac:dyDescent="0.3">
      <c r="A158" s="36"/>
      <c r="B158" s="36"/>
      <c r="C158" s="6"/>
      <c r="D158" s="36"/>
      <c r="E158" s="36"/>
      <c r="F158" s="36"/>
      <c r="G158" s="6"/>
      <c r="H158" s="36"/>
      <c r="I158" s="36"/>
      <c r="J158" s="37"/>
      <c r="K158" s="60"/>
      <c r="M158" s="61"/>
      <c r="N158" s="61"/>
      <c r="O158" s="61"/>
      <c r="P158" s="61"/>
      <c r="Q158" s="61"/>
      <c r="R158" s="61"/>
      <c r="S158" s="62"/>
      <c r="T158" s="62"/>
      <c r="U158" s="62"/>
    </row>
    <row r="159" spans="1:21" ht="15.75" customHeight="1" x14ac:dyDescent="0.3">
      <c r="A159" s="36"/>
      <c r="B159" s="36"/>
      <c r="C159" s="6"/>
      <c r="D159" s="36"/>
      <c r="E159" s="36"/>
      <c r="F159" s="36"/>
      <c r="G159" s="6"/>
      <c r="H159" s="36"/>
      <c r="I159" s="36"/>
      <c r="J159" s="37"/>
      <c r="K159" s="60"/>
      <c r="M159" s="61"/>
      <c r="N159" s="61"/>
      <c r="O159" s="61"/>
      <c r="P159" s="61"/>
      <c r="Q159" s="61"/>
      <c r="R159" s="61"/>
      <c r="S159" s="62"/>
      <c r="T159" s="62"/>
      <c r="U159" s="62"/>
    </row>
    <row r="160" spans="1:21" ht="15.75" customHeight="1" x14ac:dyDescent="0.3">
      <c r="A160" s="36"/>
      <c r="B160" s="36"/>
      <c r="C160" s="6"/>
      <c r="D160" s="36"/>
      <c r="E160" s="36"/>
      <c r="F160" s="36"/>
      <c r="G160" s="6"/>
      <c r="H160" s="36"/>
      <c r="I160" s="36"/>
      <c r="J160" s="37"/>
      <c r="K160" s="60"/>
      <c r="M160" s="61"/>
      <c r="N160" s="61"/>
      <c r="O160" s="61"/>
      <c r="P160" s="61"/>
      <c r="Q160" s="61"/>
      <c r="R160" s="61"/>
      <c r="S160" s="62"/>
      <c r="T160" s="62"/>
      <c r="U160" s="62"/>
    </row>
    <row r="161" spans="1:21" ht="15.75" customHeight="1" x14ac:dyDescent="0.3">
      <c r="A161" s="36"/>
      <c r="B161" s="36"/>
      <c r="C161" s="6"/>
      <c r="D161" s="36"/>
      <c r="E161" s="36"/>
      <c r="F161" s="36"/>
      <c r="G161" s="6"/>
      <c r="H161" s="36"/>
      <c r="I161" s="36"/>
      <c r="J161" s="37"/>
      <c r="K161" s="60"/>
      <c r="M161" s="61"/>
      <c r="N161" s="61"/>
      <c r="O161" s="61"/>
      <c r="P161" s="61"/>
      <c r="Q161" s="61"/>
      <c r="R161" s="61"/>
      <c r="S161" s="62"/>
      <c r="T161" s="62"/>
      <c r="U161" s="62"/>
    </row>
    <row r="162" spans="1:21" ht="15.75" customHeight="1" x14ac:dyDescent="0.3">
      <c r="A162" s="36"/>
      <c r="B162" s="36"/>
      <c r="C162" s="6"/>
      <c r="D162" s="36"/>
      <c r="E162" s="36"/>
      <c r="F162" s="36"/>
      <c r="G162" s="6"/>
      <c r="H162" s="36"/>
      <c r="I162" s="36"/>
      <c r="J162" s="37"/>
      <c r="K162" s="60"/>
      <c r="M162" s="61"/>
      <c r="N162" s="61"/>
      <c r="O162" s="61"/>
      <c r="P162" s="61"/>
      <c r="Q162" s="61"/>
      <c r="R162" s="61"/>
      <c r="S162" s="62"/>
      <c r="T162" s="62"/>
      <c r="U162" s="62"/>
    </row>
    <row r="163" spans="1:21" ht="15.75" customHeight="1" x14ac:dyDescent="0.3">
      <c r="A163" s="36"/>
      <c r="B163" s="36"/>
      <c r="C163" s="6"/>
      <c r="D163" s="36"/>
      <c r="E163" s="36"/>
      <c r="F163" s="36"/>
      <c r="G163" s="6"/>
      <c r="H163" s="36"/>
      <c r="I163" s="36"/>
      <c r="J163" s="37"/>
      <c r="K163" s="60"/>
      <c r="M163" s="61"/>
      <c r="N163" s="61"/>
      <c r="O163" s="61"/>
      <c r="P163" s="61"/>
      <c r="Q163" s="61"/>
      <c r="R163" s="61"/>
      <c r="S163" s="62"/>
      <c r="T163" s="62"/>
      <c r="U163" s="62"/>
    </row>
    <row r="164" spans="1:21" ht="15.75" customHeight="1" x14ac:dyDescent="0.3">
      <c r="A164" s="36"/>
      <c r="B164" s="36"/>
      <c r="C164" s="6"/>
      <c r="D164" s="36"/>
      <c r="E164" s="36"/>
      <c r="F164" s="36"/>
      <c r="G164" s="6"/>
      <c r="H164" s="36"/>
      <c r="I164" s="36"/>
      <c r="J164" s="37"/>
      <c r="K164" s="60"/>
      <c r="M164" s="61"/>
      <c r="N164" s="61"/>
      <c r="O164" s="61"/>
      <c r="P164" s="61"/>
      <c r="Q164" s="61"/>
      <c r="R164" s="61"/>
      <c r="S164" s="62"/>
      <c r="T164" s="62"/>
      <c r="U164" s="62"/>
    </row>
    <row r="165" spans="1:21" ht="15.75" customHeight="1" x14ac:dyDescent="0.3">
      <c r="A165" s="36"/>
      <c r="B165" s="36"/>
      <c r="C165" s="6"/>
      <c r="D165" s="36"/>
      <c r="E165" s="36"/>
      <c r="F165" s="36"/>
      <c r="G165" s="6"/>
      <c r="H165" s="36"/>
      <c r="I165" s="36"/>
      <c r="J165" s="37"/>
      <c r="K165" s="60"/>
      <c r="M165" s="61"/>
      <c r="N165" s="61"/>
      <c r="O165" s="61"/>
      <c r="P165" s="61"/>
      <c r="Q165" s="61"/>
      <c r="R165" s="61"/>
      <c r="S165" s="62"/>
      <c r="T165" s="62"/>
      <c r="U165" s="62"/>
    </row>
    <row r="166" spans="1:21" ht="15.75" customHeight="1" x14ac:dyDescent="0.3">
      <c r="A166" s="36"/>
      <c r="B166" s="36"/>
      <c r="C166" s="6"/>
      <c r="D166" s="36"/>
      <c r="E166" s="36"/>
      <c r="F166" s="36"/>
      <c r="G166" s="6"/>
      <c r="H166" s="36"/>
      <c r="I166" s="36"/>
      <c r="J166" s="37"/>
      <c r="K166" s="60"/>
      <c r="M166" s="61"/>
      <c r="N166" s="61"/>
      <c r="O166" s="61"/>
      <c r="P166" s="61"/>
      <c r="Q166" s="61"/>
      <c r="R166" s="61"/>
      <c r="S166" s="62"/>
      <c r="T166" s="62"/>
      <c r="U166" s="62"/>
    </row>
    <row r="167" spans="1:21" ht="15.75" customHeight="1" x14ac:dyDescent="0.3">
      <c r="A167" s="36"/>
      <c r="B167" s="36"/>
      <c r="C167" s="6"/>
      <c r="D167" s="36"/>
      <c r="E167" s="36"/>
      <c r="F167" s="36"/>
      <c r="G167" s="6"/>
      <c r="H167" s="36"/>
      <c r="I167" s="36"/>
      <c r="J167" s="37"/>
      <c r="K167" s="60"/>
      <c r="M167" s="61"/>
      <c r="N167" s="61"/>
      <c r="O167" s="61"/>
      <c r="P167" s="61"/>
      <c r="Q167" s="61"/>
      <c r="R167" s="61"/>
      <c r="S167" s="62"/>
      <c r="T167" s="62"/>
      <c r="U167" s="62"/>
    </row>
    <row r="168" spans="1:21" ht="15.75" customHeight="1" x14ac:dyDescent="0.3">
      <c r="A168" s="36"/>
      <c r="B168" s="36"/>
      <c r="C168" s="6"/>
      <c r="D168" s="36"/>
      <c r="E168" s="36"/>
      <c r="F168" s="36"/>
      <c r="G168" s="6"/>
      <c r="H168" s="36"/>
      <c r="I168" s="36"/>
      <c r="J168" s="37"/>
      <c r="K168" s="60"/>
      <c r="M168" s="61"/>
      <c r="N168" s="61"/>
      <c r="O168" s="61"/>
      <c r="P168" s="61"/>
      <c r="Q168" s="61"/>
      <c r="R168" s="61"/>
      <c r="S168" s="62"/>
      <c r="T168" s="62"/>
      <c r="U168" s="62"/>
    </row>
    <row r="169" spans="1:21" ht="15.75" customHeight="1" x14ac:dyDescent="0.3">
      <c r="A169" s="36"/>
      <c r="B169" s="36"/>
      <c r="C169" s="6"/>
      <c r="D169" s="36"/>
      <c r="E169" s="36"/>
      <c r="F169" s="36"/>
      <c r="G169" s="6"/>
      <c r="H169" s="36"/>
      <c r="I169" s="36"/>
      <c r="J169" s="37"/>
      <c r="K169" s="60"/>
      <c r="M169" s="61"/>
      <c r="N169" s="61"/>
      <c r="O169" s="61"/>
      <c r="P169" s="61"/>
      <c r="Q169" s="61"/>
      <c r="R169" s="61"/>
      <c r="S169" s="62"/>
      <c r="T169" s="62"/>
      <c r="U169" s="62"/>
    </row>
    <row r="170" spans="1:21" ht="15.75" customHeight="1" x14ac:dyDescent="0.3">
      <c r="A170" s="36"/>
      <c r="B170" s="36"/>
      <c r="C170" s="6"/>
      <c r="D170" s="36"/>
      <c r="E170" s="36"/>
      <c r="F170" s="36"/>
      <c r="G170" s="6"/>
      <c r="H170" s="36"/>
      <c r="I170" s="36"/>
      <c r="J170" s="37"/>
      <c r="K170" s="60"/>
      <c r="M170" s="61"/>
      <c r="N170" s="61"/>
      <c r="O170" s="61"/>
      <c r="P170" s="61"/>
      <c r="Q170" s="61"/>
      <c r="R170" s="61"/>
      <c r="S170" s="62"/>
      <c r="T170" s="62"/>
      <c r="U170" s="62"/>
    </row>
    <row r="171" spans="1:21" ht="15.75" customHeight="1" x14ac:dyDescent="0.3">
      <c r="A171" s="36"/>
      <c r="B171" s="36"/>
      <c r="C171" s="6"/>
      <c r="D171" s="36"/>
      <c r="E171" s="36"/>
      <c r="F171" s="36"/>
      <c r="G171" s="6"/>
      <c r="H171" s="36"/>
      <c r="I171" s="36"/>
      <c r="J171" s="37"/>
      <c r="K171" s="60"/>
      <c r="M171" s="61"/>
      <c r="N171" s="61"/>
      <c r="O171" s="61"/>
      <c r="P171" s="61"/>
      <c r="Q171" s="61"/>
      <c r="R171" s="61"/>
      <c r="S171" s="62"/>
      <c r="T171" s="62"/>
      <c r="U171" s="62"/>
    </row>
    <row r="172" spans="1:21" ht="15.75" customHeight="1" x14ac:dyDescent="0.3">
      <c r="A172" s="36"/>
      <c r="B172" s="36"/>
      <c r="C172" s="6"/>
      <c r="D172" s="36"/>
      <c r="E172" s="36"/>
      <c r="F172" s="36"/>
      <c r="G172" s="6"/>
      <c r="H172" s="36"/>
      <c r="I172" s="36"/>
      <c r="J172" s="37"/>
      <c r="K172" s="60"/>
      <c r="M172" s="61"/>
      <c r="N172" s="61"/>
      <c r="O172" s="61"/>
      <c r="P172" s="61"/>
      <c r="Q172" s="61"/>
      <c r="R172" s="61"/>
      <c r="S172" s="62"/>
      <c r="T172" s="62"/>
      <c r="U172" s="62"/>
    </row>
    <row r="173" spans="1:21" ht="15.75" customHeight="1" x14ac:dyDescent="0.3">
      <c r="A173" s="36"/>
      <c r="B173" s="36"/>
      <c r="C173" s="6"/>
      <c r="D173" s="36"/>
      <c r="E173" s="36"/>
      <c r="F173" s="36"/>
      <c r="G173" s="6"/>
      <c r="H173" s="36"/>
      <c r="I173" s="36"/>
      <c r="J173" s="37"/>
      <c r="K173" s="60"/>
      <c r="M173" s="61"/>
      <c r="N173" s="61"/>
      <c r="O173" s="61"/>
      <c r="P173" s="61"/>
      <c r="Q173" s="61"/>
      <c r="R173" s="61"/>
      <c r="S173" s="62"/>
      <c r="T173" s="62"/>
      <c r="U173" s="62"/>
    </row>
    <row r="174" spans="1:21" ht="15.75" customHeight="1" x14ac:dyDescent="0.3">
      <c r="A174" s="36"/>
      <c r="B174" s="36"/>
      <c r="C174" s="6"/>
      <c r="D174" s="36"/>
      <c r="E174" s="36"/>
      <c r="F174" s="36"/>
      <c r="G174" s="6"/>
      <c r="H174" s="36"/>
      <c r="I174" s="36"/>
      <c r="J174" s="37"/>
      <c r="K174" s="60"/>
      <c r="M174" s="61"/>
      <c r="N174" s="61"/>
      <c r="O174" s="61"/>
      <c r="P174" s="61"/>
      <c r="Q174" s="61"/>
      <c r="R174" s="61"/>
      <c r="S174" s="62"/>
      <c r="T174" s="62"/>
      <c r="U174" s="62"/>
    </row>
    <row r="175" spans="1:21" ht="15.75" customHeight="1" x14ac:dyDescent="0.3">
      <c r="A175" s="36"/>
      <c r="B175" s="36"/>
      <c r="C175" s="6"/>
      <c r="D175" s="36"/>
      <c r="E175" s="36"/>
      <c r="F175" s="36"/>
      <c r="G175" s="6"/>
      <c r="H175" s="36"/>
      <c r="I175" s="36"/>
      <c r="J175" s="37"/>
      <c r="K175" s="60"/>
      <c r="M175" s="61"/>
      <c r="N175" s="61"/>
      <c r="O175" s="61"/>
      <c r="P175" s="61"/>
      <c r="Q175" s="61"/>
      <c r="R175" s="61"/>
      <c r="S175" s="62"/>
      <c r="T175" s="62"/>
      <c r="U175" s="62"/>
    </row>
    <row r="176" spans="1:21" ht="15.75" customHeight="1" x14ac:dyDescent="0.3">
      <c r="A176" s="36"/>
      <c r="B176" s="36"/>
      <c r="C176" s="6"/>
      <c r="D176" s="36"/>
      <c r="E176" s="36"/>
      <c r="F176" s="36"/>
      <c r="G176" s="6"/>
      <c r="H176" s="36"/>
      <c r="I176" s="36"/>
      <c r="J176" s="37"/>
      <c r="K176" s="60"/>
      <c r="M176" s="61"/>
      <c r="N176" s="61"/>
      <c r="O176" s="61"/>
      <c r="P176" s="61"/>
      <c r="Q176" s="61"/>
      <c r="R176" s="61"/>
      <c r="S176" s="62"/>
      <c r="T176" s="62"/>
      <c r="U176" s="62"/>
    </row>
    <row r="177" spans="1:21" ht="15.75" customHeight="1" x14ac:dyDescent="0.3">
      <c r="A177" s="36"/>
      <c r="B177" s="36"/>
      <c r="C177" s="6"/>
      <c r="D177" s="36"/>
      <c r="E177" s="36"/>
      <c r="F177" s="36"/>
      <c r="G177" s="6"/>
      <c r="H177" s="36"/>
      <c r="I177" s="36"/>
      <c r="J177" s="37"/>
      <c r="K177" s="60"/>
      <c r="M177" s="61"/>
      <c r="N177" s="61"/>
      <c r="O177" s="61"/>
      <c r="P177" s="61"/>
      <c r="Q177" s="61"/>
      <c r="R177" s="61"/>
      <c r="S177" s="62"/>
      <c r="T177" s="62"/>
      <c r="U177" s="62"/>
    </row>
    <row r="178" spans="1:21" ht="15.75" customHeight="1" x14ac:dyDescent="0.3">
      <c r="A178" s="36"/>
      <c r="B178" s="36"/>
      <c r="C178" s="6"/>
      <c r="D178" s="36"/>
      <c r="E178" s="36"/>
      <c r="F178" s="36"/>
      <c r="G178" s="6"/>
      <c r="H178" s="36"/>
      <c r="I178" s="36"/>
      <c r="J178" s="37"/>
      <c r="K178" s="60"/>
      <c r="M178" s="61"/>
      <c r="N178" s="61"/>
      <c r="O178" s="61"/>
      <c r="P178" s="61"/>
      <c r="Q178" s="61"/>
      <c r="R178" s="61"/>
      <c r="S178" s="62"/>
      <c r="T178" s="62"/>
      <c r="U178" s="62"/>
    </row>
    <row r="179" spans="1:21" ht="15.75" customHeight="1" x14ac:dyDescent="0.3">
      <c r="A179" s="36"/>
      <c r="B179" s="36"/>
      <c r="C179" s="6"/>
      <c r="D179" s="36"/>
      <c r="E179" s="36"/>
      <c r="F179" s="36"/>
      <c r="G179" s="6"/>
      <c r="H179" s="36"/>
      <c r="I179" s="36"/>
      <c r="J179" s="37"/>
      <c r="K179" s="60"/>
      <c r="M179" s="61"/>
      <c r="N179" s="61"/>
      <c r="O179" s="61"/>
      <c r="P179" s="61"/>
      <c r="Q179" s="61"/>
      <c r="R179" s="61"/>
      <c r="S179" s="62"/>
      <c r="T179" s="62"/>
      <c r="U179" s="62"/>
    </row>
    <row r="180" spans="1:21" ht="15.75" customHeight="1" x14ac:dyDescent="0.3">
      <c r="A180" s="36"/>
      <c r="B180" s="36"/>
      <c r="C180" s="6"/>
      <c r="D180" s="36"/>
      <c r="E180" s="36"/>
      <c r="F180" s="36"/>
      <c r="G180" s="6"/>
      <c r="H180" s="36"/>
      <c r="I180" s="36"/>
      <c r="J180" s="37"/>
      <c r="K180" s="60"/>
      <c r="M180" s="61"/>
      <c r="N180" s="61"/>
      <c r="O180" s="61"/>
      <c r="P180" s="61"/>
      <c r="Q180" s="61"/>
      <c r="R180" s="61"/>
      <c r="S180" s="62"/>
      <c r="T180" s="62"/>
      <c r="U180" s="62"/>
    </row>
    <row r="181" spans="1:21" ht="15.75" customHeight="1" x14ac:dyDescent="0.3">
      <c r="A181" s="36"/>
      <c r="B181" s="36"/>
      <c r="C181" s="6"/>
      <c r="D181" s="36"/>
      <c r="E181" s="36"/>
      <c r="F181" s="36"/>
      <c r="G181" s="6"/>
      <c r="H181" s="36"/>
      <c r="I181" s="36"/>
      <c r="J181" s="37"/>
      <c r="K181" s="60"/>
      <c r="M181" s="61"/>
      <c r="N181" s="61"/>
      <c r="O181" s="61"/>
      <c r="P181" s="61"/>
      <c r="Q181" s="61"/>
      <c r="R181" s="61"/>
      <c r="S181" s="62"/>
      <c r="T181" s="62"/>
      <c r="U181" s="62"/>
    </row>
    <row r="182" spans="1:21" ht="15.75" customHeight="1" x14ac:dyDescent="0.3">
      <c r="A182" s="36"/>
      <c r="B182" s="36"/>
      <c r="C182" s="6"/>
      <c r="D182" s="36"/>
      <c r="E182" s="36"/>
      <c r="F182" s="36"/>
      <c r="G182" s="6"/>
      <c r="H182" s="36"/>
      <c r="I182" s="36"/>
      <c r="J182" s="37"/>
      <c r="K182" s="60"/>
      <c r="M182" s="61"/>
      <c r="N182" s="61"/>
      <c r="O182" s="61"/>
      <c r="P182" s="61"/>
      <c r="Q182" s="61"/>
      <c r="R182" s="61"/>
      <c r="S182" s="62"/>
      <c r="T182" s="62"/>
      <c r="U182" s="62"/>
    </row>
    <row r="183" spans="1:21" ht="15.75" customHeight="1" x14ac:dyDescent="0.3">
      <c r="A183" s="36"/>
      <c r="B183" s="36"/>
      <c r="C183" s="6"/>
      <c r="D183" s="36"/>
      <c r="E183" s="36"/>
      <c r="F183" s="36"/>
      <c r="G183" s="6"/>
      <c r="H183" s="36"/>
      <c r="I183" s="36"/>
      <c r="J183" s="37"/>
      <c r="K183" s="60"/>
      <c r="M183" s="61"/>
      <c r="N183" s="61"/>
      <c r="O183" s="61"/>
      <c r="P183" s="61"/>
      <c r="Q183" s="61"/>
      <c r="R183" s="61"/>
      <c r="S183" s="62"/>
      <c r="T183" s="62"/>
      <c r="U183" s="62"/>
    </row>
    <row r="184" spans="1:21" ht="15.75" customHeight="1" x14ac:dyDescent="0.3">
      <c r="A184" s="36"/>
      <c r="B184" s="36"/>
      <c r="C184" s="6"/>
      <c r="D184" s="36"/>
      <c r="E184" s="36"/>
      <c r="F184" s="36"/>
      <c r="G184" s="6"/>
      <c r="H184" s="36"/>
      <c r="I184" s="36"/>
      <c r="J184" s="37"/>
      <c r="K184" s="60"/>
      <c r="M184" s="61"/>
      <c r="N184" s="61"/>
      <c r="O184" s="61"/>
      <c r="P184" s="61"/>
      <c r="Q184" s="61"/>
      <c r="R184" s="61"/>
      <c r="S184" s="62"/>
      <c r="T184" s="62"/>
      <c r="U184" s="62"/>
    </row>
    <row r="185" spans="1:21" ht="15.75" customHeight="1" x14ac:dyDescent="0.3">
      <c r="A185" s="36"/>
      <c r="B185" s="36"/>
      <c r="C185" s="6"/>
      <c r="D185" s="36"/>
      <c r="E185" s="36"/>
      <c r="F185" s="36"/>
      <c r="G185" s="6"/>
      <c r="H185" s="36"/>
      <c r="I185" s="36"/>
      <c r="J185" s="37"/>
      <c r="K185" s="60"/>
      <c r="M185" s="61"/>
      <c r="N185" s="61"/>
      <c r="O185" s="61"/>
      <c r="P185" s="61"/>
      <c r="Q185" s="61"/>
      <c r="R185" s="61"/>
      <c r="S185" s="62"/>
      <c r="T185" s="62"/>
      <c r="U185" s="62"/>
    </row>
    <row r="186" spans="1:21" ht="15.75" customHeight="1" x14ac:dyDescent="0.3">
      <c r="A186" s="36"/>
      <c r="B186" s="36"/>
      <c r="C186" s="6"/>
      <c r="D186" s="36"/>
      <c r="E186" s="36"/>
      <c r="F186" s="36"/>
      <c r="G186" s="6"/>
      <c r="H186" s="36"/>
      <c r="I186" s="36"/>
      <c r="J186" s="37"/>
      <c r="K186" s="60"/>
      <c r="M186" s="61"/>
      <c r="N186" s="61"/>
      <c r="O186" s="61"/>
      <c r="P186" s="61"/>
      <c r="Q186" s="61"/>
      <c r="R186" s="61"/>
      <c r="S186" s="62"/>
      <c r="T186" s="62"/>
      <c r="U186" s="62"/>
    </row>
    <row r="187" spans="1:21" ht="15.75" customHeight="1" x14ac:dyDescent="0.3">
      <c r="A187" s="36"/>
      <c r="B187" s="36"/>
      <c r="C187" s="6"/>
      <c r="D187" s="36"/>
      <c r="E187" s="36"/>
      <c r="F187" s="36"/>
      <c r="G187" s="6"/>
      <c r="H187" s="36"/>
      <c r="I187" s="36"/>
      <c r="J187" s="37"/>
      <c r="K187" s="60"/>
      <c r="M187" s="61"/>
      <c r="N187" s="61"/>
      <c r="O187" s="61"/>
      <c r="P187" s="61"/>
      <c r="Q187" s="61"/>
      <c r="R187" s="61"/>
      <c r="S187" s="62"/>
      <c r="T187" s="62"/>
      <c r="U187" s="62"/>
    </row>
    <row r="188" spans="1:21" ht="15.75" customHeight="1" x14ac:dyDescent="0.3">
      <c r="A188" s="36"/>
      <c r="B188" s="36"/>
      <c r="C188" s="6"/>
      <c r="D188" s="36"/>
      <c r="E188" s="36"/>
      <c r="F188" s="36"/>
      <c r="G188" s="6"/>
      <c r="H188" s="36"/>
      <c r="I188" s="36"/>
      <c r="J188" s="37"/>
      <c r="K188" s="60"/>
      <c r="M188" s="61"/>
      <c r="N188" s="61"/>
      <c r="O188" s="61"/>
      <c r="P188" s="61"/>
      <c r="Q188" s="61"/>
      <c r="R188" s="61"/>
      <c r="S188" s="62"/>
      <c r="T188" s="62"/>
      <c r="U188" s="62"/>
    </row>
    <row r="189" spans="1:21" ht="15.75" customHeight="1" x14ac:dyDescent="0.3">
      <c r="A189" s="36"/>
      <c r="B189" s="36"/>
      <c r="C189" s="6"/>
      <c r="D189" s="36"/>
      <c r="E189" s="36"/>
      <c r="F189" s="36"/>
      <c r="G189" s="6"/>
      <c r="H189" s="36"/>
      <c r="I189" s="36"/>
      <c r="J189" s="37"/>
      <c r="K189" s="60"/>
      <c r="M189" s="61"/>
      <c r="N189" s="61"/>
      <c r="O189" s="61"/>
      <c r="P189" s="61"/>
      <c r="Q189" s="61"/>
      <c r="R189" s="61"/>
      <c r="S189" s="62"/>
      <c r="T189" s="62"/>
      <c r="U189" s="62"/>
    </row>
    <row r="190" spans="1:21" ht="15.75" customHeight="1" x14ac:dyDescent="0.3">
      <c r="A190" s="36"/>
      <c r="B190" s="36"/>
      <c r="C190" s="6"/>
      <c r="D190" s="36"/>
      <c r="E190" s="36"/>
      <c r="F190" s="36"/>
      <c r="G190" s="6"/>
      <c r="H190" s="36"/>
      <c r="I190" s="36"/>
      <c r="J190" s="37"/>
      <c r="K190" s="60"/>
      <c r="M190" s="61"/>
      <c r="N190" s="61"/>
      <c r="O190" s="61"/>
      <c r="P190" s="61"/>
      <c r="Q190" s="61"/>
      <c r="R190" s="61"/>
      <c r="S190" s="62"/>
      <c r="T190" s="62"/>
      <c r="U190" s="62"/>
    </row>
    <row r="191" spans="1:21" ht="15.75" customHeight="1" x14ac:dyDescent="0.3">
      <c r="A191" s="36"/>
      <c r="B191" s="36"/>
      <c r="C191" s="6"/>
      <c r="D191" s="36"/>
      <c r="E191" s="36"/>
      <c r="F191" s="36"/>
      <c r="G191" s="6"/>
      <c r="H191" s="36"/>
      <c r="I191" s="36"/>
      <c r="J191" s="37"/>
      <c r="K191" s="60"/>
      <c r="M191" s="61"/>
      <c r="N191" s="61"/>
      <c r="O191" s="61"/>
      <c r="P191" s="61"/>
      <c r="Q191" s="61"/>
      <c r="R191" s="61"/>
      <c r="S191" s="62"/>
      <c r="T191" s="62"/>
      <c r="U191" s="62"/>
    </row>
    <row r="192" spans="1:21" ht="15.75" customHeight="1" x14ac:dyDescent="0.3">
      <c r="A192" s="36"/>
      <c r="B192" s="36"/>
      <c r="C192" s="6"/>
      <c r="D192" s="36"/>
      <c r="E192" s="36"/>
      <c r="F192" s="36"/>
      <c r="G192" s="6"/>
      <c r="H192" s="36"/>
      <c r="I192" s="36"/>
      <c r="J192" s="37"/>
      <c r="K192" s="60"/>
      <c r="M192" s="61"/>
      <c r="N192" s="61"/>
      <c r="O192" s="61"/>
      <c r="P192" s="61"/>
      <c r="Q192" s="61"/>
      <c r="R192" s="61"/>
      <c r="S192" s="62"/>
      <c r="T192" s="62"/>
      <c r="U192" s="62"/>
    </row>
    <row r="193" spans="1:21" ht="15.75" customHeight="1" x14ac:dyDescent="0.3">
      <c r="A193" s="36"/>
      <c r="B193" s="36"/>
      <c r="C193" s="6"/>
      <c r="D193" s="36"/>
      <c r="E193" s="36"/>
      <c r="F193" s="36"/>
      <c r="G193" s="6"/>
      <c r="H193" s="36"/>
      <c r="I193" s="36"/>
      <c r="J193" s="37"/>
      <c r="K193" s="60"/>
      <c r="M193" s="61"/>
      <c r="N193" s="61"/>
      <c r="O193" s="61"/>
      <c r="P193" s="61"/>
      <c r="Q193" s="61"/>
      <c r="R193" s="61"/>
      <c r="S193" s="62"/>
      <c r="T193" s="62"/>
      <c r="U193" s="62"/>
    </row>
    <row r="194" spans="1:21" ht="15.75" customHeight="1" x14ac:dyDescent="0.3">
      <c r="A194" s="36"/>
      <c r="B194" s="36"/>
      <c r="C194" s="6"/>
      <c r="D194" s="36"/>
      <c r="E194" s="36"/>
      <c r="F194" s="36"/>
      <c r="G194" s="6"/>
      <c r="H194" s="36"/>
      <c r="I194" s="36"/>
      <c r="J194" s="37"/>
      <c r="K194" s="60"/>
      <c r="M194" s="61"/>
      <c r="N194" s="61"/>
      <c r="O194" s="61"/>
      <c r="P194" s="61"/>
      <c r="Q194" s="61"/>
      <c r="R194" s="61"/>
      <c r="S194" s="62"/>
      <c r="T194" s="62"/>
      <c r="U194" s="62"/>
    </row>
    <row r="195" spans="1:21" ht="15.75" customHeight="1" x14ac:dyDescent="0.3">
      <c r="A195" s="36"/>
      <c r="B195" s="36"/>
      <c r="C195" s="6"/>
      <c r="D195" s="36"/>
      <c r="E195" s="36"/>
      <c r="F195" s="36"/>
      <c r="G195" s="6"/>
      <c r="H195" s="36"/>
      <c r="I195" s="36"/>
      <c r="J195" s="37"/>
      <c r="K195" s="60"/>
      <c r="M195" s="61"/>
      <c r="N195" s="61"/>
      <c r="O195" s="61"/>
      <c r="P195" s="61"/>
      <c r="Q195" s="61"/>
      <c r="R195" s="61"/>
      <c r="S195" s="62"/>
      <c r="T195" s="62"/>
      <c r="U195" s="62"/>
    </row>
    <row r="196" spans="1:21" ht="15.75" customHeight="1" x14ac:dyDescent="0.3">
      <c r="A196" s="36"/>
      <c r="B196" s="36"/>
      <c r="C196" s="6"/>
      <c r="D196" s="36"/>
      <c r="E196" s="36"/>
      <c r="F196" s="36"/>
      <c r="G196" s="6"/>
      <c r="H196" s="36"/>
      <c r="I196" s="36"/>
      <c r="J196" s="37"/>
      <c r="K196" s="60"/>
      <c r="M196" s="61"/>
      <c r="N196" s="61"/>
      <c r="O196" s="61"/>
      <c r="P196" s="61"/>
      <c r="Q196" s="61"/>
      <c r="R196" s="61"/>
      <c r="S196" s="62"/>
      <c r="T196" s="62"/>
      <c r="U196" s="62"/>
    </row>
    <row r="197" spans="1:21" ht="15.75" customHeight="1" x14ac:dyDescent="0.3">
      <c r="A197" s="36"/>
      <c r="B197" s="36"/>
      <c r="C197" s="6"/>
      <c r="D197" s="36"/>
      <c r="E197" s="36"/>
      <c r="F197" s="36"/>
      <c r="G197" s="6"/>
      <c r="H197" s="36"/>
      <c r="I197" s="36"/>
      <c r="J197" s="37"/>
      <c r="K197" s="60"/>
      <c r="M197" s="61"/>
      <c r="N197" s="61"/>
      <c r="O197" s="61"/>
      <c r="P197" s="61"/>
      <c r="Q197" s="61"/>
      <c r="R197" s="61"/>
      <c r="S197" s="62"/>
      <c r="T197" s="62"/>
      <c r="U197" s="62"/>
    </row>
    <row r="198" spans="1:21" ht="15.75" customHeight="1" x14ac:dyDescent="0.3">
      <c r="A198" s="36"/>
      <c r="B198" s="36"/>
      <c r="C198" s="6"/>
      <c r="D198" s="36"/>
      <c r="E198" s="36"/>
      <c r="F198" s="36"/>
      <c r="G198" s="6"/>
      <c r="H198" s="36"/>
      <c r="I198" s="36"/>
      <c r="J198" s="37"/>
      <c r="K198" s="60"/>
      <c r="M198" s="61"/>
      <c r="N198" s="61"/>
      <c r="O198" s="61"/>
      <c r="P198" s="61"/>
      <c r="Q198" s="61"/>
      <c r="R198" s="61"/>
      <c r="S198" s="62"/>
      <c r="T198" s="62"/>
      <c r="U198" s="62"/>
    </row>
    <row r="199" spans="1:21" ht="15.75" customHeight="1" x14ac:dyDescent="0.3">
      <c r="A199" s="36"/>
      <c r="B199" s="36"/>
      <c r="C199" s="6"/>
      <c r="D199" s="36"/>
      <c r="E199" s="36"/>
      <c r="F199" s="36"/>
      <c r="G199" s="6"/>
      <c r="H199" s="36"/>
      <c r="I199" s="36"/>
      <c r="J199" s="37"/>
      <c r="K199" s="60"/>
      <c r="M199" s="61"/>
      <c r="N199" s="61"/>
      <c r="O199" s="61"/>
      <c r="P199" s="61"/>
      <c r="Q199" s="61"/>
      <c r="R199" s="61"/>
      <c r="S199" s="62"/>
      <c r="T199" s="62"/>
      <c r="U199" s="62"/>
    </row>
    <row r="200" spans="1:21" ht="15.75" customHeight="1" x14ac:dyDescent="0.3">
      <c r="A200" s="36"/>
      <c r="B200" s="36"/>
      <c r="C200" s="6"/>
      <c r="D200" s="36"/>
      <c r="E200" s="36"/>
      <c r="F200" s="36"/>
      <c r="G200" s="6"/>
      <c r="H200" s="36"/>
      <c r="I200" s="36"/>
      <c r="J200" s="37"/>
      <c r="K200" s="60"/>
      <c r="M200" s="61"/>
      <c r="N200" s="61"/>
      <c r="O200" s="61"/>
      <c r="P200" s="61"/>
      <c r="Q200" s="61"/>
      <c r="R200" s="61"/>
      <c r="S200" s="62"/>
      <c r="T200" s="62"/>
      <c r="U200" s="62"/>
    </row>
    <row r="201" spans="1:21" ht="15.75" customHeight="1" x14ac:dyDescent="0.3">
      <c r="A201" s="36"/>
      <c r="B201" s="36"/>
      <c r="C201" s="6"/>
      <c r="D201" s="36"/>
      <c r="E201" s="36"/>
      <c r="F201" s="36"/>
      <c r="G201" s="6"/>
      <c r="H201" s="36"/>
      <c r="I201" s="36"/>
      <c r="J201" s="37"/>
      <c r="K201" s="60"/>
      <c r="M201" s="61"/>
      <c r="N201" s="61"/>
      <c r="O201" s="61"/>
      <c r="P201" s="61"/>
      <c r="Q201" s="61"/>
      <c r="R201" s="61"/>
      <c r="S201" s="62"/>
      <c r="T201" s="62"/>
      <c r="U201" s="62"/>
    </row>
    <row r="202" spans="1:21" ht="15.75" customHeight="1" x14ac:dyDescent="0.3">
      <c r="A202" s="36"/>
      <c r="B202" s="36"/>
      <c r="C202" s="6"/>
      <c r="D202" s="36"/>
      <c r="E202" s="36"/>
      <c r="F202" s="36"/>
      <c r="G202" s="6"/>
      <c r="H202" s="36"/>
      <c r="I202" s="36"/>
      <c r="J202" s="37"/>
      <c r="K202" s="60"/>
      <c r="M202" s="61"/>
      <c r="N202" s="61"/>
      <c r="O202" s="61"/>
      <c r="P202" s="61"/>
      <c r="Q202" s="61"/>
      <c r="R202" s="61"/>
      <c r="S202" s="62"/>
      <c r="T202" s="62"/>
      <c r="U202" s="62"/>
    </row>
    <row r="203" spans="1:21" ht="15.75" customHeight="1" x14ac:dyDescent="0.3">
      <c r="A203" s="36"/>
      <c r="B203" s="36"/>
      <c r="C203" s="6"/>
      <c r="D203" s="36"/>
      <c r="E203" s="36"/>
      <c r="F203" s="36"/>
      <c r="G203" s="6"/>
      <c r="H203" s="36"/>
      <c r="I203" s="36"/>
      <c r="J203" s="37"/>
      <c r="K203" s="60"/>
      <c r="M203" s="61"/>
      <c r="N203" s="61"/>
      <c r="O203" s="61"/>
      <c r="P203" s="61"/>
      <c r="Q203" s="61"/>
      <c r="R203" s="61"/>
      <c r="S203" s="62"/>
      <c r="T203" s="62"/>
      <c r="U203" s="62"/>
    </row>
    <row r="204" spans="1:21" ht="15.75" customHeight="1" x14ac:dyDescent="0.3">
      <c r="A204" s="36"/>
      <c r="B204" s="36"/>
      <c r="C204" s="6"/>
      <c r="D204" s="36"/>
      <c r="E204" s="36"/>
      <c r="F204" s="36"/>
      <c r="G204" s="6"/>
      <c r="H204" s="36"/>
      <c r="I204" s="36"/>
      <c r="J204" s="37"/>
      <c r="K204" s="60"/>
      <c r="M204" s="61"/>
      <c r="N204" s="61"/>
      <c r="O204" s="61"/>
      <c r="P204" s="61"/>
      <c r="Q204" s="61"/>
      <c r="R204" s="61"/>
      <c r="S204" s="62"/>
      <c r="T204" s="62"/>
      <c r="U204" s="62"/>
    </row>
    <row r="205" spans="1:21" ht="15.75" customHeight="1" x14ac:dyDescent="0.3">
      <c r="A205" s="36"/>
      <c r="B205" s="36"/>
      <c r="C205" s="6"/>
      <c r="D205" s="36"/>
      <c r="E205" s="36"/>
      <c r="F205" s="36"/>
      <c r="G205" s="6"/>
      <c r="H205" s="36"/>
      <c r="I205" s="36"/>
      <c r="J205" s="37"/>
      <c r="K205" s="60"/>
      <c r="M205" s="61"/>
      <c r="N205" s="61"/>
      <c r="O205" s="61"/>
      <c r="P205" s="61"/>
      <c r="Q205" s="61"/>
      <c r="R205" s="61"/>
      <c r="S205" s="62"/>
      <c r="T205" s="62"/>
      <c r="U205" s="62"/>
    </row>
    <row r="206" spans="1:21" ht="15.75" customHeight="1" x14ac:dyDescent="0.3">
      <c r="A206" s="36"/>
      <c r="B206" s="36"/>
      <c r="C206" s="6"/>
      <c r="D206" s="36"/>
      <c r="E206" s="36"/>
      <c r="F206" s="36"/>
      <c r="G206" s="6"/>
      <c r="H206" s="36"/>
      <c r="I206" s="36"/>
      <c r="J206" s="37"/>
      <c r="K206" s="60"/>
      <c r="M206" s="61"/>
      <c r="N206" s="61"/>
      <c r="O206" s="61"/>
      <c r="P206" s="61"/>
      <c r="Q206" s="61"/>
      <c r="R206" s="61"/>
      <c r="S206" s="62"/>
      <c r="T206" s="62"/>
      <c r="U206" s="62"/>
    </row>
    <row r="207" spans="1:21" ht="15.75" customHeight="1" x14ac:dyDescent="0.3">
      <c r="A207" s="36"/>
      <c r="B207" s="36"/>
      <c r="C207" s="6"/>
      <c r="D207" s="36"/>
      <c r="E207" s="36"/>
      <c r="F207" s="36"/>
      <c r="G207" s="6"/>
      <c r="H207" s="36"/>
      <c r="I207" s="36"/>
      <c r="J207" s="37"/>
      <c r="K207" s="60"/>
      <c r="M207" s="61"/>
      <c r="N207" s="61"/>
      <c r="O207" s="61"/>
      <c r="P207" s="61"/>
      <c r="Q207" s="61"/>
      <c r="R207" s="61"/>
      <c r="S207" s="62"/>
      <c r="T207" s="62"/>
      <c r="U207" s="62"/>
    </row>
    <row r="208" spans="1:21" ht="15.75" customHeight="1" x14ac:dyDescent="0.3">
      <c r="A208" s="36"/>
      <c r="B208" s="36"/>
      <c r="C208" s="6"/>
      <c r="D208" s="36"/>
      <c r="E208" s="36"/>
      <c r="F208" s="36"/>
      <c r="G208" s="6"/>
      <c r="H208" s="36"/>
      <c r="I208" s="36"/>
      <c r="J208" s="37"/>
      <c r="K208" s="60"/>
      <c r="M208" s="61"/>
      <c r="N208" s="61"/>
      <c r="O208" s="61"/>
      <c r="P208" s="61"/>
      <c r="Q208" s="61"/>
      <c r="R208" s="61"/>
      <c r="S208" s="62"/>
      <c r="T208" s="62"/>
      <c r="U208" s="62"/>
    </row>
    <row r="209" spans="1:21" ht="15.75" customHeight="1" x14ac:dyDescent="0.3">
      <c r="A209" s="36"/>
      <c r="B209" s="36"/>
      <c r="C209" s="6"/>
      <c r="D209" s="36"/>
      <c r="E209" s="36"/>
      <c r="F209" s="36"/>
      <c r="G209" s="6"/>
      <c r="H209" s="36"/>
      <c r="I209" s="36"/>
      <c r="J209" s="37"/>
      <c r="K209" s="60"/>
      <c r="M209" s="61"/>
      <c r="N209" s="61"/>
      <c r="O209" s="61"/>
      <c r="P209" s="61"/>
      <c r="Q209" s="61"/>
      <c r="R209" s="61"/>
      <c r="S209" s="62"/>
      <c r="T209" s="62"/>
      <c r="U209" s="62"/>
    </row>
    <row r="210" spans="1:21" ht="15.75" customHeight="1" x14ac:dyDescent="0.3">
      <c r="A210" s="36"/>
      <c r="B210" s="36"/>
      <c r="C210" s="6"/>
      <c r="D210" s="36"/>
      <c r="E210" s="36"/>
      <c r="F210" s="36"/>
      <c r="G210" s="6"/>
      <c r="H210" s="36"/>
      <c r="I210" s="36"/>
      <c r="J210" s="37"/>
      <c r="K210" s="60"/>
      <c r="M210" s="61"/>
      <c r="N210" s="61"/>
      <c r="O210" s="61"/>
      <c r="P210" s="61"/>
      <c r="Q210" s="61"/>
      <c r="R210" s="61"/>
      <c r="S210" s="62"/>
      <c r="T210" s="62"/>
      <c r="U210" s="62"/>
    </row>
    <row r="211" spans="1:21" ht="15.75" customHeight="1" x14ac:dyDescent="0.3">
      <c r="A211" s="36"/>
      <c r="B211" s="36"/>
      <c r="C211" s="6"/>
      <c r="D211" s="36"/>
      <c r="E211" s="36"/>
      <c r="F211" s="36"/>
      <c r="G211" s="6"/>
      <c r="H211" s="36"/>
      <c r="I211" s="36"/>
      <c r="J211" s="37"/>
      <c r="K211" s="60"/>
      <c r="M211" s="61"/>
      <c r="N211" s="61"/>
      <c r="O211" s="61"/>
      <c r="P211" s="61"/>
      <c r="Q211" s="61"/>
      <c r="R211" s="61"/>
      <c r="S211" s="62"/>
      <c r="T211" s="62"/>
      <c r="U211" s="62"/>
    </row>
    <row r="212" spans="1:21" ht="15.75" customHeight="1" x14ac:dyDescent="0.3">
      <c r="A212" s="36"/>
      <c r="B212" s="36"/>
      <c r="C212" s="6"/>
      <c r="D212" s="36"/>
      <c r="E212" s="36"/>
      <c r="F212" s="36"/>
      <c r="G212" s="6"/>
      <c r="H212" s="36"/>
      <c r="I212" s="36"/>
      <c r="J212" s="37"/>
      <c r="K212" s="60"/>
      <c r="M212" s="61"/>
      <c r="N212" s="61"/>
      <c r="O212" s="61"/>
      <c r="P212" s="61"/>
      <c r="Q212" s="61"/>
      <c r="R212" s="61"/>
      <c r="S212" s="62"/>
      <c r="T212" s="62"/>
      <c r="U212" s="62"/>
    </row>
    <row r="213" spans="1:21" ht="15.75" customHeight="1" x14ac:dyDescent="0.3">
      <c r="A213" s="36"/>
      <c r="B213" s="36"/>
      <c r="C213" s="6"/>
      <c r="D213" s="36"/>
      <c r="E213" s="36"/>
      <c r="F213" s="36"/>
      <c r="G213" s="6"/>
      <c r="H213" s="36"/>
      <c r="I213" s="36"/>
      <c r="J213" s="37"/>
      <c r="K213" s="60"/>
      <c r="M213" s="61"/>
      <c r="N213" s="61"/>
      <c r="O213" s="61"/>
      <c r="P213" s="61"/>
      <c r="Q213" s="61"/>
      <c r="R213" s="61"/>
      <c r="S213" s="62"/>
      <c r="T213" s="62"/>
      <c r="U213" s="62"/>
    </row>
    <row r="214" spans="1:21" ht="15.75" customHeight="1" x14ac:dyDescent="0.3">
      <c r="A214" s="36"/>
      <c r="B214" s="36"/>
      <c r="C214" s="6"/>
      <c r="D214" s="36"/>
      <c r="E214" s="36"/>
      <c r="F214" s="36"/>
      <c r="G214" s="6"/>
      <c r="H214" s="36"/>
      <c r="I214" s="36"/>
      <c r="J214" s="37"/>
      <c r="K214" s="60"/>
      <c r="M214" s="61"/>
      <c r="N214" s="61"/>
      <c r="O214" s="61"/>
      <c r="P214" s="61"/>
      <c r="Q214" s="61"/>
      <c r="R214" s="61"/>
      <c r="S214" s="62"/>
      <c r="T214" s="62"/>
      <c r="U214" s="62"/>
    </row>
    <row r="215" spans="1:21" ht="15.75" customHeight="1" x14ac:dyDescent="0.3">
      <c r="A215" s="36"/>
      <c r="B215" s="36"/>
      <c r="C215" s="6"/>
      <c r="D215" s="36"/>
      <c r="E215" s="36"/>
      <c r="F215" s="36"/>
      <c r="G215" s="6"/>
      <c r="H215" s="36"/>
      <c r="I215" s="36"/>
      <c r="J215" s="37"/>
      <c r="K215" s="60"/>
      <c r="M215" s="61"/>
      <c r="N215" s="61"/>
      <c r="O215" s="61"/>
      <c r="P215" s="61"/>
      <c r="Q215" s="61"/>
      <c r="R215" s="61"/>
      <c r="S215" s="62"/>
      <c r="T215" s="62"/>
      <c r="U215" s="62"/>
    </row>
    <row r="216" spans="1:21" ht="15.75" customHeight="1" x14ac:dyDescent="0.3">
      <c r="A216" s="36"/>
      <c r="B216" s="36"/>
      <c r="C216" s="6"/>
      <c r="D216" s="36"/>
      <c r="E216" s="36"/>
      <c r="F216" s="36"/>
      <c r="G216" s="6"/>
      <c r="H216" s="36"/>
      <c r="I216" s="36"/>
      <c r="J216" s="37"/>
      <c r="K216" s="60"/>
      <c r="M216" s="61"/>
      <c r="N216" s="61"/>
      <c r="O216" s="61"/>
      <c r="P216" s="61"/>
      <c r="Q216" s="61"/>
      <c r="R216" s="61"/>
      <c r="S216" s="62"/>
      <c r="T216" s="62"/>
      <c r="U216" s="62"/>
    </row>
    <row r="217" spans="1:21" ht="15.75" customHeight="1" x14ac:dyDescent="0.3">
      <c r="A217" s="36"/>
      <c r="B217" s="36"/>
      <c r="C217" s="6"/>
      <c r="D217" s="36"/>
      <c r="E217" s="36"/>
      <c r="F217" s="36"/>
      <c r="G217" s="6"/>
      <c r="H217" s="36"/>
      <c r="I217" s="36"/>
      <c r="J217" s="37"/>
      <c r="K217" s="60"/>
      <c r="M217" s="61"/>
      <c r="N217" s="61"/>
      <c r="O217" s="61"/>
      <c r="P217" s="61"/>
      <c r="Q217" s="61"/>
      <c r="R217" s="61"/>
      <c r="S217" s="62"/>
      <c r="T217" s="62"/>
      <c r="U217" s="62"/>
    </row>
    <row r="218" spans="1:21" ht="15.75" customHeight="1" x14ac:dyDescent="0.3">
      <c r="A218" s="36"/>
      <c r="B218" s="36"/>
      <c r="C218" s="6"/>
      <c r="D218" s="36"/>
      <c r="E218" s="36"/>
      <c r="F218" s="36"/>
      <c r="G218" s="6"/>
      <c r="H218" s="36"/>
      <c r="I218" s="36"/>
      <c r="J218" s="37"/>
      <c r="K218" s="60"/>
      <c r="M218" s="61"/>
      <c r="N218" s="61"/>
      <c r="O218" s="61"/>
      <c r="P218" s="61"/>
      <c r="Q218" s="61"/>
      <c r="R218" s="61"/>
      <c r="S218" s="62"/>
      <c r="T218" s="62"/>
      <c r="U218" s="62"/>
    </row>
    <row r="219" spans="1:21" ht="15.75" customHeight="1" x14ac:dyDescent="0.3">
      <c r="A219" s="36"/>
      <c r="B219" s="36"/>
      <c r="C219" s="6"/>
      <c r="D219" s="36"/>
      <c r="E219" s="36"/>
      <c r="F219" s="36"/>
      <c r="G219" s="6"/>
      <c r="H219" s="36"/>
      <c r="I219" s="36"/>
      <c r="J219" s="37"/>
      <c r="K219" s="60"/>
      <c r="M219" s="61"/>
      <c r="N219" s="61"/>
      <c r="O219" s="61"/>
      <c r="P219" s="61"/>
      <c r="Q219" s="61"/>
      <c r="R219" s="61"/>
      <c r="S219" s="62"/>
      <c r="T219" s="62"/>
      <c r="U219" s="62"/>
    </row>
    <row r="220" spans="1:21" ht="15.75" customHeight="1" x14ac:dyDescent="0.3">
      <c r="A220" s="36"/>
      <c r="B220" s="36"/>
      <c r="C220" s="6"/>
      <c r="D220" s="36"/>
      <c r="E220" s="36"/>
      <c r="F220" s="36"/>
      <c r="G220" s="6"/>
      <c r="H220" s="36"/>
      <c r="I220" s="36"/>
      <c r="J220" s="37"/>
      <c r="K220" s="60"/>
      <c r="M220" s="61"/>
      <c r="N220" s="61"/>
      <c r="O220" s="61"/>
      <c r="P220" s="61"/>
      <c r="Q220" s="61"/>
      <c r="R220" s="61"/>
      <c r="S220" s="62"/>
      <c r="T220" s="62"/>
      <c r="U220" s="62"/>
    </row>
    <row r="221" spans="1:21" ht="15.75" customHeight="1" x14ac:dyDescent="0.3">
      <c r="A221" s="36"/>
      <c r="B221" s="36"/>
      <c r="C221" s="6"/>
      <c r="D221" s="36"/>
      <c r="E221" s="36"/>
      <c r="F221" s="36"/>
      <c r="G221" s="6"/>
      <c r="H221" s="36"/>
      <c r="I221" s="36"/>
      <c r="J221" s="37"/>
      <c r="K221" s="60"/>
      <c r="M221" s="61"/>
      <c r="N221" s="61"/>
      <c r="O221" s="61"/>
      <c r="P221" s="61"/>
      <c r="Q221" s="61"/>
      <c r="R221" s="61"/>
      <c r="S221" s="62"/>
      <c r="T221" s="62"/>
      <c r="U221" s="62"/>
    </row>
    <row r="222" spans="1:21" ht="15.75" customHeight="1" x14ac:dyDescent="0.3">
      <c r="A222" s="36"/>
      <c r="B222" s="36"/>
      <c r="C222" s="6"/>
      <c r="D222" s="36"/>
      <c r="E222" s="36"/>
      <c r="F222" s="36"/>
      <c r="G222" s="6"/>
      <c r="H222" s="36"/>
      <c r="I222" s="36"/>
      <c r="J222" s="37"/>
      <c r="K222" s="60"/>
      <c r="M222" s="61"/>
      <c r="N222" s="61"/>
      <c r="O222" s="61"/>
      <c r="P222" s="61"/>
      <c r="Q222" s="61"/>
      <c r="R222" s="61"/>
      <c r="S222" s="62"/>
      <c r="T222" s="62"/>
      <c r="U222" s="62"/>
    </row>
    <row r="223" spans="1:21" ht="15.75" customHeight="1" x14ac:dyDescent="0.3">
      <c r="A223" s="36"/>
      <c r="B223" s="36"/>
      <c r="C223" s="6"/>
      <c r="D223" s="36"/>
      <c r="E223" s="36"/>
      <c r="F223" s="36"/>
      <c r="G223" s="6"/>
      <c r="H223" s="36"/>
      <c r="I223" s="36"/>
      <c r="J223" s="37"/>
      <c r="K223" s="60"/>
      <c r="M223" s="61"/>
      <c r="N223" s="61"/>
      <c r="O223" s="61"/>
      <c r="P223" s="61"/>
      <c r="Q223" s="61"/>
      <c r="R223" s="61"/>
      <c r="S223" s="62"/>
      <c r="T223" s="62"/>
      <c r="U223" s="62"/>
    </row>
    <row r="224" spans="1:21" ht="15.75" customHeight="1" x14ac:dyDescent="0.3">
      <c r="A224" s="36"/>
      <c r="B224" s="36"/>
      <c r="C224" s="6"/>
      <c r="D224" s="36"/>
      <c r="E224" s="36"/>
      <c r="F224" s="36"/>
      <c r="G224" s="6"/>
      <c r="H224" s="36"/>
      <c r="I224" s="36"/>
      <c r="J224" s="37"/>
      <c r="K224" s="60"/>
      <c r="M224" s="61"/>
      <c r="N224" s="61"/>
      <c r="O224" s="61"/>
      <c r="P224" s="61"/>
      <c r="Q224" s="61"/>
      <c r="R224" s="61"/>
      <c r="S224" s="62"/>
      <c r="T224" s="62"/>
      <c r="U224" s="62"/>
    </row>
    <row r="225" spans="1:21" ht="15.75" customHeight="1" x14ac:dyDescent="0.3">
      <c r="A225" s="36"/>
      <c r="B225" s="36"/>
      <c r="C225" s="6"/>
      <c r="D225" s="36"/>
      <c r="E225" s="36"/>
      <c r="F225" s="36"/>
      <c r="G225" s="6"/>
      <c r="H225" s="36"/>
      <c r="I225" s="36"/>
      <c r="J225" s="37"/>
      <c r="K225" s="60"/>
      <c r="M225" s="61"/>
      <c r="N225" s="61"/>
      <c r="O225" s="61"/>
      <c r="P225" s="61"/>
      <c r="Q225" s="61"/>
      <c r="R225" s="61"/>
      <c r="S225" s="62"/>
      <c r="T225" s="62"/>
      <c r="U225" s="62"/>
    </row>
    <row r="226" spans="1:21" ht="15.75" customHeight="1" x14ac:dyDescent="0.3">
      <c r="A226" s="36"/>
      <c r="B226" s="36"/>
      <c r="C226" s="6"/>
      <c r="D226" s="36"/>
      <c r="E226" s="36"/>
      <c r="F226" s="36"/>
      <c r="G226" s="6"/>
      <c r="H226" s="36"/>
      <c r="I226" s="36"/>
      <c r="J226" s="37"/>
      <c r="K226" s="60"/>
      <c r="M226" s="61"/>
      <c r="N226" s="61"/>
      <c r="O226" s="61"/>
      <c r="P226" s="61"/>
      <c r="Q226" s="61"/>
      <c r="R226" s="61"/>
      <c r="S226" s="62"/>
      <c r="T226" s="62"/>
      <c r="U226" s="62"/>
    </row>
    <row r="227" spans="1:21" ht="15.75" customHeight="1" x14ac:dyDescent="0.3">
      <c r="A227" s="36"/>
      <c r="B227" s="36"/>
      <c r="C227" s="6"/>
      <c r="D227" s="36"/>
      <c r="E227" s="36"/>
      <c r="F227" s="36"/>
      <c r="G227" s="6"/>
      <c r="H227" s="36"/>
      <c r="I227" s="36"/>
      <c r="J227" s="37"/>
      <c r="K227" s="60"/>
      <c r="M227" s="61"/>
      <c r="N227" s="61"/>
      <c r="O227" s="61"/>
      <c r="P227" s="61"/>
      <c r="Q227" s="61"/>
      <c r="R227" s="61"/>
      <c r="S227" s="62"/>
      <c r="T227" s="62"/>
      <c r="U227" s="62"/>
    </row>
    <row r="228" spans="1:21" ht="15.75" customHeight="1" x14ac:dyDescent="0.3">
      <c r="A228" s="36"/>
      <c r="B228" s="36"/>
      <c r="C228" s="6"/>
      <c r="D228" s="36"/>
      <c r="E228" s="36"/>
      <c r="F228" s="36"/>
      <c r="G228" s="6"/>
      <c r="H228" s="36"/>
      <c r="I228" s="36"/>
      <c r="J228" s="37"/>
      <c r="K228" s="60"/>
      <c r="M228" s="61"/>
      <c r="N228" s="61"/>
      <c r="O228" s="61"/>
      <c r="P228" s="61"/>
      <c r="Q228" s="61"/>
      <c r="R228" s="61"/>
      <c r="S228" s="62"/>
      <c r="T228" s="62"/>
      <c r="U228" s="62"/>
    </row>
    <row r="229" spans="1:21" ht="15.75" customHeight="1" x14ac:dyDescent="0.3">
      <c r="A229" s="36"/>
      <c r="B229" s="36"/>
      <c r="C229" s="6"/>
      <c r="D229" s="36"/>
      <c r="E229" s="36"/>
      <c r="F229" s="36"/>
      <c r="G229" s="6"/>
      <c r="H229" s="36"/>
      <c r="I229" s="36"/>
      <c r="J229" s="37"/>
      <c r="K229" s="60"/>
      <c r="M229" s="61"/>
      <c r="N229" s="61"/>
      <c r="O229" s="61"/>
      <c r="P229" s="61"/>
      <c r="Q229" s="61"/>
      <c r="R229" s="61"/>
      <c r="S229" s="62"/>
      <c r="T229" s="62"/>
      <c r="U229" s="62"/>
    </row>
    <row r="230" spans="1:21" ht="15.75" customHeight="1" x14ac:dyDescent="0.3">
      <c r="A230" s="36"/>
      <c r="B230" s="36"/>
      <c r="C230" s="6"/>
      <c r="D230" s="36"/>
      <c r="E230" s="36"/>
      <c r="F230" s="36"/>
      <c r="G230" s="6"/>
      <c r="H230" s="36"/>
      <c r="I230" s="36"/>
      <c r="J230" s="37"/>
      <c r="K230" s="60"/>
      <c r="M230" s="61"/>
      <c r="N230" s="61"/>
      <c r="O230" s="61"/>
      <c r="P230" s="61"/>
      <c r="Q230" s="61"/>
      <c r="R230" s="61"/>
      <c r="S230" s="62"/>
      <c r="T230" s="62"/>
      <c r="U230" s="62"/>
    </row>
    <row r="231" spans="1:21" ht="15.75" customHeight="1" x14ac:dyDescent="0.3">
      <c r="A231" s="36"/>
      <c r="B231" s="36"/>
      <c r="C231" s="6"/>
      <c r="D231" s="36"/>
      <c r="E231" s="36"/>
      <c r="F231" s="36"/>
      <c r="G231" s="6"/>
      <c r="H231" s="36"/>
      <c r="I231" s="36"/>
      <c r="J231" s="37"/>
      <c r="K231" s="60"/>
      <c r="M231" s="61"/>
      <c r="N231" s="61"/>
      <c r="O231" s="61"/>
      <c r="P231" s="61"/>
      <c r="Q231" s="61"/>
      <c r="R231" s="61"/>
      <c r="S231" s="62"/>
      <c r="T231" s="62"/>
      <c r="U231" s="62"/>
    </row>
    <row r="232" spans="1:21" ht="15.75" customHeight="1" x14ac:dyDescent="0.3">
      <c r="A232" s="36"/>
      <c r="B232" s="36"/>
      <c r="C232" s="6"/>
      <c r="D232" s="36"/>
      <c r="E232" s="36"/>
      <c r="F232" s="36"/>
      <c r="G232" s="6"/>
      <c r="H232" s="36"/>
      <c r="I232" s="36"/>
      <c r="J232" s="37"/>
      <c r="K232" s="60"/>
      <c r="M232" s="61"/>
      <c r="N232" s="61"/>
      <c r="O232" s="61"/>
      <c r="P232" s="61"/>
      <c r="Q232" s="61"/>
      <c r="R232" s="61"/>
      <c r="S232" s="62"/>
      <c r="T232" s="62"/>
      <c r="U232" s="62"/>
    </row>
    <row r="233" spans="1:21" ht="15.75" customHeight="1" x14ac:dyDescent="0.3">
      <c r="A233" s="36"/>
      <c r="B233" s="36"/>
      <c r="C233" s="6"/>
      <c r="D233" s="36"/>
      <c r="E233" s="36"/>
      <c r="F233" s="36"/>
      <c r="G233" s="6"/>
      <c r="H233" s="36"/>
      <c r="I233" s="36"/>
      <c r="J233" s="37"/>
      <c r="K233" s="60"/>
      <c r="M233" s="61"/>
      <c r="N233" s="61"/>
      <c r="O233" s="61"/>
      <c r="P233" s="61"/>
      <c r="Q233" s="61"/>
      <c r="R233" s="61"/>
      <c r="S233" s="62"/>
      <c r="T233" s="62"/>
      <c r="U233" s="62"/>
    </row>
    <row r="234" spans="1:21" ht="15.75" customHeight="1" x14ac:dyDescent="0.3">
      <c r="A234" s="36"/>
      <c r="B234" s="36"/>
      <c r="C234" s="6"/>
      <c r="D234" s="36"/>
      <c r="E234" s="36"/>
      <c r="F234" s="36"/>
      <c r="G234" s="6"/>
      <c r="H234" s="36"/>
      <c r="I234" s="36"/>
      <c r="J234" s="37"/>
      <c r="K234" s="60"/>
      <c r="M234" s="61"/>
      <c r="N234" s="61"/>
      <c r="O234" s="61"/>
      <c r="P234" s="61"/>
      <c r="Q234" s="61"/>
      <c r="R234" s="61"/>
      <c r="S234" s="62"/>
      <c r="T234" s="62"/>
      <c r="U234" s="62"/>
    </row>
    <row r="235" spans="1:21" ht="15.75" customHeight="1" x14ac:dyDescent="0.3">
      <c r="A235" s="36"/>
      <c r="B235" s="36"/>
      <c r="C235" s="6"/>
      <c r="D235" s="36"/>
      <c r="E235" s="36"/>
      <c r="F235" s="36"/>
      <c r="G235" s="6"/>
      <c r="H235" s="36"/>
      <c r="I235" s="36"/>
      <c r="J235" s="37"/>
      <c r="K235" s="60"/>
      <c r="M235" s="61"/>
      <c r="N235" s="61"/>
      <c r="O235" s="61"/>
      <c r="P235" s="61"/>
      <c r="Q235" s="61"/>
      <c r="R235" s="61"/>
      <c r="S235" s="62"/>
      <c r="T235" s="62"/>
      <c r="U235" s="62"/>
    </row>
    <row r="236" spans="1:21" ht="15.75" customHeight="1" x14ac:dyDescent="0.3">
      <c r="A236" s="36"/>
      <c r="B236" s="36"/>
      <c r="C236" s="6"/>
      <c r="D236" s="36"/>
      <c r="E236" s="36"/>
      <c r="F236" s="36"/>
      <c r="G236" s="6"/>
      <c r="H236" s="36"/>
      <c r="I236" s="36"/>
      <c r="J236" s="37"/>
      <c r="K236" s="60"/>
      <c r="M236" s="61"/>
      <c r="N236" s="61"/>
      <c r="O236" s="61"/>
      <c r="P236" s="61"/>
      <c r="Q236" s="61"/>
      <c r="R236" s="61"/>
      <c r="S236" s="62"/>
      <c r="T236" s="62"/>
      <c r="U236" s="62"/>
    </row>
    <row r="237" spans="1:21" ht="15.75" customHeight="1" x14ac:dyDescent="0.3">
      <c r="A237" s="36"/>
      <c r="B237" s="36"/>
      <c r="C237" s="6"/>
      <c r="D237" s="36"/>
      <c r="E237" s="36"/>
      <c r="F237" s="36"/>
      <c r="G237" s="6"/>
      <c r="H237" s="36"/>
      <c r="I237" s="36"/>
      <c r="J237" s="37"/>
      <c r="K237" s="60"/>
      <c r="M237" s="61"/>
      <c r="N237" s="61"/>
      <c r="O237" s="61"/>
      <c r="P237" s="61"/>
      <c r="Q237" s="61"/>
      <c r="R237" s="61"/>
      <c r="S237" s="62"/>
      <c r="T237" s="62"/>
      <c r="U237" s="62"/>
    </row>
    <row r="238" spans="1:21" ht="15.75" customHeight="1" x14ac:dyDescent="0.3">
      <c r="A238" s="36"/>
      <c r="B238" s="36"/>
      <c r="C238" s="6"/>
      <c r="D238" s="36"/>
      <c r="E238" s="36"/>
      <c r="F238" s="36"/>
      <c r="G238" s="6"/>
      <c r="H238" s="36"/>
      <c r="I238" s="36"/>
      <c r="J238" s="37"/>
      <c r="K238" s="60"/>
      <c r="M238" s="61"/>
      <c r="N238" s="61"/>
      <c r="O238" s="61"/>
      <c r="P238" s="61"/>
      <c r="Q238" s="61"/>
      <c r="R238" s="61"/>
      <c r="S238" s="62"/>
      <c r="T238" s="62"/>
      <c r="U238" s="62"/>
    </row>
    <row r="239" spans="1:21" ht="15.75" customHeight="1" x14ac:dyDescent="0.3">
      <c r="A239" s="36"/>
      <c r="B239" s="36"/>
      <c r="C239" s="6"/>
      <c r="D239" s="36"/>
      <c r="E239" s="36"/>
      <c r="F239" s="36"/>
      <c r="G239" s="6"/>
      <c r="H239" s="36"/>
      <c r="I239" s="36"/>
      <c r="J239" s="37"/>
      <c r="K239" s="60"/>
      <c r="M239" s="61"/>
      <c r="N239" s="61"/>
      <c r="O239" s="61"/>
      <c r="P239" s="61"/>
      <c r="Q239" s="61"/>
      <c r="R239" s="61"/>
      <c r="S239" s="62"/>
      <c r="T239" s="62"/>
      <c r="U239" s="62"/>
    </row>
    <row r="240" spans="1:21" ht="15.75" customHeight="1" x14ac:dyDescent="0.3">
      <c r="A240" s="36"/>
      <c r="B240" s="36"/>
      <c r="C240" s="6"/>
      <c r="D240" s="36"/>
      <c r="E240" s="36"/>
      <c r="F240" s="36"/>
      <c r="G240" s="6"/>
      <c r="H240" s="36"/>
      <c r="I240" s="36"/>
      <c r="J240" s="37"/>
      <c r="K240" s="60"/>
      <c r="M240" s="61"/>
      <c r="N240" s="61"/>
      <c r="O240" s="61"/>
      <c r="P240" s="61"/>
      <c r="Q240" s="61"/>
      <c r="R240" s="61"/>
      <c r="S240" s="62"/>
      <c r="T240" s="62"/>
      <c r="U240" s="62"/>
    </row>
    <row r="241" spans="1:21" ht="15.75" customHeight="1" x14ac:dyDescent="0.3">
      <c r="A241" s="36"/>
      <c r="B241" s="36"/>
      <c r="C241" s="6"/>
      <c r="D241" s="36"/>
      <c r="E241" s="36"/>
      <c r="F241" s="36"/>
      <c r="G241" s="6"/>
      <c r="H241" s="36"/>
      <c r="I241" s="36"/>
      <c r="J241" s="37"/>
      <c r="K241" s="60"/>
      <c r="M241" s="61"/>
      <c r="N241" s="61"/>
      <c r="O241" s="61"/>
      <c r="P241" s="61"/>
      <c r="Q241" s="61"/>
      <c r="R241" s="61"/>
      <c r="S241" s="62"/>
      <c r="T241" s="62"/>
      <c r="U241" s="62"/>
    </row>
    <row r="242" spans="1:21" ht="15.75" customHeight="1" x14ac:dyDescent="0.3">
      <c r="A242" s="36"/>
      <c r="B242" s="36"/>
      <c r="C242" s="6"/>
      <c r="D242" s="36"/>
      <c r="E242" s="36"/>
      <c r="F242" s="36"/>
      <c r="G242" s="6"/>
      <c r="H242" s="36"/>
      <c r="I242" s="36"/>
      <c r="J242" s="37"/>
      <c r="K242" s="60"/>
      <c r="M242" s="61"/>
      <c r="N242" s="61"/>
      <c r="O242" s="61"/>
      <c r="P242" s="61"/>
      <c r="Q242" s="61"/>
      <c r="R242" s="61"/>
      <c r="S242" s="62"/>
      <c r="T242" s="62"/>
      <c r="U242" s="62"/>
    </row>
    <row r="243" spans="1:21" ht="15.75" customHeight="1" x14ac:dyDescent="0.3">
      <c r="A243" s="36"/>
      <c r="B243" s="36"/>
      <c r="C243" s="6"/>
      <c r="D243" s="36"/>
      <c r="E243" s="36"/>
      <c r="F243" s="36"/>
      <c r="G243" s="6"/>
      <c r="H243" s="36"/>
      <c r="I243" s="36"/>
      <c r="J243" s="37"/>
      <c r="K243" s="60"/>
      <c r="M243" s="61"/>
      <c r="N243" s="61"/>
      <c r="O243" s="61"/>
      <c r="P243" s="61"/>
      <c r="Q243" s="61"/>
      <c r="R243" s="61"/>
      <c r="S243" s="62"/>
      <c r="T243" s="62"/>
      <c r="U243" s="62"/>
    </row>
    <row r="244" spans="1:21" ht="15.75" customHeight="1" x14ac:dyDescent="0.3">
      <c r="A244" s="36"/>
      <c r="B244" s="36"/>
      <c r="C244" s="6"/>
      <c r="D244" s="36"/>
      <c r="E244" s="36"/>
      <c r="F244" s="36"/>
      <c r="G244" s="6"/>
      <c r="H244" s="36"/>
      <c r="I244" s="36"/>
      <c r="J244" s="37"/>
      <c r="K244" s="60"/>
      <c r="M244" s="61"/>
      <c r="N244" s="61"/>
      <c r="O244" s="61"/>
      <c r="P244" s="61"/>
      <c r="Q244" s="61"/>
      <c r="R244" s="61"/>
      <c r="S244" s="62"/>
      <c r="T244" s="62"/>
      <c r="U244" s="62"/>
    </row>
    <row r="245" spans="1:21" ht="15.75" customHeight="1" x14ac:dyDescent="0.3">
      <c r="A245" s="36"/>
      <c r="B245" s="36"/>
      <c r="C245" s="6"/>
      <c r="D245" s="36"/>
      <c r="E245" s="36"/>
      <c r="F245" s="36"/>
      <c r="G245" s="6"/>
      <c r="H245" s="36"/>
      <c r="I245" s="36"/>
      <c r="J245" s="37"/>
      <c r="K245" s="60"/>
      <c r="M245" s="61"/>
      <c r="N245" s="61"/>
      <c r="O245" s="61"/>
      <c r="P245" s="61"/>
      <c r="Q245" s="61"/>
      <c r="R245" s="61"/>
      <c r="S245" s="62"/>
      <c r="T245" s="62"/>
      <c r="U245" s="62"/>
    </row>
    <row r="246" spans="1:21" ht="15.75" customHeight="1" x14ac:dyDescent="0.3">
      <c r="A246" s="36"/>
      <c r="B246" s="36"/>
      <c r="C246" s="6"/>
      <c r="D246" s="36"/>
      <c r="E246" s="36"/>
      <c r="F246" s="36"/>
      <c r="G246" s="6"/>
      <c r="H246" s="36"/>
      <c r="I246" s="36"/>
      <c r="J246" s="37"/>
      <c r="K246" s="60"/>
      <c r="M246" s="61"/>
      <c r="N246" s="61"/>
      <c r="O246" s="61"/>
      <c r="P246" s="61"/>
      <c r="Q246" s="61"/>
      <c r="R246" s="61"/>
      <c r="S246" s="62"/>
      <c r="T246" s="62"/>
      <c r="U246" s="62"/>
    </row>
    <row r="247" spans="1:21" ht="15.75" customHeight="1" x14ac:dyDescent="0.3">
      <c r="A247" s="36"/>
      <c r="B247" s="36"/>
      <c r="C247" s="6"/>
      <c r="D247" s="36"/>
      <c r="E247" s="36"/>
      <c r="F247" s="36"/>
      <c r="G247" s="6"/>
      <c r="H247" s="36"/>
      <c r="I247" s="36"/>
      <c r="J247" s="37"/>
      <c r="K247" s="60"/>
      <c r="M247" s="61"/>
      <c r="N247" s="61"/>
      <c r="O247" s="61"/>
      <c r="P247" s="61"/>
      <c r="Q247" s="61"/>
      <c r="R247" s="61"/>
      <c r="S247" s="62"/>
      <c r="T247" s="62"/>
      <c r="U247" s="62"/>
    </row>
    <row r="248" spans="1:21" ht="15.75" customHeight="1" x14ac:dyDescent="0.3">
      <c r="A248" s="36"/>
      <c r="B248" s="36"/>
      <c r="C248" s="6"/>
      <c r="D248" s="36"/>
      <c r="E248" s="36"/>
      <c r="F248" s="36"/>
      <c r="G248" s="6"/>
      <c r="H248" s="36"/>
      <c r="I248" s="36"/>
      <c r="J248" s="37"/>
      <c r="K248" s="60"/>
      <c r="M248" s="61"/>
      <c r="N248" s="61"/>
      <c r="O248" s="61"/>
      <c r="P248" s="61"/>
      <c r="Q248" s="61"/>
      <c r="R248" s="61"/>
      <c r="S248" s="62"/>
      <c r="T248" s="62"/>
      <c r="U248" s="62"/>
    </row>
    <row r="249" spans="1:21" ht="15.75" customHeight="1" x14ac:dyDescent="0.3">
      <c r="A249" s="36"/>
      <c r="B249" s="36"/>
      <c r="C249" s="6"/>
      <c r="D249" s="36"/>
      <c r="E249" s="36"/>
      <c r="F249" s="36"/>
      <c r="G249" s="6"/>
      <c r="H249" s="36"/>
      <c r="I249" s="36"/>
      <c r="J249" s="37"/>
      <c r="K249" s="60"/>
      <c r="M249" s="61"/>
      <c r="N249" s="61"/>
      <c r="O249" s="61"/>
      <c r="P249" s="61"/>
      <c r="Q249" s="61"/>
      <c r="R249" s="61"/>
      <c r="S249" s="62"/>
      <c r="T249" s="62"/>
      <c r="U249" s="62"/>
    </row>
    <row r="250" spans="1:21" ht="15.75" customHeight="1" x14ac:dyDescent="0.3">
      <c r="A250" s="36"/>
      <c r="B250" s="36"/>
      <c r="C250" s="6"/>
      <c r="D250" s="36"/>
      <c r="E250" s="36"/>
      <c r="F250" s="36"/>
      <c r="G250" s="6"/>
      <c r="H250" s="36"/>
      <c r="I250" s="36"/>
      <c r="J250" s="37"/>
      <c r="K250" s="60"/>
      <c r="M250" s="61"/>
      <c r="N250" s="61"/>
      <c r="O250" s="61"/>
      <c r="P250" s="61"/>
      <c r="Q250" s="61"/>
      <c r="R250" s="61"/>
      <c r="S250" s="62"/>
      <c r="T250" s="62"/>
      <c r="U250" s="62"/>
    </row>
    <row r="251" spans="1:21" ht="15.75" customHeight="1" x14ac:dyDescent="0.3">
      <c r="A251" s="36"/>
      <c r="B251" s="36"/>
      <c r="C251" s="6"/>
      <c r="D251" s="36"/>
      <c r="E251" s="36"/>
      <c r="F251" s="36"/>
      <c r="G251" s="6"/>
      <c r="H251" s="36"/>
      <c r="I251" s="36"/>
      <c r="J251" s="37"/>
      <c r="K251" s="60"/>
      <c r="M251" s="61"/>
      <c r="N251" s="61"/>
      <c r="O251" s="61"/>
      <c r="P251" s="61"/>
      <c r="Q251" s="61"/>
      <c r="R251" s="61"/>
      <c r="S251" s="62"/>
      <c r="T251" s="62"/>
      <c r="U251" s="62"/>
    </row>
    <row r="252" spans="1:21" ht="15.75" customHeight="1" x14ac:dyDescent="0.3">
      <c r="A252" s="36"/>
      <c r="B252" s="36"/>
      <c r="C252" s="6"/>
      <c r="D252" s="36"/>
      <c r="E252" s="36"/>
      <c r="F252" s="36"/>
      <c r="G252" s="6"/>
      <c r="H252" s="36"/>
      <c r="I252" s="36"/>
      <c r="J252" s="37"/>
      <c r="K252" s="60"/>
      <c r="M252" s="61"/>
      <c r="N252" s="61"/>
      <c r="O252" s="61"/>
      <c r="P252" s="61"/>
      <c r="Q252" s="61"/>
      <c r="R252" s="61"/>
      <c r="S252" s="62"/>
      <c r="T252" s="62"/>
      <c r="U252" s="62"/>
    </row>
    <row r="253" spans="1:21" ht="15.75" customHeight="1" x14ac:dyDescent="0.3">
      <c r="A253" s="36"/>
      <c r="B253" s="36"/>
      <c r="C253" s="6"/>
      <c r="D253" s="36"/>
      <c r="E253" s="36"/>
      <c r="F253" s="36"/>
      <c r="G253" s="6"/>
      <c r="H253" s="36"/>
      <c r="I253" s="36"/>
      <c r="J253" s="37"/>
      <c r="K253" s="60"/>
      <c r="M253" s="61"/>
      <c r="N253" s="61"/>
      <c r="O253" s="61"/>
      <c r="P253" s="61"/>
      <c r="Q253" s="61"/>
      <c r="R253" s="61"/>
      <c r="S253" s="62"/>
      <c r="T253" s="62"/>
      <c r="U253" s="62"/>
    </row>
    <row r="254" spans="1:21" ht="15.75" customHeight="1" x14ac:dyDescent="0.3">
      <c r="A254" s="36"/>
      <c r="B254" s="36"/>
      <c r="C254" s="6"/>
      <c r="D254" s="36"/>
      <c r="E254" s="36"/>
      <c r="F254" s="36"/>
      <c r="G254" s="6"/>
      <c r="H254" s="36"/>
      <c r="I254" s="36"/>
      <c r="J254" s="37"/>
      <c r="K254" s="60"/>
      <c r="M254" s="61"/>
      <c r="N254" s="61"/>
      <c r="O254" s="61"/>
      <c r="P254" s="61"/>
      <c r="Q254" s="61"/>
      <c r="R254" s="61"/>
      <c r="S254" s="62"/>
      <c r="T254" s="62"/>
      <c r="U254" s="62"/>
    </row>
    <row r="255" spans="1:21" ht="15.75" customHeight="1" x14ac:dyDescent="0.3">
      <c r="A255" s="36"/>
      <c r="B255" s="36"/>
      <c r="C255" s="6"/>
      <c r="D255" s="36"/>
      <c r="E255" s="36"/>
      <c r="F255" s="36"/>
      <c r="G255" s="6"/>
      <c r="H255" s="36"/>
      <c r="I255" s="36"/>
      <c r="J255" s="37"/>
      <c r="K255" s="60"/>
      <c r="M255" s="61"/>
      <c r="N255" s="61"/>
      <c r="O255" s="61"/>
      <c r="P255" s="61"/>
      <c r="Q255" s="61"/>
      <c r="R255" s="61"/>
      <c r="S255" s="62"/>
      <c r="T255" s="62"/>
      <c r="U255" s="62"/>
    </row>
    <row r="256" spans="1:21" ht="15.75" customHeight="1" x14ac:dyDescent="0.3">
      <c r="A256" s="36"/>
      <c r="B256" s="36"/>
      <c r="C256" s="6"/>
      <c r="D256" s="36"/>
      <c r="E256" s="36"/>
      <c r="F256" s="36"/>
      <c r="G256" s="6"/>
      <c r="H256" s="36"/>
      <c r="I256" s="36"/>
      <c r="J256" s="37"/>
      <c r="K256" s="60"/>
      <c r="M256" s="61"/>
      <c r="N256" s="61"/>
      <c r="O256" s="61"/>
      <c r="P256" s="61"/>
      <c r="Q256" s="61"/>
      <c r="R256" s="61"/>
      <c r="S256" s="62"/>
      <c r="T256" s="62"/>
      <c r="U256" s="62"/>
    </row>
    <row r="257" spans="1:21" ht="15.75" customHeight="1" x14ac:dyDescent="0.3">
      <c r="A257" s="36"/>
      <c r="B257" s="36"/>
      <c r="C257" s="6"/>
      <c r="D257" s="36"/>
      <c r="E257" s="36"/>
      <c r="F257" s="36"/>
      <c r="G257" s="6"/>
      <c r="H257" s="36"/>
      <c r="I257" s="36"/>
      <c r="J257" s="37"/>
      <c r="K257" s="60"/>
      <c r="M257" s="61"/>
      <c r="N257" s="61"/>
      <c r="O257" s="61"/>
      <c r="P257" s="61"/>
      <c r="Q257" s="61"/>
      <c r="R257" s="61"/>
      <c r="S257" s="62"/>
      <c r="T257" s="62"/>
      <c r="U257" s="62"/>
    </row>
    <row r="258" spans="1:21" ht="15.75" customHeight="1" x14ac:dyDescent="0.3">
      <c r="A258" s="36"/>
      <c r="B258" s="36"/>
      <c r="C258" s="6"/>
      <c r="D258" s="36"/>
      <c r="E258" s="36"/>
      <c r="F258" s="36"/>
      <c r="G258" s="6"/>
      <c r="H258" s="36"/>
      <c r="I258" s="36"/>
      <c r="J258" s="37"/>
      <c r="K258" s="60"/>
      <c r="M258" s="61"/>
      <c r="N258" s="61"/>
      <c r="O258" s="61"/>
      <c r="P258" s="61"/>
      <c r="Q258" s="61"/>
      <c r="R258" s="61"/>
      <c r="S258" s="62"/>
      <c r="T258" s="62"/>
      <c r="U258" s="62"/>
    </row>
    <row r="259" spans="1:21" ht="15.75" customHeight="1" x14ac:dyDescent="0.3">
      <c r="A259" s="36"/>
      <c r="B259" s="36"/>
      <c r="C259" s="6"/>
      <c r="D259" s="36"/>
      <c r="E259" s="36"/>
      <c r="F259" s="36"/>
      <c r="G259" s="6"/>
      <c r="H259" s="36"/>
      <c r="I259" s="36"/>
      <c r="J259" s="37"/>
      <c r="K259" s="60"/>
      <c r="M259" s="61"/>
      <c r="N259" s="61"/>
      <c r="O259" s="61"/>
      <c r="P259" s="61"/>
      <c r="Q259" s="61"/>
      <c r="R259" s="61"/>
      <c r="S259" s="62"/>
      <c r="T259" s="62"/>
      <c r="U259" s="62"/>
    </row>
    <row r="260" spans="1:21" ht="15.75" customHeight="1" x14ac:dyDescent="0.3">
      <c r="A260" s="36"/>
      <c r="B260" s="36"/>
      <c r="C260" s="6"/>
      <c r="D260" s="36"/>
      <c r="E260" s="36"/>
      <c r="F260" s="36"/>
      <c r="G260" s="6"/>
      <c r="H260" s="36"/>
      <c r="I260" s="36"/>
      <c r="J260" s="37"/>
      <c r="K260" s="60"/>
      <c r="M260" s="61"/>
      <c r="N260" s="61"/>
      <c r="O260" s="61"/>
      <c r="P260" s="61"/>
      <c r="Q260" s="61"/>
      <c r="R260" s="61"/>
      <c r="S260" s="62"/>
      <c r="T260" s="62"/>
      <c r="U260" s="62"/>
    </row>
    <row r="261" spans="1:21" ht="15.75" customHeight="1" x14ac:dyDescent="0.3">
      <c r="A261" s="36"/>
      <c r="B261" s="36"/>
      <c r="C261" s="6"/>
      <c r="D261" s="36"/>
      <c r="E261" s="36"/>
      <c r="F261" s="36"/>
      <c r="G261" s="6"/>
      <c r="H261" s="36"/>
      <c r="I261" s="36"/>
      <c r="J261" s="37"/>
      <c r="K261" s="60"/>
      <c r="M261" s="61"/>
      <c r="N261" s="61"/>
      <c r="O261" s="61"/>
      <c r="P261" s="61"/>
      <c r="Q261" s="61"/>
      <c r="R261" s="61"/>
      <c r="S261" s="62"/>
      <c r="T261" s="62"/>
      <c r="U261" s="62"/>
    </row>
    <row r="262" spans="1:21" ht="15.75" customHeight="1" x14ac:dyDescent="0.3">
      <c r="A262" s="36"/>
      <c r="B262" s="36"/>
      <c r="C262" s="6"/>
      <c r="D262" s="36"/>
      <c r="E262" s="36"/>
      <c r="F262" s="36"/>
      <c r="G262" s="6"/>
      <c r="H262" s="36"/>
      <c r="I262" s="36"/>
      <c r="J262" s="37"/>
      <c r="K262" s="60"/>
      <c r="M262" s="61"/>
      <c r="N262" s="61"/>
      <c r="O262" s="61"/>
      <c r="P262" s="61"/>
      <c r="Q262" s="61"/>
      <c r="R262" s="61"/>
      <c r="S262" s="62"/>
      <c r="T262" s="62"/>
      <c r="U262" s="62"/>
    </row>
    <row r="263" spans="1:21" ht="15.75" customHeight="1" x14ac:dyDescent="0.3">
      <c r="A263" s="36"/>
      <c r="B263" s="36"/>
      <c r="C263" s="6"/>
      <c r="D263" s="36"/>
      <c r="E263" s="36"/>
      <c r="F263" s="36"/>
      <c r="G263" s="6"/>
      <c r="H263" s="36"/>
      <c r="I263" s="36"/>
      <c r="J263" s="37"/>
      <c r="K263" s="60"/>
      <c r="M263" s="61"/>
      <c r="N263" s="61"/>
      <c r="O263" s="61"/>
      <c r="P263" s="61"/>
      <c r="Q263" s="61"/>
      <c r="R263" s="61"/>
      <c r="S263" s="62"/>
      <c r="T263" s="62"/>
      <c r="U263" s="62"/>
    </row>
    <row r="264" spans="1:21" ht="15.75" customHeight="1" x14ac:dyDescent="0.3">
      <c r="A264" s="36"/>
      <c r="B264" s="36"/>
      <c r="C264" s="6"/>
      <c r="D264" s="36"/>
      <c r="E264" s="36"/>
      <c r="F264" s="36"/>
      <c r="G264" s="6"/>
      <c r="H264" s="36"/>
      <c r="I264" s="36"/>
      <c r="J264" s="37"/>
      <c r="K264" s="60"/>
      <c r="M264" s="61"/>
      <c r="N264" s="61"/>
      <c r="O264" s="61"/>
      <c r="P264" s="61"/>
      <c r="Q264" s="61"/>
      <c r="R264" s="61"/>
      <c r="S264" s="62"/>
      <c r="T264" s="62"/>
      <c r="U264" s="62"/>
    </row>
    <row r="265" spans="1:21" ht="15.75" customHeight="1" x14ac:dyDescent="0.3">
      <c r="A265" s="36"/>
      <c r="B265" s="36"/>
      <c r="C265" s="6"/>
      <c r="D265" s="36"/>
      <c r="E265" s="36"/>
      <c r="F265" s="36"/>
      <c r="G265" s="6"/>
      <c r="H265" s="36"/>
      <c r="I265" s="36"/>
      <c r="J265" s="37"/>
      <c r="K265" s="60"/>
      <c r="M265" s="61"/>
      <c r="N265" s="61"/>
      <c r="O265" s="61"/>
      <c r="P265" s="61"/>
      <c r="Q265" s="61"/>
      <c r="R265" s="61"/>
      <c r="S265" s="62"/>
      <c r="T265" s="62"/>
      <c r="U265" s="62"/>
    </row>
    <row r="266" spans="1:21" ht="15.75" customHeight="1" x14ac:dyDescent="0.3">
      <c r="A266" s="36"/>
      <c r="B266" s="36"/>
      <c r="C266" s="6"/>
      <c r="D266" s="36"/>
      <c r="E266" s="36"/>
      <c r="F266" s="36"/>
      <c r="G266" s="6"/>
      <c r="H266" s="36"/>
      <c r="I266" s="36"/>
      <c r="J266" s="37"/>
      <c r="K266" s="60"/>
      <c r="M266" s="61"/>
      <c r="N266" s="61"/>
      <c r="O266" s="61"/>
      <c r="P266" s="61"/>
      <c r="Q266" s="61"/>
      <c r="R266" s="61"/>
      <c r="S266" s="62"/>
      <c r="T266" s="62"/>
      <c r="U266" s="62"/>
    </row>
    <row r="267" spans="1:21" ht="15.75" customHeight="1" x14ac:dyDescent="0.3">
      <c r="A267" s="36"/>
      <c r="B267" s="36"/>
      <c r="C267" s="6"/>
      <c r="D267" s="36"/>
      <c r="E267" s="36"/>
      <c r="F267" s="36"/>
      <c r="G267" s="6"/>
      <c r="H267" s="36"/>
      <c r="I267" s="36"/>
      <c r="J267" s="37"/>
      <c r="K267" s="60"/>
      <c r="M267" s="61"/>
      <c r="N267" s="61"/>
      <c r="O267" s="61"/>
      <c r="P267" s="61"/>
      <c r="Q267" s="61"/>
      <c r="R267" s="61"/>
      <c r="S267" s="62"/>
      <c r="T267" s="62"/>
      <c r="U267" s="62"/>
    </row>
    <row r="268" spans="1:21" ht="15.75" customHeight="1" x14ac:dyDescent="0.3">
      <c r="A268" s="36"/>
      <c r="B268" s="36"/>
      <c r="C268" s="6"/>
      <c r="D268" s="36"/>
      <c r="E268" s="36"/>
      <c r="F268" s="36"/>
      <c r="G268" s="6"/>
      <c r="H268" s="36"/>
      <c r="I268" s="36"/>
      <c r="J268" s="37"/>
      <c r="K268" s="60"/>
      <c r="M268" s="61"/>
      <c r="N268" s="61"/>
      <c r="O268" s="61"/>
      <c r="P268" s="61"/>
      <c r="Q268" s="61"/>
      <c r="R268" s="61"/>
      <c r="S268" s="62"/>
      <c r="T268" s="62"/>
      <c r="U268" s="62"/>
    </row>
    <row r="269" spans="1:21" ht="15.75" customHeight="1" x14ac:dyDescent="0.3">
      <c r="A269" s="36"/>
      <c r="B269" s="36"/>
      <c r="C269" s="6"/>
      <c r="D269" s="36"/>
      <c r="E269" s="36"/>
      <c r="F269" s="36"/>
      <c r="G269" s="6"/>
      <c r="H269" s="36"/>
      <c r="I269" s="36"/>
      <c r="J269" s="37"/>
      <c r="K269" s="60"/>
      <c r="M269" s="61"/>
      <c r="N269" s="61"/>
      <c r="O269" s="61"/>
      <c r="P269" s="61"/>
      <c r="Q269" s="61"/>
      <c r="R269" s="61"/>
      <c r="S269" s="62"/>
      <c r="T269" s="62"/>
      <c r="U269" s="62"/>
    </row>
    <row r="270" spans="1:21" ht="15.75" customHeight="1" x14ac:dyDescent="0.3">
      <c r="A270" s="36"/>
      <c r="B270" s="36"/>
      <c r="C270" s="6"/>
      <c r="D270" s="36"/>
      <c r="E270" s="36"/>
      <c r="F270" s="36"/>
      <c r="G270" s="6"/>
      <c r="H270" s="36"/>
      <c r="I270" s="36"/>
      <c r="J270" s="37"/>
      <c r="K270" s="60"/>
      <c r="M270" s="61"/>
      <c r="N270" s="61"/>
      <c r="O270" s="61"/>
      <c r="P270" s="61"/>
      <c r="Q270" s="61"/>
      <c r="R270" s="61"/>
      <c r="S270" s="62"/>
      <c r="T270" s="62"/>
      <c r="U270" s="62"/>
    </row>
    <row r="271" spans="1:21" ht="15.75" customHeight="1" x14ac:dyDescent="0.3">
      <c r="A271" s="36"/>
      <c r="B271" s="36"/>
      <c r="C271" s="6"/>
      <c r="D271" s="36"/>
      <c r="E271" s="36"/>
      <c r="F271" s="36"/>
      <c r="G271" s="6"/>
      <c r="H271" s="36"/>
      <c r="I271" s="36"/>
      <c r="J271" s="37"/>
      <c r="K271" s="60"/>
      <c r="M271" s="61"/>
      <c r="N271" s="61"/>
      <c r="O271" s="61"/>
      <c r="P271" s="61"/>
      <c r="Q271" s="61"/>
      <c r="R271" s="61"/>
      <c r="S271" s="62"/>
      <c r="T271" s="62"/>
      <c r="U271" s="62"/>
    </row>
    <row r="272" spans="1:21" ht="15.75" customHeight="1" x14ac:dyDescent="0.3">
      <c r="A272" s="36"/>
      <c r="B272" s="36"/>
      <c r="C272" s="6"/>
      <c r="D272" s="36"/>
      <c r="E272" s="36"/>
      <c r="F272" s="36"/>
      <c r="G272" s="6"/>
      <c r="H272" s="36"/>
      <c r="I272" s="36"/>
      <c r="J272" s="37"/>
      <c r="K272" s="60"/>
      <c r="M272" s="61"/>
      <c r="N272" s="61"/>
      <c r="O272" s="61"/>
      <c r="P272" s="61"/>
      <c r="Q272" s="61"/>
      <c r="R272" s="61"/>
      <c r="S272" s="62"/>
      <c r="T272" s="62"/>
      <c r="U272" s="62"/>
    </row>
    <row r="273" spans="1:21" ht="15.75" customHeight="1" x14ac:dyDescent="0.3">
      <c r="A273" s="36"/>
      <c r="B273" s="36"/>
      <c r="C273" s="6"/>
      <c r="D273" s="36"/>
      <c r="E273" s="36"/>
      <c r="F273" s="36"/>
      <c r="G273" s="6"/>
      <c r="H273" s="36"/>
      <c r="I273" s="36"/>
      <c r="J273" s="37"/>
      <c r="K273" s="60"/>
      <c r="M273" s="61"/>
      <c r="N273" s="61"/>
      <c r="O273" s="61"/>
      <c r="P273" s="61"/>
      <c r="Q273" s="61"/>
      <c r="R273" s="61"/>
      <c r="S273" s="62"/>
      <c r="T273" s="62"/>
      <c r="U273" s="62"/>
    </row>
    <row r="274" spans="1:21" ht="15.75" customHeight="1" x14ac:dyDescent="0.3">
      <c r="A274" s="36"/>
      <c r="B274" s="36"/>
      <c r="C274" s="6"/>
      <c r="D274" s="36"/>
      <c r="E274" s="36"/>
      <c r="F274" s="36"/>
      <c r="G274" s="6"/>
      <c r="H274" s="36"/>
      <c r="I274" s="36"/>
      <c r="J274" s="37"/>
      <c r="K274" s="60"/>
      <c r="M274" s="61"/>
      <c r="N274" s="61"/>
      <c r="O274" s="61"/>
      <c r="P274" s="61"/>
      <c r="Q274" s="61"/>
      <c r="R274" s="61"/>
      <c r="S274" s="62"/>
      <c r="T274" s="62"/>
      <c r="U274" s="62"/>
    </row>
    <row r="275" spans="1:21" ht="15.75" customHeight="1" x14ac:dyDescent="0.3">
      <c r="A275" s="36"/>
      <c r="B275" s="36"/>
      <c r="C275" s="6"/>
      <c r="D275" s="36"/>
      <c r="E275" s="36"/>
      <c r="F275" s="36"/>
      <c r="G275" s="6"/>
      <c r="H275" s="36"/>
      <c r="I275" s="36"/>
      <c r="J275" s="37"/>
      <c r="K275" s="60"/>
      <c r="M275" s="61"/>
      <c r="N275" s="61"/>
      <c r="O275" s="61"/>
      <c r="P275" s="61"/>
      <c r="Q275" s="61"/>
      <c r="R275" s="61"/>
      <c r="S275" s="62"/>
      <c r="T275" s="62"/>
      <c r="U275" s="62"/>
    </row>
    <row r="276" spans="1:21" ht="15.75" customHeight="1" x14ac:dyDescent="0.3">
      <c r="A276" s="36"/>
      <c r="B276" s="36"/>
      <c r="C276" s="6"/>
      <c r="D276" s="36"/>
      <c r="E276" s="36"/>
      <c r="F276" s="36"/>
      <c r="G276" s="6"/>
      <c r="H276" s="36"/>
      <c r="I276" s="36"/>
      <c r="J276" s="37"/>
      <c r="K276" s="60"/>
      <c r="M276" s="61"/>
      <c r="N276" s="61"/>
      <c r="O276" s="61"/>
      <c r="P276" s="61"/>
      <c r="Q276" s="61"/>
      <c r="R276" s="61"/>
      <c r="S276" s="62"/>
      <c r="T276" s="62"/>
      <c r="U276" s="62"/>
    </row>
    <row r="277" spans="1:21" ht="15.75" customHeight="1" x14ac:dyDescent="0.3">
      <c r="A277" s="36"/>
      <c r="B277" s="36"/>
      <c r="C277" s="6"/>
      <c r="D277" s="36"/>
      <c r="E277" s="36"/>
      <c r="F277" s="36"/>
      <c r="G277" s="6"/>
      <c r="H277" s="36"/>
      <c r="I277" s="36"/>
      <c r="J277" s="37"/>
      <c r="K277" s="60"/>
      <c r="M277" s="61"/>
      <c r="N277" s="61"/>
      <c r="O277" s="61"/>
      <c r="P277" s="61"/>
      <c r="Q277" s="61"/>
      <c r="R277" s="61"/>
      <c r="S277" s="62"/>
      <c r="T277" s="62"/>
      <c r="U277" s="62"/>
    </row>
    <row r="278" spans="1:21" ht="15.75" customHeight="1" x14ac:dyDescent="0.3">
      <c r="A278" s="36"/>
      <c r="B278" s="36"/>
      <c r="C278" s="6"/>
      <c r="D278" s="36"/>
      <c r="E278" s="36"/>
      <c r="F278" s="36"/>
      <c r="G278" s="6"/>
      <c r="H278" s="36"/>
      <c r="I278" s="36"/>
      <c r="J278" s="37"/>
      <c r="K278" s="60"/>
      <c r="M278" s="61"/>
      <c r="N278" s="61"/>
      <c r="O278" s="61"/>
      <c r="P278" s="61"/>
      <c r="Q278" s="61"/>
      <c r="R278" s="61"/>
      <c r="S278" s="62"/>
      <c r="T278" s="62"/>
      <c r="U278" s="62"/>
    </row>
    <row r="279" spans="1:21" ht="15.75" customHeight="1" x14ac:dyDescent="0.3">
      <c r="A279" s="36"/>
      <c r="B279" s="36"/>
      <c r="C279" s="6"/>
      <c r="D279" s="36"/>
      <c r="E279" s="36"/>
      <c r="F279" s="36"/>
      <c r="G279" s="6"/>
      <c r="H279" s="36"/>
      <c r="I279" s="36"/>
      <c r="J279" s="37"/>
      <c r="K279" s="60"/>
      <c r="M279" s="61"/>
      <c r="N279" s="61"/>
      <c r="O279" s="61"/>
      <c r="P279" s="61"/>
      <c r="Q279" s="61"/>
      <c r="R279" s="61"/>
      <c r="S279" s="62"/>
      <c r="T279" s="62"/>
      <c r="U279" s="62"/>
    </row>
    <row r="280" spans="1:21" ht="15.75" customHeight="1" x14ac:dyDescent="0.3">
      <c r="A280" s="36"/>
      <c r="B280" s="36"/>
      <c r="C280" s="6"/>
      <c r="D280" s="36"/>
      <c r="E280" s="36"/>
      <c r="F280" s="36"/>
      <c r="G280" s="6"/>
      <c r="H280" s="36"/>
      <c r="I280" s="36"/>
      <c r="J280" s="37"/>
      <c r="K280" s="60"/>
      <c r="M280" s="61"/>
      <c r="N280" s="61"/>
      <c r="O280" s="61"/>
      <c r="P280" s="61"/>
      <c r="Q280" s="61"/>
      <c r="R280" s="61"/>
      <c r="S280" s="62"/>
      <c r="T280" s="62"/>
      <c r="U280" s="62"/>
    </row>
    <row r="281" spans="1:21" ht="15.75" customHeight="1" x14ac:dyDescent="0.3">
      <c r="A281" s="36"/>
      <c r="B281" s="36"/>
      <c r="C281" s="6"/>
      <c r="D281" s="36"/>
      <c r="E281" s="36"/>
      <c r="F281" s="36"/>
      <c r="G281" s="6"/>
      <c r="H281" s="36"/>
      <c r="I281" s="36"/>
      <c r="J281" s="37"/>
      <c r="K281" s="60"/>
      <c r="M281" s="61"/>
      <c r="N281" s="61"/>
      <c r="O281" s="61"/>
      <c r="P281" s="61"/>
      <c r="Q281" s="61"/>
      <c r="R281" s="61"/>
      <c r="S281" s="62"/>
      <c r="T281" s="62"/>
      <c r="U281" s="62"/>
    </row>
    <row r="282" spans="1:21" ht="15.75" customHeight="1" x14ac:dyDescent="0.3">
      <c r="A282" s="36"/>
      <c r="B282" s="36"/>
      <c r="C282" s="6"/>
      <c r="D282" s="36"/>
      <c r="E282" s="36"/>
      <c r="F282" s="36"/>
      <c r="G282" s="6"/>
      <c r="H282" s="36"/>
      <c r="I282" s="36"/>
      <c r="J282" s="37"/>
      <c r="K282" s="60"/>
      <c r="M282" s="61"/>
      <c r="N282" s="61"/>
      <c r="O282" s="61"/>
      <c r="P282" s="61"/>
      <c r="Q282" s="61"/>
      <c r="R282" s="61"/>
      <c r="S282" s="62"/>
      <c r="T282" s="62"/>
      <c r="U282" s="62"/>
    </row>
    <row r="283" spans="1:21" ht="15.75" customHeight="1" x14ac:dyDescent="0.3">
      <c r="A283" s="36"/>
      <c r="B283" s="36"/>
      <c r="C283" s="6"/>
      <c r="D283" s="36"/>
      <c r="E283" s="36"/>
      <c r="F283" s="36"/>
      <c r="G283" s="6"/>
      <c r="H283" s="36"/>
      <c r="I283" s="36"/>
      <c r="J283" s="37"/>
      <c r="K283" s="60"/>
      <c r="M283" s="61"/>
      <c r="N283" s="61"/>
      <c r="O283" s="61"/>
      <c r="P283" s="61"/>
      <c r="Q283" s="61"/>
      <c r="R283" s="61"/>
      <c r="S283" s="62"/>
      <c r="T283" s="62"/>
      <c r="U283" s="62"/>
    </row>
    <row r="284" spans="1:21" ht="15.75" customHeight="1" x14ac:dyDescent="0.3">
      <c r="A284" s="36"/>
      <c r="B284" s="36"/>
      <c r="C284" s="6"/>
      <c r="D284" s="36"/>
      <c r="E284" s="36"/>
      <c r="F284" s="36"/>
      <c r="G284" s="6"/>
      <c r="H284" s="36"/>
      <c r="I284" s="36"/>
      <c r="J284" s="37"/>
      <c r="K284" s="60"/>
      <c r="M284" s="61"/>
      <c r="N284" s="61"/>
      <c r="O284" s="61"/>
      <c r="P284" s="61"/>
      <c r="Q284" s="61"/>
      <c r="R284" s="61"/>
      <c r="S284" s="62"/>
      <c r="T284" s="62"/>
      <c r="U284" s="62"/>
    </row>
    <row r="285" spans="1:21" ht="15.75" customHeight="1" x14ac:dyDescent="0.3">
      <c r="A285" s="36"/>
      <c r="B285" s="36"/>
      <c r="C285" s="6"/>
      <c r="D285" s="36"/>
      <c r="E285" s="36"/>
      <c r="F285" s="36"/>
      <c r="G285" s="6"/>
      <c r="H285" s="36"/>
      <c r="I285" s="36"/>
      <c r="J285" s="37"/>
      <c r="K285" s="60"/>
      <c r="M285" s="61"/>
      <c r="N285" s="61"/>
      <c r="O285" s="61"/>
      <c r="P285" s="61"/>
      <c r="Q285" s="61"/>
      <c r="R285" s="61"/>
      <c r="S285" s="62"/>
      <c r="T285" s="62"/>
      <c r="U285" s="62"/>
    </row>
    <row r="286" spans="1:21" ht="15.75" customHeight="1" x14ac:dyDescent="0.3">
      <c r="A286" s="36"/>
      <c r="B286" s="36"/>
      <c r="C286" s="6"/>
      <c r="D286" s="36"/>
      <c r="E286" s="36"/>
      <c r="F286" s="36"/>
      <c r="G286" s="6"/>
      <c r="H286" s="36"/>
      <c r="I286" s="36"/>
      <c r="J286" s="37"/>
      <c r="K286" s="60"/>
      <c r="M286" s="61"/>
      <c r="N286" s="61"/>
      <c r="O286" s="61"/>
      <c r="P286" s="61"/>
      <c r="Q286" s="61"/>
      <c r="R286" s="61"/>
      <c r="S286" s="62"/>
      <c r="T286" s="62"/>
      <c r="U286" s="62"/>
    </row>
    <row r="287" spans="1:21" ht="15.75" customHeight="1" x14ac:dyDescent="0.3">
      <c r="A287" s="36"/>
      <c r="B287" s="36"/>
      <c r="C287" s="6"/>
      <c r="D287" s="36"/>
      <c r="E287" s="36"/>
      <c r="F287" s="36"/>
      <c r="G287" s="6"/>
      <c r="H287" s="36"/>
      <c r="I287" s="36"/>
      <c r="J287" s="37"/>
      <c r="K287" s="60"/>
      <c r="M287" s="61"/>
      <c r="N287" s="61"/>
      <c r="O287" s="61"/>
      <c r="P287" s="61"/>
      <c r="Q287" s="61"/>
      <c r="R287" s="61"/>
      <c r="S287" s="62"/>
      <c r="T287" s="62"/>
      <c r="U287" s="62"/>
    </row>
    <row r="288" spans="1:21" ht="15.75" customHeight="1" x14ac:dyDescent="0.3">
      <c r="A288" s="36"/>
      <c r="B288" s="36"/>
      <c r="C288" s="6"/>
      <c r="D288" s="36"/>
      <c r="E288" s="36"/>
      <c r="F288" s="36"/>
      <c r="G288" s="6"/>
      <c r="H288" s="36"/>
      <c r="I288" s="36"/>
      <c r="J288" s="37"/>
      <c r="K288" s="60"/>
      <c r="M288" s="61"/>
      <c r="N288" s="61"/>
      <c r="O288" s="61"/>
      <c r="P288" s="61"/>
      <c r="Q288" s="61"/>
      <c r="R288" s="61"/>
      <c r="S288" s="62"/>
      <c r="T288" s="62"/>
      <c r="U288" s="62"/>
    </row>
    <row r="289" spans="1:21" ht="15.75" customHeight="1" x14ac:dyDescent="0.3">
      <c r="A289" s="36"/>
      <c r="B289" s="36"/>
      <c r="C289" s="6"/>
      <c r="D289" s="36"/>
      <c r="E289" s="36"/>
      <c r="F289" s="36"/>
      <c r="G289" s="6"/>
      <c r="H289" s="36"/>
      <c r="I289" s="36"/>
      <c r="J289" s="37"/>
      <c r="K289" s="60"/>
      <c r="M289" s="61"/>
      <c r="N289" s="61"/>
      <c r="O289" s="61"/>
      <c r="P289" s="61"/>
      <c r="Q289" s="61"/>
      <c r="R289" s="61"/>
      <c r="S289" s="62"/>
      <c r="T289" s="62"/>
      <c r="U289" s="62"/>
    </row>
    <row r="290" spans="1:21" ht="15.75" customHeight="1" x14ac:dyDescent="0.3">
      <c r="A290" s="36"/>
      <c r="B290" s="36"/>
      <c r="C290" s="6"/>
      <c r="D290" s="36"/>
      <c r="E290" s="36"/>
      <c r="F290" s="36"/>
      <c r="G290" s="6"/>
      <c r="H290" s="36"/>
      <c r="I290" s="36"/>
      <c r="J290" s="37"/>
      <c r="K290" s="60"/>
      <c r="M290" s="61"/>
      <c r="N290" s="61"/>
      <c r="O290" s="61"/>
      <c r="P290" s="61"/>
      <c r="Q290" s="61"/>
      <c r="R290" s="61"/>
      <c r="S290" s="62"/>
      <c r="T290" s="62"/>
      <c r="U290" s="62"/>
    </row>
    <row r="291" spans="1:21" ht="15.75" customHeight="1" x14ac:dyDescent="0.3">
      <c r="A291" s="36"/>
      <c r="B291" s="36"/>
      <c r="C291" s="6"/>
      <c r="D291" s="36"/>
      <c r="E291" s="36"/>
      <c r="F291" s="36"/>
      <c r="G291" s="6"/>
      <c r="H291" s="36"/>
      <c r="I291" s="36"/>
      <c r="J291" s="37"/>
      <c r="K291" s="60"/>
      <c r="M291" s="61"/>
      <c r="N291" s="61"/>
      <c r="O291" s="61"/>
      <c r="P291" s="61"/>
      <c r="Q291" s="61"/>
      <c r="R291" s="61"/>
      <c r="S291" s="62"/>
      <c r="T291" s="62"/>
      <c r="U291" s="62"/>
    </row>
    <row r="292" spans="1:21" ht="15.75" customHeight="1" x14ac:dyDescent="0.3">
      <c r="A292" s="36"/>
      <c r="B292" s="36"/>
      <c r="C292" s="6"/>
      <c r="D292" s="36"/>
      <c r="E292" s="36"/>
      <c r="F292" s="36"/>
      <c r="G292" s="6"/>
      <c r="H292" s="36"/>
      <c r="I292" s="36"/>
      <c r="J292" s="37"/>
      <c r="K292" s="60"/>
      <c r="M292" s="61"/>
      <c r="N292" s="61"/>
      <c r="O292" s="61"/>
      <c r="P292" s="61"/>
      <c r="Q292" s="61"/>
      <c r="R292" s="61"/>
      <c r="S292" s="62"/>
      <c r="T292" s="62"/>
      <c r="U292" s="62"/>
    </row>
    <row r="293" spans="1:21" ht="15.75" customHeight="1" x14ac:dyDescent="0.3">
      <c r="A293" s="36"/>
      <c r="B293" s="36"/>
      <c r="C293" s="6"/>
      <c r="D293" s="36"/>
      <c r="E293" s="36"/>
      <c r="F293" s="36"/>
      <c r="G293" s="6"/>
      <c r="H293" s="36"/>
      <c r="I293" s="36"/>
      <c r="J293" s="37"/>
      <c r="K293" s="60"/>
      <c r="M293" s="61"/>
      <c r="N293" s="61"/>
      <c r="O293" s="61"/>
      <c r="P293" s="61"/>
      <c r="Q293" s="61"/>
      <c r="R293" s="61"/>
      <c r="S293" s="62"/>
      <c r="T293" s="62"/>
      <c r="U293" s="62"/>
    </row>
    <row r="294" spans="1:21" ht="15.75" customHeight="1" x14ac:dyDescent="0.3">
      <c r="A294" s="36"/>
      <c r="B294" s="36"/>
      <c r="C294" s="6"/>
      <c r="D294" s="36"/>
      <c r="E294" s="36"/>
      <c r="F294" s="36"/>
      <c r="G294" s="6"/>
      <c r="H294" s="36"/>
      <c r="I294" s="36"/>
      <c r="J294" s="37"/>
      <c r="K294" s="60"/>
      <c r="M294" s="61"/>
      <c r="N294" s="61"/>
      <c r="O294" s="61"/>
      <c r="P294" s="61"/>
      <c r="Q294" s="61"/>
      <c r="R294" s="61"/>
      <c r="S294" s="62"/>
      <c r="T294" s="62"/>
      <c r="U294" s="62"/>
    </row>
    <row r="295" spans="1:21" ht="15.75" customHeight="1" x14ac:dyDescent="0.3">
      <c r="A295" s="36"/>
      <c r="B295" s="36"/>
      <c r="C295" s="6"/>
      <c r="D295" s="36"/>
      <c r="E295" s="36"/>
      <c r="F295" s="36"/>
      <c r="G295" s="6"/>
      <c r="H295" s="36"/>
      <c r="I295" s="36"/>
      <c r="J295" s="37"/>
      <c r="K295" s="60"/>
      <c r="M295" s="61"/>
      <c r="N295" s="61"/>
      <c r="O295" s="61"/>
      <c r="P295" s="61"/>
      <c r="Q295" s="61"/>
      <c r="R295" s="61"/>
      <c r="S295" s="62"/>
      <c r="T295" s="62"/>
      <c r="U295" s="62"/>
    </row>
    <row r="296" spans="1:21" ht="15.75" customHeight="1" x14ac:dyDescent="0.3">
      <c r="A296" s="36"/>
      <c r="B296" s="36"/>
      <c r="C296" s="6"/>
      <c r="D296" s="36"/>
      <c r="E296" s="36"/>
      <c r="F296" s="36"/>
      <c r="G296" s="6"/>
      <c r="H296" s="36"/>
      <c r="I296" s="36"/>
      <c r="J296" s="37"/>
      <c r="K296" s="60"/>
      <c r="M296" s="61"/>
      <c r="N296" s="61"/>
      <c r="O296" s="61"/>
      <c r="P296" s="61"/>
      <c r="Q296" s="61"/>
      <c r="R296" s="61"/>
      <c r="S296" s="62"/>
      <c r="T296" s="62"/>
      <c r="U296" s="62"/>
    </row>
    <row r="297" spans="1:21" ht="15.75" customHeight="1" x14ac:dyDescent="0.3">
      <c r="A297" s="36"/>
      <c r="B297" s="36"/>
      <c r="C297" s="6"/>
      <c r="D297" s="36"/>
      <c r="E297" s="36"/>
      <c r="F297" s="36"/>
      <c r="G297" s="6"/>
      <c r="H297" s="36"/>
      <c r="I297" s="36"/>
      <c r="J297" s="37"/>
      <c r="K297" s="60"/>
      <c r="M297" s="61"/>
      <c r="N297" s="61"/>
      <c r="O297" s="61"/>
      <c r="P297" s="61"/>
      <c r="Q297" s="61"/>
      <c r="R297" s="61"/>
      <c r="S297" s="62"/>
      <c r="T297" s="62"/>
      <c r="U297" s="62"/>
    </row>
    <row r="298" spans="1:21" ht="15.75" customHeight="1" x14ac:dyDescent="0.3">
      <c r="A298" s="36"/>
      <c r="B298" s="36"/>
      <c r="C298" s="6"/>
      <c r="D298" s="36"/>
      <c r="E298" s="36"/>
      <c r="F298" s="36"/>
      <c r="G298" s="6"/>
      <c r="H298" s="36"/>
      <c r="I298" s="36"/>
      <c r="J298" s="37"/>
      <c r="K298" s="60"/>
      <c r="M298" s="61"/>
      <c r="N298" s="61"/>
      <c r="O298" s="61"/>
      <c r="P298" s="61"/>
      <c r="Q298" s="61"/>
      <c r="R298" s="61"/>
      <c r="S298" s="62"/>
      <c r="T298" s="62"/>
      <c r="U298" s="62"/>
    </row>
    <row r="299" spans="1:21" ht="15.75" customHeight="1" x14ac:dyDescent="0.3">
      <c r="A299" s="36"/>
      <c r="B299" s="36"/>
      <c r="C299" s="6"/>
      <c r="D299" s="36"/>
      <c r="E299" s="36"/>
      <c r="F299" s="36"/>
      <c r="G299" s="6"/>
      <c r="H299" s="36"/>
      <c r="I299" s="36"/>
      <c r="J299" s="37"/>
      <c r="K299" s="60"/>
      <c r="M299" s="61"/>
      <c r="N299" s="61"/>
      <c r="O299" s="61"/>
      <c r="P299" s="61"/>
      <c r="Q299" s="61"/>
      <c r="R299" s="61"/>
      <c r="S299" s="62"/>
      <c r="T299" s="62"/>
      <c r="U299" s="62"/>
    </row>
    <row r="300" spans="1:21" ht="15.75" customHeight="1" x14ac:dyDescent="0.3">
      <c r="A300" s="36"/>
      <c r="B300" s="36"/>
      <c r="C300" s="6"/>
      <c r="D300" s="36"/>
      <c r="E300" s="36"/>
      <c r="F300" s="36"/>
      <c r="G300" s="6"/>
      <c r="H300" s="36"/>
      <c r="I300" s="36"/>
      <c r="J300" s="37"/>
      <c r="K300" s="60"/>
      <c r="M300" s="61"/>
      <c r="N300" s="61"/>
      <c r="O300" s="61"/>
      <c r="P300" s="61"/>
      <c r="Q300" s="61"/>
      <c r="R300" s="61"/>
      <c r="S300" s="62"/>
      <c r="T300" s="62"/>
      <c r="U300" s="62"/>
    </row>
    <row r="301" spans="1:21" ht="15.75" customHeight="1" x14ac:dyDescent="0.3">
      <c r="A301" s="36"/>
      <c r="B301" s="36"/>
      <c r="C301" s="6"/>
      <c r="D301" s="36"/>
      <c r="E301" s="36"/>
      <c r="F301" s="36"/>
      <c r="G301" s="6"/>
      <c r="H301" s="36"/>
      <c r="I301" s="36"/>
      <c r="J301" s="37"/>
      <c r="K301" s="60"/>
      <c r="M301" s="61"/>
      <c r="N301" s="61"/>
      <c r="O301" s="61"/>
      <c r="P301" s="61"/>
      <c r="Q301" s="61"/>
      <c r="R301" s="61"/>
      <c r="S301" s="62"/>
      <c r="T301" s="62"/>
      <c r="U301" s="62"/>
    </row>
    <row r="302" spans="1:21" ht="15.75" customHeight="1" x14ac:dyDescent="0.3">
      <c r="A302" s="36"/>
      <c r="B302" s="36"/>
      <c r="C302" s="6"/>
      <c r="D302" s="36"/>
      <c r="E302" s="36"/>
      <c r="F302" s="36"/>
      <c r="G302" s="6"/>
      <c r="H302" s="36"/>
      <c r="I302" s="36"/>
      <c r="J302" s="37"/>
      <c r="K302" s="60"/>
      <c r="M302" s="61"/>
      <c r="N302" s="61"/>
      <c r="O302" s="61"/>
      <c r="P302" s="61"/>
      <c r="Q302" s="61"/>
      <c r="R302" s="61"/>
      <c r="S302" s="62"/>
      <c r="T302" s="62"/>
      <c r="U302" s="62"/>
    </row>
    <row r="303" spans="1:21" ht="15.75" customHeight="1" x14ac:dyDescent="0.3">
      <c r="A303" s="36"/>
      <c r="B303" s="36"/>
      <c r="C303" s="6"/>
      <c r="D303" s="36"/>
      <c r="E303" s="36"/>
      <c r="F303" s="36"/>
      <c r="G303" s="6"/>
      <c r="H303" s="36"/>
      <c r="I303" s="36"/>
      <c r="J303" s="37"/>
      <c r="K303" s="60"/>
      <c r="M303" s="61"/>
      <c r="N303" s="61"/>
      <c r="O303" s="61"/>
      <c r="P303" s="61"/>
      <c r="Q303" s="61"/>
      <c r="R303" s="61"/>
      <c r="S303" s="62"/>
      <c r="T303" s="62"/>
      <c r="U303" s="62"/>
    </row>
    <row r="304" spans="1:21" ht="15.75" customHeight="1" x14ac:dyDescent="0.3">
      <c r="A304" s="36"/>
      <c r="B304" s="36"/>
      <c r="C304" s="6"/>
      <c r="D304" s="36"/>
      <c r="E304" s="36"/>
      <c r="F304" s="36"/>
      <c r="G304" s="6"/>
      <c r="H304" s="36"/>
      <c r="I304" s="36"/>
      <c r="J304" s="37"/>
      <c r="K304" s="60"/>
      <c r="M304" s="61"/>
      <c r="N304" s="61"/>
      <c r="O304" s="61"/>
      <c r="P304" s="61"/>
      <c r="Q304" s="61"/>
      <c r="R304" s="61"/>
      <c r="S304" s="62"/>
      <c r="T304" s="62"/>
      <c r="U304" s="62"/>
    </row>
    <row r="305" spans="1:21" ht="15.75" customHeight="1" x14ac:dyDescent="0.3">
      <c r="A305" s="36"/>
      <c r="B305" s="36"/>
      <c r="C305" s="6"/>
      <c r="D305" s="36"/>
      <c r="E305" s="36"/>
      <c r="F305" s="36"/>
      <c r="G305" s="6"/>
      <c r="H305" s="36"/>
      <c r="I305" s="36"/>
      <c r="J305" s="37"/>
      <c r="K305" s="60"/>
      <c r="M305" s="61"/>
      <c r="N305" s="61"/>
      <c r="O305" s="61"/>
      <c r="P305" s="61"/>
      <c r="Q305" s="61"/>
      <c r="R305" s="61"/>
      <c r="S305" s="62"/>
      <c r="T305" s="62"/>
      <c r="U305" s="62"/>
    </row>
    <row r="306" spans="1:21" ht="15.75" customHeight="1" x14ac:dyDescent="0.3">
      <c r="A306" s="36"/>
      <c r="B306" s="36"/>
      <c r="C306" s="6"/>
      <c r="D306" s="36"/>
      <c r="E306" s="36"/>
      <c r="F306" s="36"/>
      <c r="G306" s="6"/>
      <c r="H306" s="36"/>
      <c r="I306" s="36"/>
      <c r="J306" s="37"/>
      <c r="K306" s="60"/>
      <c r="M306" s="61"/>
      <c r="N306" s="61"/>
      <c r="O306" s="61"/>
      <c r="P306" s="61"/>
      <c r="Q306" s="61"/>
      <c r="R306" s="61"/>
      <c r="S306" s="62"/>
      <c r="T306" s="62"/>
      <c r="U306" s="62"/>
    </row>
    <row r="307" spans="1:21" ht="15.75" customHeight="1" x14ac:dyDescent="0.3">
      <c r="A307" s="36"/>
      <c r="B307" s="36"/>
      <c r="C307" s="6"/>
      <c r="D307" s="36"/>
      <c r="E307" s="36"/>
      <c r="F307" s="36"/>
      <c r="G307" s="6"/>
      <c r="H307" s="36"/>
      <c r="I307" s="36"/>
      <c r="J307" s="37"/>
      <c r="K307" s="60"/>
      <c r="M307" s="61"/>
      <c r="N307" s="61"/>
      <c r="O307" s="61"/>
      <c r="P307" s="61"/>
      <c r="Q307" s="61"/>
      <c r="R307" s="61"/>
      <c r="S307" s="62"/>
      <c r="T307" s="62"/>
      <c r="U307" s="62"/>
    </row>
    <row r="308" spans="1:21" ht="15.75" customHeight="1" x14ac:dyDescent="0.3">
      <c r="A308" s="36"/>
      <c r="B308" s="36"/>
      <c r="C308" s="6"/>
      <c r="D308" s="36"/>
      <c r="E308" s="36"/>
      <c r="F308" s="36"/>
      <c r="G308" s="6"/>
      <c r="H308" s="36"/>
      <c r="I308" s="36"/>
      <c r="J308" s="37"/>
      <c r="K308" s="60"/>
      <c r="M308" s="61"/>
      <c r="N308" s="61"/>
      <c r="O308" s="61"/>
      <c r="P308" s="61"/>
      <c r="Q308" s="61"/>
      <c r="R308" s="61"/>
      <c r="S308" s="62"/>
      <c r="T308" s="62"/>
      <c r="U308" s="62"/>
    </row>
    <row r="309" spans="1:21" ht="15.75" customHeight="1" x14ac:dyDescent="0.3">
      <c r="A309" s="36"/>
      <c r="B309" s="36"/>
      <c r="C309" s="6"/>
      <c r="D309" s="36"/>
      <c r="E309" s="36"/>
      <c r="F309" s="36"/>
      <c r="G309" s="6"/>
      <c r="H309" s="36"/>
      <c r="I309" s="36"/>
      <c r="J309" s="37"/>
      <c r="K309" s="60"/>
      <c r="M309" s="61"/>
      <c r="N309" s="61"/>
      <c r="O309" s="61"/>
      <c r="P309" s="61"/>
      <c r="Q309" s="61"/>
      <c r="R309" s="61"/>
      <c r="S309" s="62"/>
      <c r="T309" s="62"/>
      <c r="U309" s="62"/>
    </row>
    <row r="310" spans="1:21" ht="15.75" customHeight="1" x14ac:dyDescent="0.3">
      <c r="A310" s="36"/>
      <c r="B310" s="36"/>
      <c r="C310" s="6"/>
      <c r="D310" s="36"/>
      <c r="E310" s="36"/>
      <c r="F310" s="36"/>
      <c r="G310" s="6"/>
      <c r="H310" s="36"/>
      <c r="I310" s="36"/>
      <c r="J310" s="37"/>
      <c r="K310" s="60"/>
      <c r="M310" s="61"/>
      <c r="N310" s="61"/>
      <c r="O310" s="61"/>
      <c r="P310" s="61"/>
      <c r="Q310" s="61"/>
      <c r="R310" s="61"/>
      <c r="S310" s="62"/>
      <c r="T310" s="62"/>
      <c r="U310" s="62"/>
    </row>
    <row r="311" spans="1:21" ht="15.75" customHeight="1" x14ac:dyDescent="0.3">
      <c r="A311" s="36"/>
      <c r="B311" s="36"/>
      <c r="C311" s="6"/>
      <c r="D311" s="36"/>
      <c r="E311" s="36"/>
      <c r="F311" s="36"/>
      <c r="G311" s="6"/>
      <c r="H311" s="36"/>
      <c r="I311" s="36"/>
      <c r="J311" s="37"/>
      <c r="K311" s="60"/>
      <c r="M311" s="61"/>
      <c r="N311" s="61"/>
      <c r="O311" s="61"/>
      <c r="P311" s="61"/>
      <c r="Q311" s="61"/>
      <c r="R311" s="61"/>
      <c r="S311" s="62"/>
      <c r="T311" s="62"/>
      <c r="U311" s="62"/>
    </row>
    <row r="312" spans="1:21" ht="15.75" customHeight="1" x14ac:dyDescent="0.3">
      <c r="A312" s="36"/>
      <c r="B312" s="36"/>
      <c r="C312" s="6"/>
      <c r="D312" s="36"/>
      <c r="E312" s="36"/>
      <c r="F312" s="36"/>
      <c r="G312" s="6"/>
      <c r="H312" s="36"/>
      <c r="I312" s="36"/>
      <c r="J312" s="37"/>
      <c r="K312" s="60"/>
      <c r="M312" s="61"/>
      <c r="N312" s="61"/>
      <c r="O312" s="61"/>
      <c r="P312" s="61"/>
      <c r="Q312" s="61"/>
      <c r="R312" s="61"/>
      <c r="S312" s="62"/>
      <c r="T312" s="62"/>
      <c r="U312" s="62"/>
    </row>
    <row r="313" spans="1:21" ht="15.75" customHeight="1" x14ac:dyDescent="0.3">
      <c r="A313" s="36"/>
      <c r="B313" s="36"/>
      <c r="C313" s="6"/>
      <c r="D313" s="36"/>
      <c r="E313" s="36"/>
      <c r="F313" s="36"/>
      <c r="G313" s="6"/>
      <c r="H313" s="36"/>
      <c r="I313" s="36"/>
      <c r="J313" s="37"/>
      <c r="K313" s="60"/>
      <c r="M313" s="61"/>
      <c r="N313" s="61"/>
      <c r="O313" s="61"/>
      <c r="P313" s="61"/>
      <c r="Q313" s="61"/>
      <c r="R313" s="61"/>
      <c r="S313" s="62"/>
      <c r="T313" s="62"/>
      <c r="U313" s="62"/>
    </row>
    <row r="314" spans="1:21" ht="15.75" customHeight="1" x14ac:dyDescent="0.3">
      <c r="A314" s="36"/>
      <c r="B314" s="36"/>
      <c r="C314" s="6"/>
      <c r="D314" s="36"/>
      <c r="E314" s="36"/>
      <c r="F314" s="36"/>
      <c r="G314" s="6"/>
      <c r="H314" s="36"/>
      <c r="I314" s="36"/>
      <c r="J314" s="37"/>
      <c r="K314" s="60"/>
      <c r="M314" s="61"/>
      <c r="N314" s="61"/>
      <c r="O314" s="61"/>
      <c r="P314" s="61"/>
      <c r="Q314" s="61"/>
      <c r="R314" s="61"/>
      <c r="S314" s="62"/>
      <c r="T314" s="62"/>
      <c r="U314" s="62"/>
    </row>
    <row r="315" spans="1:21" ht="15.75" customHeight="1" x14ac:dyDescent="0.3">
      <c r="A315" s="36"/>
      <c r="B315" s="36"/>
      <c r="C315" s="6"/>
      <c r="D315" s="36"/>
      <c r="E315" s="36"/>
      <c r="F315" s="36"/>
      <c r="G315" s="6"/>
      <c r="H315" s="36"/>
      <c r="I315" s="36"/>
      <c r="J315" s="37"/>
      <c r="K315" s="60"/>
      <c r="M315" s="61"/>
      <c r="N315" s="61"/>
      <c r="O315" s="61"/>
      <c r="P315" s="61"/>
      <c r="Q315" s="61"/>
      <c r="R315" s="61"/>
      <c r="S315" s="62"/>
      <c r="T315" s="62"/>
      <c r="U315" s="62"/>
    </row>
    <row r="316" spans="1:21" ht="15.75" customHeight="1" x14ac:dyDescent="0.3">
      <c r="A316" s="36"/>
      <c r="B316" s="36"/>
      <c r="C316" s="6"/>
      <c r="D316" s="36"/>
      <c r="E316" s="36"/>
      <c r="F316" s="36"/>
      <c r="G316" s="6"/>
      <c r="H316" s="36"/>
      <c r="I316" s="36"/>
      <c r="J316" s="37"/>
      <c r="K316" s="60"/>
      <c r="M316" s="61"/>
      <c r="N316" s="61"/>
      <c r="O316" s="61"/>
      <c r="P316" s="61"/>
      <c r="Q316" s="61"/>
      <c r="R316" s="61"/>
      <c r="S316" s="62"/>
      <c r="T316" s="62"/>
      <c r="U316" s="62"/>
    </row>
    <row r="317" spans="1:21" ht="15.75" customHeight="1" x14ac:dyDescent="0.3">
      <c r="A317" s="36"/>
      <c r="B317" s="36"/>
      <c r="C317" s="6"/>
      <c r="D317" s="36"/>
      <c r="E317" s="36"/>
      <c r="F317" s="36"/>
      <c r="G317" s="6"/>
      <c r="H317" s="36"/>
      <c r="I317" s="36"/>
      <c r="J317" s="37"/>
      <c r="K317" s="60"/>
      <c r="M317" s="61"/>
      <c r="N317" s="61"/>
      <c r="O317" s="61"/>
      <c r="P317" s="61"/>
      <c r="Q317" s="61"/>
      <c r="R317" s="61"/>
      <c r="S317" s="62"/>
      <c r="T317" s="62"/>
      <c r="U317" s="62"/>
    </row>
    <row r="318" spans="1:21" ht="15.75" customHeight="1" x14ac:dyDescent="0.3">
      <c r="A318" s="36"/>
      <c r="B318" s="36"/>
      <c r="C318" s="6"/>
      <c r="D318" s="36"/>
      <c r="E318" s="36"/>
      <c r="F318" s="36"/>
      <c r="G318" s="6"/>
      <c r="H318" s="36"/>
      <c r="I318" s="36"/>
      <c r="J318" s="37"/>
      <c r="K318" s="60"/>
      <c r="M318" s="61"/>
      <c r="N318" s="61"/>
      <c r="O318" s="61"/>
      <c r="P318" s="61"/>
      <c r="Q318" s="61"/>
      <c r="R318" s="61"/>
      <c r="S318" s="62"/>
      <c r="T318" s="62"/>
      <c r="U318" s="62"/>
    </row>
    <row r="319" spans="1:21" ht="15.75" customHeight="1" x14ac:dyDescent="0.3">
      <c r="A319" s="36"/>
      <c r="B319" s="36"/>
      <c r="C319" s="6"/>
      <c r="D319" s="36"/>
      <c r="E319" s="36"/>
      <c r="F319" s="36"/>
      <c r="G319" s="6"/>
      <c r="H319" s="36"/>
      <c r="I319" s="36"/>
      <c r="J319" s="37"/>
      <c r="K319" s="60"/>
      <c r="M319" s="61"/>
      <c r="N319" s="61"/>
      <c r="O319" s="61"/>
      <c r="P319" s="61"/>
      <c r="Q319" s="61"/>
      <c r="R319" s="61"/>
      <c r="S319" s="62"/>
      <c r="T319" s="62"/>
      <c r="U319" s="62"/>
    </row>
    <row r="320" spans="1:21" ht="15.75" customHeight="1" x14ac:dyDescent="0.3">
      <c r="A320" s="36"/>
      <c r="B320" s="36"/>
      <c r="C320" s="6"/>
      <c r="D320" s="36"/>
      <c r="E320" s="36"/>
      <c r="F320" s="36"/>
      <c r="G320" s="6"/>
      <c r="H320" s="36"/>
      <c r="I320" s="36"/>
      <c r="J320" s="37"/>
      <c r="K320" s="60"/>
      <c r="M320" s="61"/>
      <c r="N320" s="61"/>
      <c r="O320" s="61"/>
      <c r="P320" s="61"/>
      <c r="Q320" s="61"/>
      <c r="R320" s="61"/>
      <c r="S320" s="62"/>
      <c r="T320" s="62"/>
      <c r="U320" s="62"/>
    </row>
    <row r="321" spans="1:21" ht="15.75" customHeight="1" x14ac:dyDescent="0.3">
      <c r="A321" s="36"/>
      <c r="B321" s="36"/>
      <c r="C321" s="6"/>
      <c r="D321" s="36"/>
      <c r="E321" s="36"/>
      <c r="F321" s="36"/>
      <c r="G321" s="6"/>
      <c r="H321" s="36"/>
      <c r="I321" s="36"/>
      <c r="J321" s="37"/>
      <c r="K321" s="60"/>
      <c r="M321" s="61"/>
      <c r="N321" s="61"/>
      <c r="O321" s="61"/>
      <c r="P321" s="61"/>
      <c r="Q321" s="61"/>
      <c r="R321" s="61"/>
      <c r="S321" s="62"/>
      <c r="T321" s="62"/>
      <c r="U321" s="62"/>
    </row>
    <row r="322" spans="1:21" ht="15.75" customHeight="1" x14ac:dyDescent="0.3">
      <c r="A322" s="36"/>
      <c r="B322" s="36"/>
      <c r="C322" s="6"/>
      <c r="D322" s="36"/>
      <c r="E322" s="36"/>
      <c r="F322" s="36"/>
      <c r="G322" s="6"/>
      <c r="H322" s="36"/>
      <c r="I322" s="36"/>
      <c r="J322" s="37"/>
      <c r="K322" s="60"/>
      <c r="M322" s="61"/>
      <c r="N322" s="61"/>
      <c r="O322" s="61"/>
      <c r="P322" s="61"/>
      <c r="Q322" s="61"/>
      <c r="R322" s="61"/>
      <c r="S322" s="62"/>
      <c r="T322" s="62"/>
      <c r="U322" s="62"/>
    </row>
    <row r="323" spans="1:21" ht="15.75" customHeight="1" x14ac:dyDescent="0.3">
      <c r="A323" s="36"/>
      <c r="B323" s="36"/>
      <c r="C323" s="6"/>
      <c r="D323" s="36"/>
      <c r="E323" s="36"/>
      <c r="F323" s="36"/>
      <c r="G323" s="6"/>
      <c r="H323" s="36"/>
      <c r="I323" s="36"/>
      <c r="J323" s="37"/>
      <c r="K323" s="60"/>
      <c r="M323" s="61"/>
      <c r="N323" s="61"/>
      <c r="O323" s="61"/>
      <c r="P323" s="61"/>
      <c r="Q323" s="61"/>
      <c r="R323" s="61"/>
      <c r="S323" s="62"/>
      <c r="T323" s="62"/>
      <c r="U323" s="62"/>
    </row>
    <row r="324" spans="1:21" ht="15.75" customHeight="1" x14ac:dyDescent="0.3">
      <c r="A324" s="36"/>
      <c r="B324" s="36"/>
      <c r="C324" s="6"/>
      <c r="D324" s="36"/>
      <c r="E324" s="36"/>
      <c r="F324" s="36"/>
      <c r="G324" s="6"/>
      <c r="H324" s="36"/>
      <c r="I324" s="36"/>
      <c r="J324" s="37"/>
      <c r="K324" s="60"/>
      <c r="M324" s="61"/>
      <c r="N324" s="61"/>
      <c r="O324" s="61"/>
      <c r="P324" s="61"/>
      <c r="Q324" s="61"/>
      <c r="R324" s="61"/>
      <c r="S324" s="62"/>
      <c r="T324" s="62"/>
      <c r="U324" s="62"/>
    </row>
    <row r="325" spans="1:21" ht="15.75" customHeight="1" x14ac:dyDescent="0.3">
      <c r="A325" s="36"/>
      <c r="B325" s="36"/>
      <c r="C325" s="6"/>
      <c r="D325" s="36"/>
      <c r="E325" s="36"/>
      <c r="F325" s="36"/>
      <c r="G325" s="6"/>
      <c r="H325" s="36"/>
      <c r="I325" s="36"/>
      <c r="J325" s="37"/>
      <c r="K325" s="60"/>
      <c r="M325" s="61"/>
      <c r="N325" s="61"/>
      <c r="O325" s="61"/>
      <c r="P325" s="61"/>
      <c r="Q325" s="61"/>
      <c r="R325" s="61"/>
      <c r="S325" s="62"/>
      <c r="T325" s="62"/>
      <c r="U325" s="62"/>
    </row>
    <row r="326" spans="1:21" ht="15.75" customHeight="1" x14ac:dyDescent="0.3">
      <c r="A326" s="36"/>
      <c r="B326" s="36"/>
      <c r="C326" s="6"/>
      <c r="D326" s="36"/>
      <c r="E326" s="36"/>
      <c r="F326" s="36"/>
      <c r="G326" s="6"/>
      <c r="H326" s="36"/>
      <c r="I326" s="36"/>
      <c r="J326" s="37"/>
      <c r="K326" s="60"/>
      <c r="M326" s="61"/>
      <c r="N326" s="61"/>
      <c r="O326" s="61"/>
      <c r="P326" s="61"/>
      <c r="Q326" s="61"/>
      <c r="R326" s="61"/>
      <c r="S326" s="62"/>
      <c r="T326" s="62"/>
      <c r="U326" s="62"/>
    </row>
    <row r="327" spans="1:21" ht="15.75" customHeight="1" x14ac:dyDescent="0.3">
      <c r="A327" s="36"/>
      <c r="B327" s="36"/>
      <c r="C327" s="6"/>
      <c r="D327" s="36"/>
      <c r="E327" s="36"/>
      <c r="F327" s="36"/>
      <c r="G327" s="6"/>
      <c r="H327" s="36"/>
      <c r="I327" s="36"/>
      <c r="J327" s="37"/>
      <c r="K327" s="60"/>
      <c r="M327" s="61"/>
      <c r="N327" s="61"/>
      <c r="O327" s="61"/>
      <c r="P327" s="61"/>
      <c r="Q327" s="61"/>
      <c r="R327" s="61"/>
      <c r="S327" s="62"/>
      <c r="T327" s="62"/>
      <c r="U327" s="62"/>
    </row>
    <row r="328" spans="1:21" ht="15.75" customHeight="1" x14ac:dyDescent="0.3">
      <c r="A328" s="36"/>
      <c r="B328" s="36"/>
      <c r="C328" s="6"/>
      <c r="D328" s="36"/>
      <c r="E328" s="36"/>
      <c r="F328" s="36"/>
      <c r="G328" s="6"/>
      <c r="H328" s="36"/>
      <c r="I328" s="36"/>
      <c r="J328" s="37"/>
      <c r="K328" s="60"/>
      <c r="M328" s="61"/>
      <c r="N328" s="61"/>
      <c r="O328" s="61"/>
      <c r="P328" s="61"/>
      <c r="Q328" s="61"/>
      <c r="R328" s="61"/>
      <c r="S328" s="62"/>
      <c r="T328" s="62"/>
      <c r="U328" s="62"/>
    </row>
    <row r="329" spans="1:21" ht="15.75" customHeight="1" x14ac:dyDescent="0.3">
      <c r="A329" s="36"/>
      <c r="B329" s="36"/>
      <c r="C329" s="6"/>
      <c r="D329" s="36"/>
      <c r="E329" s="36"/>
      <c r="F329" s="36"/>
      <c r="G329" s="6"/>
      <c r="H329" s="36"/>
      <c r="I329" s="36"/>
      <c r="J329" s="37"/>
      <c r="K329" s="60"/>
      <c r="M329" s="61"/>
      <c r="N329" s="61"/>
      <c r="O329" s="61"/>
      <c r="P329" s="61"/>
      <c r="Q329" s="61"/>
      <c r="R329" s="61"/>
      <c r="S329" s="62"/>
      <c r="T329" s="62"/>
      <c r="U329" s="62"/>
    </row>
    <row r="330" spans="1:21" ht="15.75" customHeight="1" x14ac:dyDescent="0.3">
      <c r="A330" s="36"/>
      <c r="B330" s="36"/>
      <c r="C330" s="6"/>
      <c r="D330" s="36"/>
      <c r="E330" s="36"/>
      <c r="F330" s="36"/>
      <c r="G330" s="6"/>
      <c r="H330" s="36"/>
      <c r="I330" s="36"/>
      <c r="J330" s="37"/>
      <c r="K330" s="60"/>
      <c r="M330" s="61"/>
      <c r="N330" s="61"/>
      <c r="O330" s="61"/>
      <c r="P330" s="61"/>
      <c r="Q330" s="61"/>
      <c r="R330" s="61"/>
      <c r="S330" s="62"/>
      <c r="T330" s="62"/>
      <c r="U330" s="62"/>
    </row>
    <row r="331" spans="1:21" ht="15.75" customHeight="1" x14ac:dyDescent="0.3">
      <c r="A331" s="36"/>
      <c r="B331" s="36"/>
      <c r="C331" s="6"/>
      <c r="D331" s="36"/>
      <c r="E331" s="36"/>
      <c r="F331" s="36"/>
      <c r="G331" s="6"/>
      <c r="H331" s="36"/>
      <c r="I331" s="36"/>
      <c r="J331" s="37"/>
      <c r="K331" s="60"/>
      <c r="M331" s="61"/>
      <c r="N331" s="61"/>
      <c r="O331" s="61"/>
      <c r="P331" s="61"/>
      <c r="Q331" s="61"/>
      <c r="R331" s="61"/>
      <c r="S331" s="62"/>
      <c r="T331" s="62"/>
      <c r="U331" s="62"/>
    </row>
    <row r="332" spans="1:21" ht="15.75" customHeight="1" x14ac:dyDescent="0.3">
      <c r="A332" s="36"/>
      <c r="B332" s="36"/>
      <c r="C332" s="6"/>
      <c r="D332" s="36"/>
      <c r="E332" s="36"/>
      <c r="F332" s="36"/>
      <c r="G332" s="6"/>
      <c r="H332" s="36"/>
      <c r="I332" s="36"/>
      <c r="J332" s="37"/>
      <c r="K332" s="60"/>
      <c r="M332" s="61"/>
      <c r="N332" s="61"/>
      <c r="O332" s="61"/>
      <c r="P332" s="61"/>
      <c r="Q332" s="61"/>
      <c r="R332" s="61"/>
      <c r="S332" s="62"/>
      <c r="T332" s="62"/>
      <c r="U332" s="62"/>
    </row>
    <row r="333" spans="1:21" ht="15.75" customHeight="1" x14ac:dyDescent="0.3">
      <c r="A333" s="36"/>
      <c r="B333" s="36"/>
      <c r="C333" s="6"/>
      <c r="D333" s="36"/>
      <c r="E333" s="36"/>
      <c r="F333" s="36"/>
      <c r="G333" s="6"/>
      <c r="H333" s="36"/>
      <c r="I333" s="36"/>
      <c r="J333" s="37"/>
      <c r="K333" s="60"/>
      <c r="M333" s="61"/>
      <c r="N333" s="61"/>
      <c r="O333" s="61"/>
      <c r="P333" s="61"/>
      <c r="Q333" s="61"/>
      <c r="R333" s="61"/>
      <c r="S333" s="62"/>
      <c r="T333" s="62"/>
      <c r="U333" s="62"/>
    </row>
    <row r="334" spans="1:21" ht="15.75" customHeight="1" x14ac:dyDescent="0.3">
      <c r="A334" s="36"/>
      <c r="B334" s="36"/>
      <c r="C334" s="6"/>
      <c r="D334" s="36"/>
      <c r="E334" s="36"/>
      <c r="F334" s="36"/>
      <c r="G334" s="6"/>
      <c r="H334" s="36"/>
      <c r="I334" s="36"/>
      <c r="J334" s="37"/>
      <c r="K334" s="60"/>
      <c r="M334" s="61"/>
      <c r="N334" s="61"/>
      <c r="O334" s="61"/>
      <c r="P334" s="61"/>
      <c r="Q334" s="61"/>
      <c r="R334" s="61"/>
      <c r="S334" s="62"/>
      <c r="T334" s="62"/>
      <c r="U334" s="62"/>
    </row>
    <row r="335" spans="1:21" ht="15.75" customHeight="1" x14ac:dyDescent="0.3">
      <c r="A335" s="36"/>
      <c r="B335" s="36"/>
      <c r="C335" s="6"/>
      <c r="D335" s="36"/>
      <c r="E335" s="36"/>
      <c r="F335" s="36"/>
      <c r="G335" s="6"/>
      <c r="H335" s="36"/>
      <c r="I335" s="36"/>
      <c r="J335" s="37"/>
      <c r="K335" s="60"/>
      <c r="M335" s="61"/>
      <c r="N335" s="61"/>
      <c r="O335" s="61"/>
      <c r="P335" s="61"/>
      <c r="Q335" s="61"/>
      <c r="R335" s="61"/>
      <c r="S335" s="62"/>
      <c r="T335" s="62"/>
      <c r="U335" s="62"/>
    </row>
    <row r="336" spans="1:21" ht="15.75" customHeight="1" x14ac:dyDescent="0.3">
      <c r="A336" s="36"/>
      <c r="B336" s="36"/>
      <c r="C336" s="6"/>
      <c r="D336" s="36"/>
      <c r="E336" s="36"/>
      <c r="F336" s="36"/>
      <c r="G336" s="6"/>
      <c r="H336" s="36"/>
      <c r="I336" s="36"/>
      <c r="J336" s="37"/>
      <c r="K336" s="60"/>
      <c r="M336" s="61"/>
      <c r="N336" s="61"/>
      <c r="O336" s="61"/>
      <c r="P336" s="61"/>
      <c r="Q336" s="61"/>
      <c r="R336" s="61"/>
      <c r="S336" s="62"/>
      <c r="T336" s="62"/>
      <c r="U336" s="62"/>
    </row>
    <row r="337" spans="1:21" ht="15.75" customHeight="1" x14ac:dyDescent="0.3">
      <c r="A337" s="36"/>
      <c r="B337" s="36"/>
      <c r="C337" s="6"/>
      <c r="D337" s="36"/>
      <c r="E337" s="36"/>
      <c r="F337" s="36"/>
      <c r="G337" s="6"/>
      <c r="H337" s="36"/>
      <c r="I337" s="36"/>
      <c r="J337" s="37"/>
      <c r="K337" s="60"/>
      <c r="M337" s="61"/>
      <c r="N337" s="61"/>
      <c r="O337" s="61"/>
      <c r="P337" s="61"/>
      <c r="Q337" s="61"/>
      <c r="R337" s="61"/>
      <c r="S337" s="62"/>
      <c r="T337" s="62"/>
      <c r="U337" s="62"/>
    </row>
    <row r="338" spans="1:21" ht="15.75" customHeight="1" x14ac:dyDescent="0.3">
      <c r="A338" s="36"/>
      <c r="B338" s="36"/>
      <c r="C338" s="6"/>
      <c r="D338" s="36"/>
      <c r="E338" s="36"/>
      <c r="F338" s="36"/>
      <c r="G338" s="6"/>
      <c r="H338" s="36"/>
      <c r="I338" s="36"/>
      <c r="J338" s="37"/>
      <c r="K338" s="60"/>
      <c r="M338" s="61"/>
      <c r="N338" s="61"/>
      <c r="O338" s="61"/>
      <c r="P338" s="61"/>
      <c r="Q338" s="61"/>
      <c r="R338" s="61"/>
      <c r="S338" s="62"/>
      <c r="T338" s="62"/>
      <c r="U338" s="62"/>
    </row>
    <row r="339" spans="1:21" ht="15.75" customHeight="1" x14ac:dyDescent="0.3">
      <c r="A339" s="36"/>
      <c r="B339" s="36"/>
      <c r="C339" s="6"/>
      <c r="D339" s="36"/>
      <c r="E339" s="36"/>
      <c r="F339" s="36"/>
      <c r="G339" s="6"/>
      <c r="H339" s="36"/>
      <c r="I339" s="36"/>
      <c r="J339" s="37"/>
      <c r="K339" s="60"/>
      <c r="M339" s="61"/>
      <c r="N339" s="61"/>
      <c r="O339" s="61"/>
      <c r="P339" s="61"/>
      <c r="Q339" s="61"/>
      <c r="R339" s="61"/>
      <c r="S339" s="62"/>
      <c r="T339" s="62"/>
      <c r="U339" s="62"/>
    </row>
    <row r="340" spans="1:21" ht="15.75" customHeight="1" x14ac:dyDescent="0.3">
      <c r="A340" s="36"/>
      <c r="B340" s="36"/>
      <c r="C340" s="6"/>
      <c r="D340" s="36"/>
      <c r="E340" s="36"/>
      <c r="F340" s="36"/>
      <c r="G340" s="6"/>
      <c r="H340" s="36"/>
      <c r="I340" s="36"/>
      <c r="J340" s="37"/>
      <c r="K340" s="60"/>
      <c r="M340" s="61"/>
      <c r="N340" s="61"/>
      <c r="O340" s="61"/>
      <c r="P340" s="61"/>
      <c r="Q340" s="61"/>
      <c r="R340" s="61"/>
      <c r="S340" s="62"/>
      <c r="T340" s="62"/>
      <c r="U340" s="62"/>
    </row>
    <row r="341" spans="1:21" ht="15.75" customHeight="1" x14ac:dyDescent="0.3">
      <c r="A341" s="36"/>
      <c r="B341" s="36"/>
      <c r="C341" s="6"/>
      <c r="D341" s="36"/>
      <c r="E341" s="36"/>
      <c r="F341" s="36"/>
      <c r="G341" s="6"/>
      <c r="H341" s="36"/>
      <c r="I341" s="36"/>
      <c r="J341" s="37"/>
      <c r="K341" s="60"/>
      <c r="M341" s="61"/>
      <c r="N341" s="61"/>
      <c r="O341" s="61"/>
      <c r="P341" s="61"/>
      <c r="Q341" s="61"/>
      <c r="R341" s="61"/>
      <c r="S341" s="62"/>
      <c r="T341" s="62"/>
      <c r="U341" s="62"/>
    </row>
    <row r="342" spans="1:21" ht="15.75" customHeight="1" x14ac:dyDescent="0.3">
      <c r="A342" s="36"/>
      <c r="B342" s="36"/>
      <c r="C342" s="6"/>
      <c r="D342" s="36"/>
      <c r="E342" s="36"/>
      <c r="F342" s="36"/>
      <c r="G342" s="6"/>
      <c r="H342" s="36"/>
      <c r="I342" s="36"/>
      <c r="J342" s="37"/>
      <c r="K342" s="60"/>
      <c r="M342" s="61"/>
      <c r="N342" s="61"/>
      <c r="O342" s="61"/>
      <c r="P342" s="61"/>
      <c r="Q342" s="61"/>
      <c r="R342" s="61"/>
      <c r="S342" s="62"/>
      <c r="T342" s="62"/>
      <c r="U342" s="62"/>
    </row>
    <row r="343" spans="1:21" ht="15.75" customHeight="1" x14ac:dyDescent="0.3">
      <c r="A343" s="36"/>
      <c r="B343" s="36"/>
      <c r="C343" s="6"/>
      <c r="D343" s="36"/>
      <c r="E343" s="36"/>
      <c r="F343" s="36"/>
      <c r="G343" s="6"/>
      <c r="H343" s="36"/>
      <c r="I343" s="36"/>
      <c r="J343" s="37"/>
      <c r="K343" s="60"/>
      <c r="M343" s="61"/>
      <c r="N343" s="61"/>
      <c r="O343" s="61"/>
      <c r="P343" s="61"/>
      <c r="Q343" s="61"/>
      <c r="R343" s="61"/>
      <c r="S343" s="62"/>
      <c r="T343" s="62"/>
      <c r="U343" s="62"/>
    </row>
    <row r="344" spans="1:21" ht="15.75" customHeight="1" x14ac:dyDescent="0.3">
      <c r="A344" s="36"/>
      <c r="B344" s="36"/>
      <c r="C344" s="6"/>
      <c r="D344" s="36"/>
      <c r="E344" s="36"/>
      <c r="F344" s="36"/>
      <c r="G344" s="6"/>
      <c r="H344" s="36"/>
      <c r="I344" s="36"/>
      <c r="J344" s="37"/>
      <c r="K344" s="60"/>
      <c r="M344" s="61"/>
      <c r="N344" s="61"/>
      <c r="O344" s="61"/>
      <c r="P344" s="61"/>
      <c r="Q344" s="61"/>
      <c r="R344" s="61"/>
      <c r="S344" s="62"/>
      <c r="T344" s="62"/>
      <c r="U344" s="62"/>
    </row>
    <row r="345" spans="1:21" ht="15.75" customHeight="1" x14ac:dyDescent="0.3">
      <c r="A345" s="36"/>
      <c r="B345" s="36"/>
      <c r="C345" s="6"/>
      <c r="D345" s="36"/>
      <c r="E345" s="36"/>
      <c r="F345" s="36"/>
      <c r="G345" s="6"/>
      <c r="H345" s="36"/>
      <c r="I345" s="36"/>
      <c r="J345" s="37"/>
      <c r="K345" s="60"/>
      <c r="M345" s="61"/>
      <c r="N345" s="61"/>
      <c r="O345" s="61"/>
      <c r="P345" s="61"/>
      <c r="Q345" s="61"/>
      <c r="R345" s="61"/>
      <c r="S345" s="62"/>
      <c r="T345" s="62"/>
      <c r="U345" s="62"/>
    </row>
    <row r="346" spans="1:21" ht="15.75" customHeight="1" x14ac:dyDescent="0.3">
      <c r="A346" s="36"/>
      <c r="B346" s="36"/>
      <c r="C346" s="6"/>
      <c r="D346" s="36"/>
      <c r="E346" s="36"/>
      <c r="F346" s="36"/>
      <c r="G346" s="6"/>
      <c r="H346" s="36"/>
      <c r="I346" s="36"/>
      <c r="J346" s="37"/>
      <c r="K346" s="60"/>
      <c r="M346" s="61"/>
      <c r="N346" s="61"/>
      <c r="O346" s="61"/>
      <c r="P346" s="61"/>
      <c r="Q346" s="61"/>
      <c r="R346" s="61"/>
      <c r="S346" s="62"/>
      <c r="T346" s="62"/>
      <c r="U346" s="62"/>
    </row>
    <row r="347" spans="1:21" ht="15.75" customHeight="1" x14ac:dyDescent="0.3">
      <c r="A347" s="36"/>
      <c r="B347" s="36"/>
      <c r="C347" s="6"/>
      <c r="D347" s="36"/>
      <c r="E347" s="36"/>
      <c r="F347" s="36"/>
      <c r="G347" s="6"/>
      <c r="H347" s="36"/>
      <c r="I347" s="36"/>
      <c r="J347" s="37"/>
      <c r="K347" s="60"/>
      <c r="M347" s="61"/>
      <c r="N347" s="61"/>
      <c r="O347" s="61"/>
      <c r="P347" s="61"/>
      <c r="Q347" s="61"/>
      <c r="R347" s="61"/>
      <c r="S347" s="62"/>
      <c r="T347" s="62"/>
      <c r="U347" s="62"/>
    </row>
    <row r="348" spans="1:21" ht="15.75" customHeight="1" x14ac:dyDescent="0.3">
      <c r="A348" s="36"/>
      <c r="B348" s="36"/>
      <c r="C348" s="6"/>
      <c r="D348" s="36"/>
      <c r="E348" s="36"/>
      <c r="F348" s="36"/>
      <c r="G348" s="6"/>
      <c r="H348" s="36"/>
      <c r="I348" s="36"/>
      <c r="J348" s="37"/>
      <c r="K348" s="60"/>
      <c r="M348" s="61"/>
      <c r="N348" s="61"/>
      <c r="O348" s="61"/>
      <c r="P348" s="61"/>
      <c r="Q348" s="61"/>
      <c r="R348" s="61"/>
      <c r="S348" s="62"/>
      <c r="T348" s="62"/>
      <c r="U348" s="62"/>
    </row>
    <row r="349" spans="1:21" ht="15.75" customHeight="1" x14ac:dyDescent="0.3">
      <c r="A349" s="36"/>
      <c r="B349" s="36"/>
      <c r="C349" s="6"/>
      <c r="D349" s="36"/>
      <c r="E349" s="36"/>
      <c r="F349" s="36"/>
      <c r="G349" s="6"/>
      <c r="H349" s="36"/>
      <c r="I349" s="36"/>
      <c r="J349" s="37"/>
      <c r="K349" s="60"/>
      <c r="M349" s="61"/>
      <c r="N349" s="61"/>
      <c r="O349" s="61"/>
      <c r="P349" s="61"/>
      <c r="Q349" s="61"/>
      <c r="R349" s="61"/>
      <c r="S349" s="62"/>
      <c r="T349" s="62"/>
      <c r="U349" s="62"/>
    </row>
    <row r="350" spans="1:21" ht="15.75" customHeight="1" x14ac:dyDescent="0.3">
      <c r="A350" s="36"/>
      <c r="B350" s="36"/>
      <c r="C350" s="6"/>
      <c r="D350" s="36"/>
      <c r="E350" s="36"/>
      <c r="F350" s="36"/>
      <c r="G350" s="6"/>
      <c r="H350" s="36"/>
      <c r="I350" s="36"/>
      <c r="J350" s="37"/>
      <c r="K350" s="60"/>
      <c r="M350" s="61"/>
      <c r="N350" s="61"/>
      <c r="O350" s="61"/>
      <c r="P350" s="61"/>
      <c r="Q350" s="61"/>
      <c r="R350" s="61"/>
      <c r="S350" s="62"/>
      <c r="T350" s="62"/>
      <c r="U350" s="62"/>
    </row>
    <row r="351" spans="1:21" ht="15.75" customHeight="1" x14ac:dyDescent="0.3">
      <c r="A351" s="36"/>
      <c r="B351" s="36"/>
      <c r="C351" s="6"/>
      <c r="D351" s="36"/>
      <c r="E351" s="36"/>
      <c r="F351" s="36"/>
      <c r="G351" s="6"/>
      <c r="H351" s="36"/>
      <c r="I351" s="36"/>
      <c r="J351" s="37"/>
      <c r="K351" s="60"/>
      <c r="M351" s="61"/>
      <c r="N351" s="61"/>
      <c r="O351" s="61"/>
      <c r="P351" s="61"/>
      <c r="Q351" s="61"/>
      <c r="R351" s="61"/>
      <c r="S351" s="62"/>
      <c r="T351" s="62"/>
      <c r="U351" s="62"/>
    </row>
    <row r="352" spans="1:21" ht="15.75" customHeight="1" x14ac:dyDescent="0.3">
      <c r="A352" s="36"/>
      <c r="B352" s="36"/>
      <c r="C352" s="6"/>
      <c r="D352" s="36"/>
      <c r="E352" s="36"/>
      <c r="F352" s="36"/>
      <c r="G352" s="6"/>
      <c r="H352" s="36"/>
      <c r="I352" s="36"/>
      <c r="J352" s="37"/>
      <c r="K352" s="60"/>
      <c r="M352" s="61"/>
      <c r="N352" s="61"/>
      <c r="O352" s="61"/>
      <c r="P352" s="61"/>
      <c r="Q352" s="61"/>
      <c r="R352" s="61"/>
      <c r="S352" s="62"/>
      <c r="T352" s="62"/>
      <c r="U352" s="62"/>
    </row>
    <row r="353" spans="1:21" ht="15.75" customHeight="1" x14ac:dyDescent="0.3">
      <c r="A353" s="36"/>
      <c r="B353" s="36"/>
      <c r="C353" s="6"/>
      <c r="D353" s="36"/>
      <c r="E353" s="36"/>
      <c r="F353" s="36"/>
      <c r="G353" s="6"/>
      <c r="H353" s="36"/>
      <c r="I353" s="36"/>
      <c r="J353" s="37"/>
      <c r="K353" s="60"/>
      <c r="M353" s="61"/>
      <c r="N353" s="61"/>
      <c r="O353" s="61"/>
      <c r="P353" s="61"/>
      <c r="Q353" s="61"/>
      <c r="R353" s="61"/>
      <c r="S353" s="62"/>
      <c r="T353" s="62"/>
      <c r="U353" s="62"/>
    </row>
    <row r="354" spans="1:21" ht="15.75" customHeight="1" x14ac:dyDescent="0.3">
      <c r="A354" s="36"/>
      <c r="B354" s="36"/>
      <c r="C354" s="6"/>
      <c r="D354" s="36"/>
      <c r="E354" s="36"/>
      <c r="F354" s="36"/>
      <c r="G354" s="6"/>
      <c r="H354" s="36"/>
      <c r="I354" s="36"/>
      <c r="J354" s="37"/>
      <c r="K354" s="60"/>
      <c r="M354" s="61"/>
      <c r="N354" s="61"/>
      <c r="O354" s="61"/>
      <c r="P354" s="61"/>
      <c r="Q354" s="61"/>
      <c r="R354" s="61"/>
      <c r="S354" s="62"/>
      <c r="T354" s="62"/>
      <c r="U354" s="62"/>
    </row>
    <row r="355" spans="1:21" ht="15.75" customHeight="1" x14ac:dyDescent="0.3">
      <c r="A355" s="36"/>
      <c r="B355" s="36"/>
      <c r="C355" s="6"/>
      <c r="D355" s="36"/>
      <c r="E355" s="36"/>
      <c r="F355" s="36"/>
      <c r="G355" s="6"/>
      <c r="H355" s="36"/>
      <c r="I355" s="36"/>
      <c r="J355" s="37"/>
      <c r="K355" s="60"/>
      <c r="M355" s="61"/>
      <c r="N355" s="61"/>
      <c r="O355" s="61"/>
      <c r="P355" s="61"/>
      <c r="Q355" s="61"/>
      <c r="R355" s="61"/>
      <c r="S355" s="62"/>
      <c r="T355" s="62"/>
      <c r="U355" s="62"/>
    </row>
    <row r="356" spans="1:21" ht="15.75" customHeight="1" x14ac:dyDescent="0.3">
      <c r="A356" s="36"/>
      <c r="B356" s="36"/>
      <c r="C356" s="6"/>
      <c r="D356" s="36"/>
      <c r="E356" s="36"/>
      <c r="F356" s="36"/>
      <c r="G356" s="6"/>
      <c r="H356" s="36"/>
      <c r="I356" s="36"/>
      <c r="J356" s="37"/>
      <c r="K356" s="60"/>
      <c r="M356" s="61"/>
      <c r="N356" s="61"/>
      <c r="O356" s="61"/>
      <c r="P356" s="61"/>
      <c r="Q356" s="61"/>
      <c r="R356" s="61"/>
      <c r="S356" s="62"/>
      <c r="T356" s="62"/>
      <c r="U356" s="62"/>
    </row>
    <row r="357" spans="1:21" ht="15.75" customHeight="1" x14ac:dyDescent="0.3">
      <c r="A357" s="36"/>
      <c r="B357" s="36"/>
      <c r="C357" s="6"/>
      <c r="D357" s="36"/>
      <c r="E357" s="36"/>
      <c r="F357" s="36"/>
      <c r="G357" s="6"/>
      <c r="H357" s="36"/>
      <c r="I357" s="36"/>
      <c r="J357" s="37"/>
      <c r="K357" s="60"/>
      <c r="M357" s="61"/>
      <c r="N357" s="61"/>
      <c r="O357" s="61"/>
      <c r="P357" s="61"/>
      <c r="Q357" s="61"/>
      <c r="R357" s="61"/>
      <c r="S357" s="62"/>
      <c r="T357" s="62"/>
      <c r="U357" s="62"/>
    </row>
    <row r="358" spans="1:21" ht="15.75" customHeight="1" x14ac:dyDescent="0.3">
      <c r="A358" s="36"/>
      <c r="B358" s="36"/>
      <c r="C358" s="6"/>
      <c r="D358" s="36"/>
      <c r="E358" s="36"/>
      <c r="F358" s="36"/>
      <c r="G358" s="6"/>
      <c r="H358" s="36"/>
      <c r="I358" s="36"/>
      <c r="J358" s="37"/>
      <c r="K358" s="60"/>
      <c r="M358" s="61"/>
      <c r="N358" s="61"/>
      <c r="O358" s="61"/>
      <c r="P358" s="61"/>
      <c r="Q358" s="61"/>
      <c r="R358" s="61"/>
      <c r="S358" s="62"/>
      <c r="T358" s="62"/>
      <c r="U358" s="62"/>
    </row>
    <row r="359" spans="1:21" ht="15.75" customHeight="1" x14ac:dyDescent="0.3">
      <c r="A359" s="36"/>
      <c r="B359" s="36"/>
      <c r="C359" s="6"/>
      <c r="D359" s="36"/>
      <c r="E359" s="36"/>
      <c r="F359" s="36"/>
      <c r="G359" s="6"/>
      <c r="H359" s="36"/>
      <c r="I359" s="36"/>
      <c r="J359" s="37"/>
      <c r="K359" s="60"/>
      <c r="M359" s="61"/>
      <c r="N359" s="61"/>
      <c r="O359" s="61"/>
      <c r="P359" s="61"/>
      <c r="Q359" s="61"/>
      <c r="R359" s="61"/>
      <c r="S359" s="62"/>
      <c r="T359" s="62"/>
      <c r="U359" s="62"/>
    </row>
    <row r="360" spans="1:21" ht="15.75" customHeight="1" x14ac:dyDescent="0.3">
      <c r="A360" s="36"/>
      <c r="B360" s="36"/>
      <c r="C360" s="6"/>
      <c r="D360" s="36"/>
      <c r="E360" s="36"/>
      <c r="F360" s="36"/>
      <c r="G360" s="6"/>
      <c r="H360" s="36"/>
      <c r="I360" s="36"/>
      <c r="J360" s="37"/>
      <c r="K360" s="60"/>
      <c r="M360" s="61"/>
      <c r="N360" s="61"/>
      <c r="O360" s="61"/>
      <c r="P360" s="61"/>
      <c r="Q360" s="61"/>
      <c r="R360" s="61"/>
      <c r="S360" s="62"/>
      <c r="T360" s="62"/>
      <c r="U360" s="62"/>
    </row>
    <row r="361" spans="1:21" ht="15.75" customHeight="1" x14ac:dyDescent="0.3">
      <c r="A361" s="36"/>
      <c r="B361" s="36"/>
      <c r="C361" s="6"/>
      <c r="D361" s="36"/>
      <c r="E361" s="36"/>
      <c r="F361" s="36"/>
      <c r="G361" s="6"/>
      <c r="H361" s="36"/>
      <c r="I361" s="36"/>
      <c r="J361" s="37"/>
      <c r="K361" s="60"/>
      <c r="M361" s="61"/>
      <c r="N361" s="61"/>
      <c r="O361" s="61"/>
      <c r="P361" s="61"/>
      <c r="Q361" s="61"/>
      <c r="R361" s="61"/>
      <c r="S361" s="62"/>
      <c r="T361" s="62"/>
      <c r="U361" s="62"/>
    </row>
    <row r="362" spans="1:21" ht="15.75" customHeight="1" x14ac:dyDescent="0.3">
      <c r="A362" s="36"/>
      <c r="B362" s="36"/>
      <c r="C362" s="6"/>
      <c r="D362" s="36"/>
      <c r="E362" s="36"/>
      <c r="F362" s="36"/>
      <c r="G362" s="6"/>
      <c r="H362" s="36"/>
      <c r="I362" s="36"/>
      <c r="J362" s="37"/>
      <c r="K362" s="60"/>
      <c r="M362" s="61"/>
      <c r="N362" s="61"/>
      <c r="O362" s="61"/>
      <c r="P362" s="61"/>
      <c r="Q362" s="61"/>
      <c r="R362" s="61"/>
      <c r="S362" s="62"/>
      <c r="T362" s="62"/>
      <c r="U362" s="62"/>
    </row>
    <row r="363" spans="1:21" ht="15.75" customHeight="1" x14ac:dyDescent="0.3">
      <c r="A363" s="36"/>
      <c r="B363" s="36"/>
      <c r="C363" s="6"/>
      <c r="D363" s="36"/>
      <c r="E363" s="36"/>
      <c r="F363" s="36"/>
      <c r="G363" s="6"/>
      <c r="H363" s="36"/>
      <c r="I363" s="36"/>
      <c r="J363" s="37"/>
      <c r="K363" s="60"/>
      <c r="M363" s="61"/>
      <c r="N363" s="61"/>
      <c r="O363" s="61"/>
      <c r="P363" s="61"/>
      <c r="Q363" s="61"/>
      <c r="R363" s="61"/>
      <c r="S363" s="62"/>
      <c r="T363" s="62"/>
      <c r="U363" s="62"/>
    </row>
    <row r="364" spans="1:21" ht="15.75" customHeight="1" x14ac:dyDescent="0.3">
      <c r="A364" s="36"/>
      <c r="B364" s="36"/>
      <c r="C364" s="6"/>
      <c r="D364" s="36"/>
      <c r="E364" s="36"/>
      <c r="F364" s="36"/>
      <c r="G364" s="6"/>
      <c r="H364" s="36"/>
      <c r="I364" s="36"/>
      <c r="J364" s="37"/>
      <c r="K364" s="60"/>
      <c r="M364" s="61"/>
      <c r="N364" s="61"/>
      <c r="O364" s="61"/>
      <c r="P364" s="61"/>
      <c r="Q364" s="61"/>
      <c r="R364" s="61"/>
      <c r="S364" s="62"/>
      <c r="T364" s="62"/>
      <c r="U364" s="62"/>
    </row>
    <row r="365" spans="1:21" ht="15.75" customHeight="1" x14ac:dyDescent="0.3">
      <c r="A365" s="36"/>
      <c r="B365" s="36"/>
      <c r="C365" s="6"/>
      <c r="D365" s="36"/>
      <c r="E365" s="36"/>
      <c r="F365" s="36"/>
      <c r="G365" s="6"/>
      <c r="H365" s="36"/>
      <c r="I365" s="36"/>
      <c r="J365" s="37"/>
      <c r="K365" s="60"/>
      <c r="M365" s="61"/>
      <c r="N365" s="61"/>
      <c r="O365" s="61"/>
      <c r="P365" s="61"/>
      <c r="Q365" s="61"/>
      <c r="R365" s="61"/>
      <c r="S365" s="62"/>
      <c r="T365" s="62"/>
      <c r="U365" s="62"/>
    </row>
    <row r="366" spans="1:21" ht="15.75" customHeight="1" x14ac:dyDescent="0.3">
      <c r="A366" s="36"/>
      <c r="B366" s="36"/>
      <c r="C366" s="6"/>
      <c r="D366" s="36"/>
      <c r="E366" s="36"/>
      <c r="F366" s="36"/>
      <c r="G366" s="6"/>
      <c r="H366" s="36"/>
      <c r="I366" s="36"/>
      <c r="J366" s="37"/>
      <c r="K366" s="60"/>
      <c r="M366" s="61"/>
      <c r="N366" s="61"/>
      <c r="O366" s="61"/>
      <c r="P366" s="61"/>
      <c r="Q366" s="61"/>
      <c r="R366" s="61"/>
      <c r="S366" s="62"/>
      <c r="T366" s="62"/>
      <c r="U366" s="62"/>
    </row>
    <row r="367" spans="1:21" ht="15.75" customHeight="1" x14ac:dyDescent="0.3">
      <c r="A367" s="36"/>
      <c r="B367" s="36"/>
      <c r="C367" s="6"/>
      <c r="D367" s="36"/>
      <c r="E367" s="36"/>
      <c r="F367" s="36"/>
      <c r="G367" s="6"/>
      <c r="H367" s="36"/>
      <c r="I367" s="36"/>
      <c r="J367" s="37"/>
      <c r="K367" s="60"/>
      <c r="M367" s="61"/>
      <c r="N367" s="61"/>
      <c r="O367" s="61"/>
      <c r="P367" s="61"/>
      <c r="Q367" s="61"/>
      <c r="R367" s="61"/>
      <c r="S367" s="62"/>
      <c r="T367" s="62"/>
      <c r="U367" s="62"/>
    </row>
    <row r="368" spans="1:21" ht="15.75" customHeight="1" x14ac:dyDescent="0.3">
      <c r="A368" s="36"/>
      <c r="B368" s="36"/>
      <c r="C368" s="6"/>
      <c r="D368" s="36"/>
      <c r="E368" s="36"/>
      <c r="F368" s="36"/>
      <c r="G368" s="6"/>
      <c r="H368" s="36"/>
      <c r="I368" s="36"/>
      <c r="J368" s="37"/>
      <c r="K368" s="60"/>
      <c r="M368" s="61"/>
      <c r="N368" s="61"/>
      <c r="O368" s="61"/>
      <c r="P368" s="61"/>
      <c r="Q368" s="61"/>
      <c r="R368" s="61"/>
      <c r="S368" s="62"/>
      <c r="T368" s="62"/>
      <c r="U368" s="62"/>
    </row>
    <row r="369" spans="1:21" ht="15.75" customHeight="1" x14ac:dyDescent="0.3">
      <c r="A369" s="36"/>
      <c r="B369" s="36"/>
      <c r="C369" s="6"/>
      <c r="D369" s="36"/>
      <c r="E369" s="36"/>
      <c r="F369" s="36"/>
      <c r="G369" s="6"/>
      <c r="H369" s="36"/>
      <c r="I369" s="36"/>
      <c r="J369" s="37"/>
      <c r="K369" s="60"/>
      <c r="M369" s="61"/>
      <c r="N369" s="61"/>
      <c r="O369" s="61"/>
      <c r="P369" s="61"/>
      <c r="Q369" s="61"/>
      <c r="R369" s="61"/>
      <c r="S369" s="62"/>
      <c r="T369" s="62"/>
      <c r="U369" s="62"/>
    </row>
    <row r="370" spans="1:21" ht="15.75" customHeight="1" x14ac:dyDescent="0.3">
      <c r="A370" s="36"/>
      <c r="B370" s="36"/>
      <c r="C370" s="6"/>
      <c r="D370" s="36"/>
      <c r="E370" s="36"/>
      <c r="F370" s="36"/>
      <c r="G370" s="6"/>
      <c r="H370" s="36"/>
      <c r="I370" s="36"/>
      <c r="J370" s="37"/>
      <c r="K370" s="60"/>
      <c r="M370" s="61"/>
      <c r="N370" s="61"/>
      <c r="O370" s="61"/>
      <c r="P370" s="61"/>
      <c r="Q370" s="61"/>
      <c r="R370" s="61"/>
      <c r="S370" s="62"/>
      <c r="T370" s="62"/>
      <c r="U370" s="62"/>
    </row>
    <row r="371" spans="1:21" ht="15.75" customHeight="1" x14ac:dyDescent="0.3">
      <c r="A371" s="36"/>
      <c r="B371" s="36"/>
      <c r="C371" s="6"/>
      <c r="D371" s="36"/>
      <c r="E371" s="36"/>
      <c r="F371" s="36"/>
      <c r="G371" s="6"/>
      <c r="H371" s="36"/>
      <c r="I371" s="36"/>
      <c r="J371" s="37"/>
      <c r="K371" s="60"/>
      <c r="M371" s="61"/>
      <c r="N371" s="61"/>
      <c r="O371" s="61"/>
      <c r="P371" s="61"/>
      <c r="Q371" s="61"/>
      <c r="R371" s="61"/>
      <c r="S371" s="62"/>
      <c r="T371" s="62"/>
      <c r="U371" s="62"/>
    </row>
    <row r="372" spans="1:21" ht="15.75" customHeight="1" x14ac:dyDescent="0.3">
      <c r="A372" s="36"/>
      <c r="B372" s="36"/>
      <c r="C372" s="6"/>
      <c r="D372" s="36"/>
      <c r="E372" s="36"/>
      <c r="F372" s="36"/>
      <c r="G372" s="6"/>
      <c r="H372" s="36"/>
      <c r="I372" s="36"/>
      <c r="J372" s="37"/>
      <c r="K372" s="60"/>
      <c r="M372" s="61"/>
      <c r="N372" s="61"/>
      <c r="O372" s="61"/>
      <c r="P372" s="61"/>
      <c r="Q372" s="61"/>
      <c r="R372" s="61"/>
      <c r="S372" s="62"/>
      <c r="T372" s="62"/>
      <c r="U372" s="62"/>
    </row>
    <row r="373" spans="1:21" ht="15.75" customHeight="1" x14ac:dyDescent="0.3">
      <c r="A373" s="36"/>
      <c r="B373" s="36"/>
      <c r="C373" s="6"/>
      <c r="D373" s="36"/>
      <c r="E373" s="36"/>
      <c r="F373" s="36"/>
      <c r="G373" s="6"/>
      <c r="H373" s="36"/>
      <c r="I373" s="36"/>
      <c r="J373" s="37"/>
      <c r="K373" s="60"/>
      <c r="M373" s="61"/>
      <c r="N373" s="61"/>
      <c r="O373" s="61"/>
      <c r="P373" s="61"/>
      <c r="Q373" s="61"/>
      <c r="R373" s="61"/>
      <c r="S373" s="62"/>
      <c r="T373" s="62"/>
      <c r="U373" s="62"/>
    </row>
    <row r="374" spans="1:21" ht="15.75" customHeight="1" x14ac:dyDescent="0.3">
      <c r="A374" s="36"/>
      <c r="B374" s="36"/>
      <c r="C374" s="6"/>
      <c r="D374" s="36"/>
      <c r="E374" s="36"/>
      <c r="F374" s="36"/>
      <c r="G374" s="6"/>
      <c r="H374" s="36"/>
      <c r="I374" s="36"/>
      <c r="J374" s="37"/>
      <c r="K374" s="60"/>
      <c r="M374" s="61"/>
      <c r="N374" s="61"/>
      <c r="O374" s="61"/>
      <c r="P374" s="61"/>
      <c r="Q374" s="61"/>
      <c r="R374" s="61"/>
      <c r="S374" s="62"/>
      <c r="T374" s="62"/>
      <c r="U374" s="62"/>
    </row>
    <row r="375" spans="1:21" ht="15.75" customHeight="1" x14ac:dyDescent="0.3">
      <c r="A375" s="36"/>
      <c r="B375" s="36"/>
      <c r="C375" s="6"/>
      <c r="D375" s="36"/>
      <c r="E375" s="36"/>
      <c r="F375" s="36"/>
      <c r="G375" s="6"/>
      <c r="H375" s="36"/>
      <c r="I375" s="36"/>
      <c r="J375" s="37"/>
      <c r="K375" s="60"/>
      <c r="M375" s="61"/>
      <c r="N375" s="61"/>
      <c r="O375" s="61"/>
      <c r="P375" s="61"/>
      <c r="Q375" s="61"/>
      <c r="R375" s="61"/>
      <c r="S375" s="62"/>
      <c r="T375" s="62"/>
      <c r="U375" s="62"/>
    </row>
    <row r="376" spans="1:21" ht="15.75" customHeight="1" x14ac:dyDescent="0.3">
      <c r="A376" s="36"/>
      <c r="B376" s="36"/>
      <c r="C376" s="6"/>
      <c r="D376" s="36"/>
      <c r="E376" s="36"/>
      <c r="F376" s="36"/>
      <c r="G376" s="6"/>
      <c r="H376" s="36"/>
      <c r="I376" s="36"/>
      <c r="J376" s="37"/>
      <c r="K376" s="60"/>
      <c r="M376" s="61"/>
      <c r="N376" s="61"/>
      <c r="O376" s="61"/>
      <c r="P376" s="61"/>
      <c r="Q376" s="61"/>
      <c r="R376" s="61"/>
      <c r="S376" s="62"/>
      <c r="T376" s="62"/>
      <c r="U376" s="62"/>
    </row>
    <row r="377" spans="1:21" ht="15.75" customHeight="1" x14ac:dyDescent="0.3">
      <c r="A377" s="36"/>
      <c r="B377" s="36"/>
      <c r="C377" s="6"/>
      <c r="D377" s="36"/>
      <c r="E377" s="36"/>
      <c r="F377" s="36"/>
      <c r="G377" s="6"/>
      <c r="H377" s="36"/>
      <c r="I377" s="36"/>
      <c r="J377" s="37"/>
      <c r="K377" s="60"/>
      <c r="M377" s="61"/>
      <c r="N377" s="61"/>
      <c r="O377" s="61"/>
      <c r="P377" s="61"/>
      <c r="Q377" s="61"/>
      <c r="R377" s="61"/>
      <c r="S377" s="62"/>
      <c r="T377" s="62"/>
      <c r="U377" s="62"/>
    </row>
    <row r="378" spans="1:21" ht="15.75" customHeight="1" x14ac:dyDescent="0.3">
      <c r="A378" s="36"/>
      <c r="B378" s="36"/>
      <c r="C378" s="6"/>
      <c r="D378" s="36"/>
      <c r="E378" s="36"/>
      <c r="F378" s="36"/>
      <c r="G378" s="6"/>
      <c r="H378" s="36"/>
      <c r="I378" s="36"/>
      <c r="J378" s="37"/>
      <c r="K378" s="60"/>
      <c r="M378" s="61"/>
      <c r="N378" s="61"/>
      <c r="O378" s="61"/>
      <c r="P378" s="61"/>
      <c r="Q378" s="61"/>
      <c r="R378" s="61"/>
      <c r="S378" s="62"/>
      <c r="T378" s="62"/>
      <c r="U378" s="62"/>
    </row>
    <row r="379" spans="1:21" ht="15.75" customHeight="1" x14ac:dyDescent="0.3">
      <c r="A379" s="36"/>
      <c r="B379" s="36"/>
      <c r="C379" s="6"/>
      <c r="D379" s="36"/>
      <c r="E379" s="36"/>
      <c r="F379" s="36"/>
      <c r="G379" s="6"/>
      <c r="H379" s="36"/>
      <c r="I379" s="36"/>
      <c r="J379" s="37"/>
      <c r="K379" s="60"/>
      <c r="M379" s="61"/>
      <c r="N379" s="61"/>
      <c r="O379" s="61"/>
      <c r="P379" s="61"/>
      <c r="Q379" s="61"/>
      <c r="R379" s="61"/>
      <c r="S379" s="62"/>
      <c r="T379" s="62"/>
      <c r="U379" s="62"/>
    </row>
    <row r="380" spans="1:21" ht="15.75" customHeight="1" x14ac:dyDescent="0.3">
      <c r="A380" s="36"/>
      <c r="B380" s="36"/>
      <c r="C380" s="6"/>
      <c r="D380" s="36"/>
      <c r="E380" s="36"/>
      <c r="F380" s="36"/>
      <c r="G380" s="6"/>
      <c r="H380" s="36"/>
      <c r="I380" s="36"/>
      <c r="J380" s="37"/>
      <c r="K380" s="60"/>
      <c r="M380" s="61"/>
      <c r="N380" s="61"/>
      <c r="O380" s="61"/>
      <c r="P380" s="61"/>
      <c r="Q380" s="61"/>
      <c r="R380" s="61"/>
      <c r="S380" s="62"/>
      <c r="T380" s="62"/>
      <c r="U380" s="62"/>
    </row>
    <row r="381" spans="1:21" ht="15.75" customHeight="1" x14ac:dyDescent="0.3">
      <c r="A381" s="36"/>
      <c r="B381" s="36"/>
      <c r="C381" s="6"/>
      <c r="D381" s="36"/>
      <c r="E381" s="36"/>
      <c r="F381" s="36"/>
      <c r="G381" s="6"/>
      <c r="H381" s="36"/>
      <c r="I381" s="36"/>
      <c r="J381" s="37"/>
      <c r="K381" s="60"/>
      <c r="M381" s="61"/>
      <c r="N381" s="61"/>
      <c r="O381" s="61"/>
      <c r="P381" s="61"/>
      <c r="Q381" s="61"/>
      <c r="R381" s="61"/>
      <c r="S381" s="62"/>
      <c r="T381" s="62"/>
      <c r="U381" s="62"/>
    </row>
    <row r="382" spans="1:21" ht="15.75" customHeight="1" x14ac:dyDescent="0.3">
      <c r="A382" s="36"/>
      <c r="B382" s="36"/>
      <c r="C382" s="6"/>
      <c r="D382" s="36"/>
      <c r="E382" s="36"/>
      <c r="F382" s="36"/>
      <c r="G382" s="6"/>
      <c r="H382" s="36"/>
      <c r="I382" s="36"/>
      <c r="J382" s="37"/>
      <c r="K382" s="60"/>
      <c r="M382" s="61"/>
      <c r="N382" s="61"/>
      <c r="O382" s="61"/>
      <c r="P382" s="61"/>
      <c r="Q382" s="61"/>
      <c r="R382" s="61"/>
      <c r="S382" s="62"/>
      <c r="T382" s="62"/>
      <c r="U382" s="62"/>
    </row>
    <row r="383" spans="1:21" ht="15.75" customHeight="1" x14ac:dyDescent="0.3">
      <c r="A383" s="36"/>
      <c r="B383" s="36"/>
      <c r="C383" s="6"/>
      <c r="D383" s="36"/>
      <c r="E383" s="36"/>
      <c r="F383" s="36"/>
      <c r="G383" s="6"/>
      <c r="H383" s="36"/>
      <c r="I383" s="36"/>
      <c r="J383" s="37"/>
      <c r="K383" s="60"/>
      <c r="M383" s="61"/>
      <c r="N383" s="61"/>
      <c r="O383" s="61"/>
      <c r="P383" s="61"/>
      <c r="Q383" s="61"/>
      <c r="R383" s="61"/>
      <c r="S383" s="62"/>
      <c r="T383" s="62"/>
      <c r="U383" s="62"/>
    </row>
    <row r="384" spans="1:21" ht="15.75" customHeight="1" x14ac:dyDescent="0.3">
      <c r="A384" s="36"/>
      <c r="B384" s="36"/>
      <c r="C384" s="6"/>
      <c r="D384" s="36"/>
      <c r="E384" s="36"/>
      <c r="F384" s="36"/>
      <c r="G384" s="6"/>
      <c r="H384" s="36"/>
      <c r="I384" s="36"/>
      <c r="J384" s="37"/>
      <c r="K384" s="60"/>
      <c r="M384" s="61"/>
      <c r="N384" s="61"/>
      <c r="O384" s="61"/>
      <c r="P384" s="61"/>
      <c r="Q384" s="61"/>
      <c r="R384" s="61"/>
      <c r="S384" s="62"/>
      <c r="T384" s="62"/>
      <c r="U384" s="62"/>
    </row>
    <row r="385" spans="1:21" ht="15.75" customHeight="1" x14ac:dyDescent="0.3">
      <c r="A385" s="36"/>
      <c r="B385" s="36"/>
      <c r="C385" s="6"/>
      <c r="D385" s="36"/>
      <c r="E385" s="36"/>
      <c r="F385" s="36"/>
      <c r="G385" s="6"/>
      <c r="H385" s="36"/>
      <c r="I385" s="36"/>
      <c r="J385" s="37"/>
      <c r="K385" s="60"/>
      <c r="M385" s="61"/>
      <c r="N385" s="61"/>
      <c r="O385" s="61"/>
      <c r="P385" s="61"/>
      <c r="Q385" s="61"/>
      <c r="R385" s="61"/>
      <c r="S385" s="62"/>
      <c r="T385" s="62"/>
      <c r="U385" s="62"/>
    </row>
    <row r="386" spans="1:21" ht="15.75" customHeight="1" x14ac:dyDescent="0.3">
      <c r="A386" s="36"/>
      <c r="B386" s="36"/>
      <c r="C386" s="6"/>
      <c r="D386" s="36"/>
      <c r="E386" s="36"/>
      <c r="F386" s="36"/>
      <c r="G386" s="6"/>
      <c r="H386" s="36"/>
      <c r="I386" s="36"/>
      <c r="J386" s="37"/>
      <c r="K386" s="60"/>
      <c r="M386" s="61"/>
      <c r="N386" s="61"/>
      <c r="O386" s="61"/>
      <c r="P386" s="61"/>
      <c r="Q386" s="61"/>
      <c r="R386" s="61"/>
      <c r="S386" s="62"/>
      <c r="T386" s="62"/>
      <c r="U386" s="62"/>
    </row>
    <row r="387" spans="1:21" ht="15.75" customHeight="1" x14ac:dyDescent="0.3">
      <c r="A387" s="36"/>
      <c r="B387" s="36"/>
      <c r="C387" s="6"/>
      <c r="D387" s="36"/>
      <c r="E387" s="36"/>
      <c r="F387" s="36"/>
      <c r="G387" s="6"/>
      <c r="H387" s="36"/>
      <c r="I387" s="36"/>
      <c r="J387" s="37"/>
      <c r="K387" s="60"/>
      <c r="M387" s="61"/>
      <c r="N387" s="61"/>
      <c r="O387" s="61"/>
      <c r="P387" s="61"/>
      <c r="Q387" s="61"/>
      <c r="R387" s="61"/>
      <c r="S387" s="62"/>
      <c r="T387" s="62"/>
      <c r="U387" s="62"/>
    </row>
    <row r="388" spans="1:21" ht="15.75" customHeight="1" x14ac:dyDescent="0.3">
      <c r="A388" s="36"/>
      <c r="B388" s="36"/>
      <c r="C388" s="6"/>
      <c r="D388" s="36"/>
      <c r="E388" s="36"/>
      <c r="F388" s="36"/>
      <c r="G388" s="6"/>
      <c r="H388" s="36"/>
      <c r="I388" s="36"/>
      <c r="J388" s="37"/>
      <c r="K388" s="60"/>
      <c r="M388" s="61"/>
      <c r="N388" s="61"/>
      <c r="O388" s="61"/>
      <c r="P388" s="61"/>
      <c r="Q388" s="61"/>
      <c r="R388" s="61"/>
      <c r="S388" s="62"/>
      <c r="T388" s="62"/>
      <c r="U388" s="62"/>
    </row>
    <row r="389" spans="1:21" ht="15.75" customHeight="1" x14ac:dyDescent="0.3">
      <c r="A389" s="36"/>
      <c r="B389" s="36"/>
      <c r="C389" s="6"/>
      <c r="D389" s="36"/>
      <c r="E389" s="36"/>
      <c r="F389" s="36"/>
      <c r="G389" s="6"/>
      <c r="H389" s="36"/>
      <c r="I389" s="36"/>
      <c r="J389" s="37"/>
      <c r="K389" s="60"/>
      <c r="M389" s="61"/>
      <c r="N389" s="61"/>
      <c r="O389" s="61"/>
      <c r="P389" s="61"/>
      <c r="Q389" s="61"/>
      <c r="R389" s="61"/>
      <c r="S389" s="62"/>
      <c r="T389" s="62"/>
      <c r="U389" s="62"/>
    </row>
    <row r="390" spans="1:21" ht="15.75" customHeight="1" x14ac:dyDescent="0.3">
      <c r="A390" s="36"/>
      <c r="B390" s="36"/>
      <c r="C390" s="6"/>
      <c r="D390" s="36"/>
      <c r="E390" s="36"/>
      <c r="F390" s="36"/>
      <c r="G390" s="6"/>
      <c r="H390" s="36"/>
      <c r="I390" s="36"/>
      <c r="J390" s="37"/>
      <c r="K390" s="60"/>
      <c r="M390" s="61"/>
      <c r="N390" s="61"/>
      <c r="O390" s="61"/>
      <c r="P390" s="61"/>
      <c r="Q390" s="61"/>
      <c r="R390" s="61"/>
      <c r="S390" s="62"/>
      <c r="T390" s="62"/>
      <c r="U390" s="62"/>
    </row>
    <row r="391" spans="1:21" ht="15.75" customHeight="1" x14ac:dyDescent="0.3">
      <c r="A391" s="36"/>
      <c r="B391" s="36"/>
      <c r="C391" s="6"/>
      <c r="D391" s="36"/>
      <c r="E391" s="36"/>
      <c r="F391" s="36"/>
      <c r="G391" s="6"/>
      <c r="H391" s="36"/>
      <c r="I391" s="36"/>
      <c r="J391" s="37"/>
      <c r="K391" s="60"/>
      <c r="M391" s="61"/>
      <c r="N391" s="61"/>
      <c r="O391" s="61"/>
      <c r="P391" s="61"/>
      <c r="Q391" s="61"/>
      <c r="R391" s="61"/>
      <c r="S391" s="62"/>
      <c r="T391" s="62"/>
      <c r="U391" s="62"/>
    </row>
    <row r="392" spans="1:21" ht="15.75" customHeight="1" x14ac:dyDescent="0.3">
      <c r="A392" s="36"/>
      <c r="B392" s="36"/>
      <c r="C392" s="6"/>
      <c r="D392" s="36"/>
      <c r="E392" s="36"/>
      <c r="F392" s="36"/>
      <c r="G392" s="6"/>
      <c r="H392" s="36"/>
      <c r="I392" s="36"/>
      <c r="J392" s="37"/>
      <c r="K392" s="60"/>
      <c r="M392" s="61"/>
      <c r="N392" s="61"/>
      <c r="O392" s="61"/>
      <c r="P392" s="61"/>
      <c r="Q392" s="61"/>
      <c r="R392" s="61"/>
      <c r="S392" s="62"/>
      <c r="T392" s="62"/>
      <c r="U392" s="62"/>
    </row>
    <row r="393" spans="1:21" ht="15.75" customHeight="1" x14ac:dyDescent="0.3">
      <c r="A393" s="36"/>
      <c r="B393" s="36"/>
      <c r="C393" s="6"/>
      <c r="D393" s="36"/>
      <c r="E393" s="36"/>
      <c r="F393" s="36"/>
      <c r="G393" s="6"/>
      <c r="H393" s="36"/>
      <c r="I393" s="36"/>
      <c r="J393" s="37"/>
      <c r="K393" s="60"/>
      <c r="M393" s="61"/>
      <c r="N393" s="61"/>
      <c r="O393" s="61"/>
      <c r="P393" s="61"/>
      <c r="Q393" s="61"/>
      <c r="R393" s="61"/>
      <c r="S393" s="62"/>
      <c r="T393" s="62"/>
      <c r="U393" s="62"/>
    </row>
    <row r="394" spans="1:21" ht="15.75" customHeight="1" x14ac:dyDescent="0.3">
      <c r="A394" s="36"/>
      <c r="B394" s="36"/>
      <c r="C394" s="6"/>
      <c r="D394" s="36"/>
      <c r="E394" s="36"/>
      <c r="F394" s="36"/>
      <c r="G394" s="6"/>
      <c r="H394" s="36"/>
      <c r="I394" s="36"/>
      <c r="J394" s="37"/>
      <c r="K394" s="60"/>
      <c r="M394" s="61"/>
      <c r="N394" s="61"/>
      <c r="O394" s="61"/>
      <c r="P394" s="61"/>
      <c r="Q394" s="61"/>
      <c r="R394" s="61"/>
      <c r="S394" s="62"/>
      <c r="T394" s="62"/>
      <c r="U394" s="62"/>
    </row>
    <row r="395" spans="1:21" ht="15.75" customHeight="1" x14ac:dyDescent="0.3">
      <c r="A395" s="36"/>
      <c r="B395" s="36"/>
      <c r="C395" s="6"/>
      <c r="D395" s="36"/>
      <c r="E395" s="36"/>
      <c r="F395" s="36"/>
      <c r="G395" s="6"/>
      <c r="H395" s="36"/>
      <c r="I395" s="36"/>
      <c r="J395" s="37"/>
      <c r="K395" s="60"/>
      <c r="M395" s="61"/>
      <c r="N395" s="61"/>
      <c r="O395" s="61"/>
      <c r="P395" s="61"/>
      <c r="Q395" s="61"/>
      <c r="R395" s="61"/>
      <c r="S395" s="62"/>
      <c r="T395" s="62"/>
      <c r="U395" s="62"/>
    </row>
    <row r="396" spans="1:21" ht="15.75" customHeight="1" x14ac:dyDescent="0.3">
      <c r="A396" s="36"/>
      <c r="B396" s="36"/>
      <c r="C396" s="6"/>
      <c r="D396" s="36"/>
      <c r="E396" s="36"/>
      <c r="F396" s="36"/>
      <c r="G396" s="6"/>
      <c r="H396" s="36"/>
      <c r="I396" s="36"/>
      <c r="J396" s="37"/>
      <c r="K396" s="60"/>
      <c r="M396" s="61"/>
      <c r="N396" s="61"/>
      <c r="O396" s="61"/>
      <c r="P396" s="61"/>
      <c r="Q396" s="61"/>
      <c r="R396" s="61"/>
      <c r="S396" s="62"/>
      <c r="T396" s="62"/>
      <c r="U396" s="62"/>
    </row>
    <row r="397" spans="1:21" ht="15.75" customHeight="1" x14ac:dyDescent="0.3">
      <c r="A397" s="36"/>
      <c r="B397" s="36"/>
      <c r="C397" s="6"/>
      <c r="D397" s="36"/>
      <c r="E397" s="36"/>
      <c r="F397" s="36"/>
      <c r="G397" s="6"/>
      <c r="H397" s="36"/>
      <c r="I397" s="36"/>
      <c r="J397" s="37"/>
      <c r="K397" s="60"/>
      <c r="M397" s="61"/>
      <c r="N397" s="61"/>
      <c r="O397" s="61"/>
      <c r="P397" s="61"/>
      <c r="Q397" s="61"/>
      <c r="R397" s="61"/>
      <c r="S397" s="62"/>
      <c r="T397" s="62"/>
      <c r="U397" s="62"/>
    </row>
    <row r="398" spans="1:21" ht="15.75" customHeight="1" x14ac:dyDescent="0.3">
      <c r="A398" s="36"/>
      <c r="B398" s="36"/>
      <c r="C398" s="6"/>
      <c r="D398" s="36"/>
      <c r="E398" s="36"/>
      <c r="F398" s="36"/>
      <c r="G398" s="6"/>
      <c r="H398" s="36"/>
      <c r="I398" s="36"/>
      <c r="J398" s="37"/>
      <c r="K398" s="60"/>
      <c r="M398" s="61"/>
      <c r="N398" s="61"/>
      <c r="O398" s="61"/>
      <c r="P398" s="61"/>
      <c r="Q398" s="61"/>
      <c r="R398" s="61"/>
      <c r="S398" s="62"/>
      <c r="T398" s="62"/>
      <c r="U398" s="62"/>
    </row>
    <row r="399" spans="1:21" ht="15.75" customHeight="1" x14ac:dyDescent="0.3">
      <c r="A399" s="36"/>
      <c r="B399" s="36"/>
      <c r="C399" s="6"/>
      <c r="D399" s="36"/>
      <c r="E399" s="36"/>
      <c r="F399" s="36"/>
      <c r="G399" s="6"/>
      <c r="H399" s="36"/>
      <c r="I399" s="36"/>
      <c r="J399" s="37"/>
      <c r="K399" s="60"/>
      <c r="M399" s="61"/>
      <c r="N399" s="61"/>
      <c r="O399" s="61"/>
      <c r="P399" s="61"/>
      <c r="Q399" s="61"/>
      <c r="R399" s="61"/>
      <c r="S399" s="62"/>
      <c r="T399" s="62"/>
      <c r="U399" s="62"/>
    </row>
    <row r="400" spans="1:21" ht="15.75" customHeight="1" x14ac:dyDescent="0.3">
      <c r="A400" s="36"/>
      <c r="B400" s="36"/>
      <c r="C400" s="6"/>
      <c r="D400" s="36"/>
      <c r="E400" s="36"/>
      <c r="F400" s="36"/>
      <c r="G400" s="6"/>
      <c r="H400" s="36"/>
      <c r="I400" s="36"/>
      <c r="J400" s="37"/>
      <c r="K400" s="60"/>
      <c r="M400" s="61"/>
      <c r="N400" s="61"/>
      <c r="O400" s="61"/>
      <c r="P400" s="61"/>
      <c r="Q400" s="61"/>
      <c r="R400" s="61"/>
      <c r="S400" s="62"/>
      <c r="T400" s="62"/>
      <c r="U400" s="62"/>
    </row>
    <row r="401" spans="1:21" ht="15.75" customHeight="1" x14ac:dyDescent="0.3">
      <c r="A401" s="36"/>
      <c r="B401" s="36"/>
      <c r="C401" s="6"/>
      <c r="D401" s="36"/>
      <c r="E401" s="36"/>
      <c r="F401" s="36"/>
      <c r="G401" s="6"/>
      <c r="H401" s="36"/>
      <c r="I401" s="36"/>
      <c r="J401" s="37"/>
      <c r="K401" s="60"/>
      <c r="M401" s="61"/>
      <c r="N401" s="61"/>
      <c r="O401" s="61"/>
      <c r="P401" s="61"/>
      <c r="Q401" s="61"/>
      <c r="R401" s="61"/>
      <c r="S401" s="62"/>
      <c r="T401" s="62"/>
      <c r="U401" s="62"/>
    </row>
    <row r="402" spans="1:21" ht="15.75" customHeight="1" x14ac:dyDescent="0.3">
      <c r="A402" s="36"/>
      <c r="B402" s="36"/>
      <c r="C402" s="6"/>
      <c r="D402" s="36"/>
      <c r="E402" s="36"/>
      <c r="F402" s="36"/>
      <c r="G402" s="6"/>
      <c r="H402" s="36"/>
      <c r="I402" s="36"/>
      <c r="J402" s="37"/>
      <c r="K402" s="60"/>
      <c r="M402" s="61"/>
      <c r="N402" s="61"/>
      <c r="O402" s="61"/>
      <c r="P402" s="61"/>
      <c r="Q402" s="61"/>
      <c r="R402" s="61"/>
      <c r="S402" s="62"/>
      <c r="T402" s="62"/>
      <c r="U402" s="62"/>
    </row>
    <row r="403" spans="1:21" ht="15.75" customHeight="1" x14ac:dyDescent="0.3">
      <c r="A403" s="36"/>
      <c r="B403" s="36"/>
      <c r="C403" s="6"/>
      <c r="D403" s="36"/>
      <c r="E403" s="36"/>
      <c r="F403" s="36"/>
      <c r="G403" s="6"/>
      <c r="H403" s="36"/>
      <c r="I403" s="36"/>
      <c r="J403" s="37"/>
      <c r="K403" s="60"/>
      <c r="M403" s="61"/>
      <c r="N403" s="61"/>
      <c r="O403" s="61"/>
      <c r="P403" s="61"/>
      <c r="Q403" s="61"/>
      <c r="R403" s="61"/>
      <c r="S403" s="62"/>
      <c r="T403" s="62"/>
      <c r="U403" s="62"/>
    </row>
    <row r="404" spans="1:21" ht="15.75" customHeight="1" x14ac:dyDescent="0.3">
      <c r="A404" s="36"/>
      <c r="B404" s="36"/>
      <c r="C404" s="6"/>
      <c r="D404" s="36"/>
      <c r="E404" s="36"/>
      <c r="F404" s="36"/>
      <c r="G404" s="6"/>
      <c r="H404" s="36"/>
      <c r="I404" s="36"/>
      <c r="J404" s="37"/>
      <c r="K404" s="60"/>
      <c r="M404" s="61"/>
      <c r="N404" s="61"/>
      <c r="O404" s="61"/>
      <c r="P404" s="61"/>
      <c r="Q404" s="61"/>
      <c r="R404" s="61"/>
      <c r="S404" s="62"/>
      <c r="T404" s="62"/>
      <c r="U404" s="62"/>
    </row>
    <row r="405" spans="1:21" ht="15.75" customHeight="1" x14ac:dyDescent="0.3">
      <c r="A405" s="36"/>
      <c r="B405" s="36"/>
      <c r="C405" s="6"/>
      <c r="D405" s="36"/>
      <c r="E405" s="36"/>
      <c r="F405" s="36"/>
      <c r="G405" s="6"/>
      <c r="H405" s="36"/>
      <c r="I405" s="36"/>
      <c r="J405" s="37"/>
      <c r="K405" s="60"/>
      <c r="M405" s="61"/>
      <c r="N405" s="61"/>
      <c r="O405" s="61"/>
      <c r="P405" s="61"/>
      <c r="Q405" s="61"/>
      <c r="R405" s="61"/>
      <c r="S405" s="62"/>
      <c r="T405" s="62"/>
      <c r="U405" s="62"/>
    </row>
    <row r="406" spans="1:21" ht="15.75" customHeight="1" x14ac:dyDescent="0.3">
      <c r="A406" s="36"/>
      <c r="B406" s="36"/>
      <c r="C406" s="6"/>
      <c r="D406" s="36"/>
      <c r="E406" s="36"/>
      <c r="F406" s="36"/>
      <c r="G406" s="6"/>
      <c r="H406" s="36"/>
      <c r="I406" s="36"/>
      <c r="J406" s="37"/>
      <c r="K406" s="60"/>
      <c r="M406" s="61"/>
      <c r="N406" s="61"/>
      <c r="O406" s="61"/>
      <c r="P406" s="61"/>
      <c r="Q406" s="61"/>
      <c r="R406" s="61"/>
      <c r="S406" s="62"/>
      <c r="T406" s="62"/>
      <c r="U406" s="62"/>
    </row>
    <row r="407" spans="1:21" ht="15.75" customHeight="1" x14ac:dyDescent="0.3">
      <c r="A407" s="36"/>
      <c r="B407" s="36"/>
      <c r="C407" s="6"/>
      <c r="D407" s="36"/>
      <c r="E407" s="36"/>
      <c r="F407" s="36"/>
      <c r="G407" s="6"/>
      <c r="H407" s="36"/>
      <c r="I407" s="36"/>
      <c r="J407" s="37"/>
      <c r="K407" s="60"/>
      <c r="M407" s="61"/>
      <c r="N407" s="61"/>
      <c r="O407" s="61"/>
      <c r="P407" s="61"/>
      <c r="Q407" s="61"/>
      <c r="R407" s="61"/>
      <c r="S407" s="62"/>
      <c r="T407" s="62"/>
      <c r="U407" s="62"/>
    </row>
    <row r="408" spans="1:21" ht="15.75" customHeight="1" x14ac:dyDescent="0.3">
      <c r="A408" s="36"/>
      <c r="B408" s="36"/>
      <c r="C408" s="6"/>
      <c r="D408" s="36"/>
      <c r="E408" s="36"/>
      <c r="F408" s="36"/>
      <c r="G408" s="6"/>
      <c r="H408" s="36"/>
      <c r="I408" s="36"/>
      <c r="J408" s="37"/>
      <c r="K408" s="60"/>
      <c r="M408" s="61"/>
      <c r="N408" s="61"/>
      <c r="O408" s="61"/>
      <c r="P408" s="61"/>
      <c r="Q408" s="61"/>
      <c r="R408" s="61"/>
      <c r="S408" s="62"/>
      <c r="T408" s="62"/>
      <c r="U408" s="62"/>
    </row>
    <row r="409" spans="1:21" ht="15.75" customHeight="1" x14ac:dyDescent="0.3">
      <c r="A409" s="36"/>
      <c r="B409" s="36"/>
      <c r="C409" s="6"/>
      <c r="D409" s="36"/>
      <c r="E409" s="36"/>
      <c r="F409" s="36"/>
      <c r="G409" s="6"/>
      <c r="H409" s="36"/>
      <c r="I409" s="36"/>
      <c r="J409" s="37"/>
      <c r="K409" s="60"/>
      <c r="M409" s="61"/>
      <c r="N409" s="61"/>
      <c r="O409" s="61"/>
      <c r="P409" s="61"/>
      <c r="Q409" s="61"/>
      <c r="R409" s="61"/>
      <c r="S409" s="62"/>
      <c r="T409" s="62"/>
      <c r="U409" s="62"/>
    </row>
    <row r="410" spans="1:21" ht="15.75" customHeight="1" x14ac:dyDescent="0.3">
      <c r="A410" s="36"/>
      <c r="B410" s="36"/>
      <c r="C410" s="6"/>
      <c r="D410" s="36"/>
      <c r="E410" s="36"/>
      <c r="F410" s="36"/>
      <c r="G410" s="6"/>
      <c r="H410" s="36"/>
      <c r="I410" s="36"/>
      <c r="J410" s="37"/>
      <c r="K410" s="60"/>
      <c r="M410" s="61"/>
      <c r="N410" s="61"/>
      <c r="O410" s="61"/>
      <c r="P410" s="61"/>
      <c r="Q410" s="61"/>
      <c r="R410" s="61"/>
      <c r="S410" s="62"/>
      <c r="T410" s="62"/>
      <c r="U410" s="62"/>
    </row>
    <row r="411" spans="1:21" ht="15.75" customHeight="1" x14ac:dyDescent="0.3">
      <c r="A411" s="36"/>
      <c r="B411" s="36"/>
      <c r="C411" s="6"/>
      <c r="D411" s="36"/>
      <c r="E411" s="36"/>
      <c r="F411" s="36"/>
      <c r="G411" s="6"/>
      <c r="H411" s="36"/>
      <c r="I411" s="36"/>
      <c r="J411" s="37"/>
      <c r="K411" s="60"/>
      <c r="M411" s="61"/>
      <c r="N411" s="61"/>
      <c r="O411" s="61"/>
      <c r="P411" s="61"/>
      <c r="Q411" s="61"/>
      <c r="R411" s="61"/>
      <c r="S411" s="62"/>
      <c r="T411" s="62"/>
      <c r="U411" s="62"/>
    </row>
    <row r="412" spans="1:21" ht="15.75" customHeight="1" x14ac:dyDescent="0.3">
      <c r="A412" s="36"/>
      <c r="B412" s="36"/>
      <c r="C412" s="6"/>
      <c r="D412" s="36"/>
      <c r="E412" s="36"/>
      <c r="F412" s="36"/>
      <c r="G412" s="6"/>
      <c r="H412" s="36"/>
      <c r="I412" s="36"/>
      <c r="J412" s="37"/>
      <c r="K412" s="60"/>
      <c r="M412" s="61"/>
      <c r="N412" s="61"/>
      <c r="O412" s="61"/>
      <c r="P412" s="61"/>
      <c r="Q412" s="61"/>
      <c r="R412" s="61"/>
      <c r="S412" s="62"/>
      <c r="T412" s="62"/>
      <c r="U412" s="62"/>
    </row>
    <row r="413" spans="1:21" ht="15.75" customHeight="1" x14ac:dyDescent="0.3">
      <c r="A413" s="36"/>
      <c r="B413" s="36"/>
      <c r="C413" s="6"/>
      <c r="D413" s="36"/>
      <c r="E413" s="36"/>
      <c r="F413" s="36"/>
      <c r="G413" s="6"/>
      <c r="H413" s="36"/>
      <c r="I413" s="36"/>
      <c r="J413" s="37"/>
      <c r="K413" s="60"/>
      <c r="M413" s="61"/>
      <c r="N413" s="61"/>
      <c r="O413" s="61"/>
      <c r="P413" s="61"/>
      <c r="Q413" s="61"/>
      <c r="R413" s="61"/>
      <c r="S413" s="62"/>
      <c r="T413" s="62"/>
      <c r="U413" s="62"/>
    </row>
    <row r="414" spans="1:21" ht="15.75" customHeight="1" x14ac:dyDescent="0.3">
      <c r="A414" s="36"/>
      <c r="B414" s="36"/>
      <c r="C414" s="6"/>
      <c r="D414" s="36"/>
      <c r="E414" s="36"/>
      <c r="F414" s="36"/>
      <c r="G414" s="6"/>
      <c r="H414" s="36"/>
      <c r="I414" s="36"/>
      <c r="J414" s="37"/>
      <c r="K414" s="60"/>
      <c r="M414" s="61"/>
      <c r="N414" s="61"/>
      <c r="O414" s="61"/>
      <c r="P414" s="61"/>
      <c r="Q414" s="61"/>
      <c r="R414" s="61"/>
      <c r="S414" s="62"/>
      <c r="T414" s="62"/>
      <c r="U414" s="62"/>
    </row>
    <row r="415" spans="1:21" ht="15.75" customHeight="1" x14ac:dyDescent="0.3">
      <c r="A415" s="36"/>
      <c r="B415" s="36"/>
      <c r="C415" s="6"/>
      <c r="D415" s="36"/>
      <c r="E415" s="36"/>
      <c r="F415" s="36"/>
      <c r="G415" s="6"/>
      <c r="H415" s="36"/>
      <c r="I415" s="36"/>
      <c r="J415" s="37"/>
      <c r="K415" s="60"/>
      <c r="M415" s="61"/>
      <c r="N415" s="61"/>
      <c r="O415" s="61"/>
      <c r="P415" s="61"/>
      <c r="Q415" s="61"/>
      <c r="R415" s="61"/>
      <c r="S415" s="62"/>
      <c r="T415" s="62"/>
      <c r="U415" s="62"/>
    </row>
    <row r="416" spans="1:21" ht="15.75" customHeight="1" x14ac:dyDescent="0.3">
      <c r="A416" s="36"/>
      <c r="B416" s="36"/>
      <c r="C416" s="6"/>
      <c r="D416" s="36"/>
      <c r="E416" s="36"/>
      <c r="F416" s="36"/>
      <c r="G416" s="6"/>
      <c r="H416" s="36"/>
      <c r="I416" s="36"/>
      <c r="J416" s="37"/>
      <c r="K416" s="60"/>
      <c r="M416" s="61"/>
      <c r="N416" s="61"/>
      <c r="O416" s="61"/>
      <c r="P416" s="61"/>
      <c r="Q416" s="61"/>
      <c r="R416" s="61"/>
      <c r="S416" s="62"/>
      <c r="T416" s="62"/>
      <c r="U416" s="62"/>
    </row>
    <row r="417" spans="1:21" ht="15.75" customHeight="1" x14ac:dyDescent="0.3">
      <c r="A417" s="36"/>
      <c r="B417" s="36"/>
      <c r="C417" s="6"/>
      <c r="D417" s="36"/>
      <c r="E417" s="36"/>
      <c r="F417" s="36"/>
      <c r="G417" s="6"/>
      <c r="H417" s="36"/>
      <c r="I417" s="36"/>
      <c r="J417" s="37"/>
      <c r="K417" s="60"/>
      <c r="M417" s="61"/>
      <c r="N417" s="61"/>
      <c r="O417" s="61"/>
      <c r="P417" s="61"/>
      <c r="Q417" s="61"/>
      <c r="R417" s="61"/>
      <c r="S417" s="62"/>
      <c r="T417" s="62"/>
      <c r="U417" s="62"/>
    </row>
    <row r="418" spans="1:21" ht="15.75" customHeight="1" x14ac:dyDescent="0.3">
      <c r="A418" s="36"/>
      <c r="B418" s="36"/>
      <c r="C418" s="6"/>
      <c r="D418" s="36"/>
      <c r="E418" s="36"/>
      <c r="F418" s="36"/>
      <c r="G418" s="6"/>
      <c r="H418" s="36"/>
      <c r="I418" s="36"/>
      <c r="J418" s="37"/>
      <c r="K418" s="60"/>
      <c r="M418" s="61"/>
      <c r="N418" s="61"/>
      <c r="O418" s="61"/>
      <c r="P418" s="61"/>
      <c r="Q418" s="61"/>
      <c r="R418" s="61"/>
      <c r="S418" s="62"/>
      <c r="T418" s="62"/>
      <c r="U418" s="62"/>
    </row>
    <row r="419" spans="1:21" ht="15.75" customHeight="1" x14ac:dyDescent="0.3">
      <c r="A419" s="36"/>
      <c r="B419" s="36"/>
      <c r="C419" s="6"/>
      <c r="D419" s="36"/>
      <c r="E419" s="36"/>
      <c r="F419" s="36"/>
      <c r="G419" s="6"/>
      <c r="H419" s="36"/>
      <c r="I419" s="36"/>
      <c r="J419" s="37"/>
      <c r="K419" s="60"/>
      <c r="M419" s="61"/>
      <c r="N419" s="61"/>
      <c r="O419" s="61"/>
      <c r="P419" s="61"/>
      <c r="Q419" s="61"/>
      <c r="R419" s="61"/>
      <c r="S419" s="62"/>
      <c r="T419" s="62"/>
      <c r="U419" s="62"/>
    </row>
    <row r="420" spans="1:21" ht="15.75" customHeight="1" x14ac:dyDescent="0.3">
      <c r="A420" s="36"/>
      <c r="B420" s="36"/>
      <c r="C420" s="6"/>
      <c r="D420" s="36"/>
      <c r="E420" s="36"/>
      <c r="F420" s="36"/>
      <c r="G420" s="6"/>
      <c r="H420" s="36"/>
      <c r="I420" s="36"/>
      <c r="J420" s="37"/>
      <c r="K420" s="60"/>
      <c r="M420" s="61"/>
      <c r="N420" s="61"/>
      <c r="O420" s="61"/>
      <c r="P420" s="61"/>
      <c r="Q420" s="61"/>
      <c r="R420" s="61"/>
      <c r="S420" s="62"/>
      <c r="T420" s="62"/>
      <c r="U420" s="62"/>
    </row>
    <row r="421" spans="1:21" ht="15.75" customHeight="1" x14ac:dyDescent="0.3">
      <c r="A421" s="36"/>
      <c r="B421" s="36"/>
      <c r="C421" s="6"/>
      <c r="D421" s="36"/>
      <c r="E421" s="36"/>
      <c r="F421" s="36"/>
      <c r="G421" s="6"/>
      <c r="H421" s="36"/>
      <c r="I421" s="36"/>
      <c r="J421" s="37"/>
      <c r="K421" s="60"/>
      <c r="M421" s="61"/>
      <c r="N421" s="61"/>
      <c r="O421" s="61"/>
      <c r="P421" s="61"/>
      <c r="Q421" s="61"/>
      <c r="R421" s="61"/>
      <c r="S421" s="62"/>
      <c r="T421" s="62"/>
      <c r="U421" s="62"/>
    </row>
    <row r="422" spans="1:21" ht="15.75" customHeight="1" x14ac:dyDescent="0.3">
      <c r="A422" s="36"/>
      <c r="B422" s="36"/>
      <c r="C422" s="6"/>
      <c r="D422" s="36"/>
      <c r="E422" s="36"/>
      <c r="F422" s="36"/>
      <c r="G422" s="6"/>
      <c r="H422" s="36"/>
      <c r="I422" s="36"/>
      <c r="J422" s="37"/>
      <c r="K422" s="60"/>
      <c r="M422" s="61"/>
      <c r="N422" s="61"/>
      <c r="O422" s="61"/>
      <c r="P422" s="61"/>
      <c r="Q422" s="61"/>
      <c r="R422" s="61"/>
      <c r="S422" s="62"/>
      <c r="T422" s="62"/>
      <c r="U422" s="62"/>
    </row>
    <row r="423" spans="1:21" ht="15.75" customHeight="1" x14ac:dyDescent="0.3">
      <c r="A423" s="36"/>
      <c r="B423" s="36"/>
      <c r="C423" s="6"/>
      <c r="D423" s="36"/>
      <c r="E423" s="36"/>
      <c r="F423" s="36"/>
      <c r="G423" s="6"/>
      <c r="H423" s="36"/>
      <c r="I423" s="36"/>
      <c r="J423" s="37"/>
      <c r="K423" s="60"/>
      <c r="M423" s="61"/>
      <c r="N423" s="61"/>
      <c r="O423" s="61"/>
      <c r="P423" s="61"/>
      <c r="Q423" s="61"/>
      <c r="R423" s="61"/>
      <c r="S423" s="62"/>
      <c r="T423" s="62"/>
      <c r="U423" s="62"/>
    </row>
    <row r="424" spans="1:21" ht="15.75" customHeight="1" x14ac:dyDescent="0.3">
      <c r="A424" s="36"/>
      <c r="B424" s="36"/>
      <c r="C424" s="6"/>
      <c r="D424" s="36"/>
      <c r="E424" s="36"/>
      <c r="F424" s="36"/>
      <c r="G424" s="6"/>
      <c r="H424" s="36"/>
      <c r="I424" s="36"/>
      <c r="J424" s="37"/>
      <c r="K424" s="60"/>
      <c r="M424" s="61"/>
      <c r="N424" s="61"/>
      <c r="O424" s="61"/>
      <c r="P424" s="61"/>
      <c r="Q424" s="61"/>
      <c r="R424" s="61"/>
      <c r="S424" s="62"/>
      <c r="T424" s="62"/>
      <c r="U424" s="62"/>
    </row>
    <row r="425" spans="1:21" ht="15.75" customHeight="1" x14ac:dyDescent="0.3">
      <c r="A425" s="36"/>
      <c r="B425" s="36"/>
      <c r="C425" s="6"/>
      <c r="D425" s="36"/>
      <c r="E425" s="36"/>
      <c r="F425" s="36"/>
      <c r="G425" s="6"/>
      <c r="H425" s="36"/>
      <c r="I425" s="36"/>
      <c r="J425" s="37"/>
      <c r="K425" s="60"/>
      <c r="M425" s="61"/>
      <c r="N425" s="61"/>
      <c r="O425" s="61"/>
      <c r="P425" s="61"/>
      <c r="Q425" s="61"/>
      <c r="R425" s="61"/>
      <c r="S425" s="62"/>
      <c r="T425" s="62"/>
      <c r="U425" s="62"/>
    </row>
    <row r="426" spans="1:21" ht="15.75" customHeight="1" x14ac:dyDescent="0.3">
      <c r="A426" s="36"/>
      <c r="B426" s="36"/>
      <c r="C426" s="6"/>
      <c r="D426" s="36"/>
      <c r="E426" s="36"/>
      <c r="F426" s="36"/>
      <c r="G426" s="6"/>
      <c r="H426" s="36"/>
      <c r="I426" s="36"/>
      <c r="J426" s="37"/>
      <c r="K426" s="60"/>
      <c r="M426" s="61"/>
      <c r="N426" s="61"/>
      <c r="O426" s="61"/>
      <c r="P426" s="61"/>
      <c r="Q426" s="61"/>
      <c r="R426" s="61"/>
      <c r="S426" s="62"/>
      <c r="T426" s="62"/>
      <c r="U426" s="62"/>
    </row>
    <row r="427" spans="1:21" ht="15.75" customHeight="1" x14ac:dyDescent="0.3">
      <c r="A427" s="36"/>
      <c r="B427" s="36"/>
      <c r="C427" s="6"/>
      <c r="D427" s="36"/>
      <c r="E427" s="36"/>
      <c r="F427" s="36"/>
      <c r="G427" s="6"/>
      <c r="H427" s="36"/>
      <c r="I427" s="36"/>
      <c r="J427" s="37"/>
      <c r="K427" s="60"/>
      <c r="M427" s="61"/>
      <c r="N427" s="61"/>
      <c r="O427" s="61"/>
      <c r="P427" s="61"/>
      <c r="Q427" s="61"/>
      <c r="R427" s="61"/>
      <c r="S427" s="62"/>
      <c r="T427" s="62"/>
      <c r="U427" s="62"/>
    </row>
    <row r="428" spans="1:21" ht="15.75" customHeight="1" x14ac:dyDescent="0.3">
      <c r="A428" s="36"/>
      <c r="B428" s="36"/>
      <c r="C428" s="6"/>
      <c r="D428" s="36"/>
      <c r="E428" s="36"/>
      <c r="F428" s="36"/>
      <c r="G428" s="6"/>
      <c r="H428" s="36"/>
      <c r="I428" s="36"/>
      <c r="J428" s="37"/>
      <c r="K428" s="60"/>
      <c r="M428" s="61"/>
      <c r="N428" s="61"/>
      <c r="O428" s="61"/>
      <c r="P428" s="61"/>
      <c r="Q428" s="61"/>
      <c r="R428" s="61"/>
      <c r="S428" s="62"/>
      <c r="T428" s="62"/>
      <c r="U428" s="62"/>
    </row>
    <row r="429" spans="1:21" ht="15.75" customHeight="1" x14ac:dyDescent="0.3">
      <c r="A429" s="36"/>
      <c r="B429" s="36"/>
      <c r="C429" s="6"/>
      <c r="D429" s="36"/>
      <c r="E429" s="36"/>
      <c r="F429" s="36"/>
      <c r="G429" s="6"/>
      <c r="H429" s="36"/>
      <c r="I429" s="36"/>
      <c r="J429" s="37"/>
      <c r="K429" s="60"/>
      <c r="M429" s="61"/>
      <c r="N429" s="61"/>
      <c r="O429" s="61"/>
      <c r="P429" s="61"/>
      <c r="Q429" s="61"/>
      <c r="R429" s="61"/>
      <c r="S429" s="62"/>
      <c r="T429" s="62"/>
      <c r="U429" s="62"/>
    </row>
    <row r="430" spans="1:21" ht="15.75" customHeight="1" x14ac:dyDescent="0.3">
      <c r="A430" s="36"/>
      <c r="B430" s="36"/>
      <c r="C430" s="6"/>
      <c r="D430" s="36"/>
      <c r="E430" s="36"/>
      <c r="F430" s="36"/>
      <c r="G430" s="6"/>
      <c r="H430" s="36"/>
      <c r="I430" s="36"/>
      <c r="J430" s="37"/>
      <c r="K430" s="60"/>
      <c r="M430" s="61"/>
      <c r="N430" s="61"/>
      <c r="O430" s="61"/>
      <c r="P430" s="61"/>
      <c r="Q430" s="61"/>
      <c r="R430" s="61"/>
      <c r="S430" s="62"/>
      <c r="T430" s="62"/>
      <c r="U430" s="62"/>
    </row>
    <row r="431" spans="1:21" ht="15.75" customHeight="1" x14ac:dyDescent="0.3">
      <c r="A431" s="36"/>
      <c r="B431" s="36"/>
      <c r="C431" s="6"/>
      <c r="D431" s="36"/>
      <c r="E431" s="36"/>
      <c r="F431" s="36"/>
      <c r="G431" s="6"/>
      <c r="H431" s="36"/>
      <c r="I431" s="36"/>
      <c r="J431" s="37"/>
      <c r="K431" s="60"/>
      <c r="M431" s="61"/>
      <c r="N431" s="61"/>
      <c r="O431" s="61"/>
      <c r="P431" s="61"/>
      <c r="Q431" s="61"/>
      <c r="R431" s="61"/>
      <c r="S431" s="62"/>
      <c r="T431" s="62"/>
      <c r="U431" s="62"/>
    </row>
    <row r="432" spans="1:21" ht="15.75" customHeight="1" x14ac:dyDescent="0.3">
      <c r="A432" s="36"/>
      <c r="B432" s="36"/>
      <c r="C432" s="6"/>
      <c r="D432" s="36"/>
      <c r="E432" s="36"/>
      <c r="F432" s="36"/>
      <c r="G432" s="6"/>
      <c r="H432" s="36"/>
      <c r="I432" s="36"/>
      <c r="J432" s="37"/>
      <c r="K432" s="60"/>
      <c r="M432" s="61"/>
      <c r="N432" s="61"/>
      <c r="O432" s="61"/>
      <c r="P432" s="61"/>
      <c r="Q432" s="61"/>
      <c r="R432" s="61"/>
      <c r="S432" s="62"/>
      <c r="T432" s="62"/>
      <c r="U432" s="62"/>
    </row>
    <row r="433" spans="1:21" ht="15.75" customHeight="1" x14ac:dyDescent="0.3">
      <c r="A433" s="36"/>
      <c r="B433" s="36"/>
      <c r="C433" s="6"/>
      <c r="D433" s="36"/>
      <c r="E433" s="36"/>
      <c r="F433" s="36"/>
      <c r="G433" s="6"/>
      <c r="H433" s="36"/>
      <c r="I433" s="36"/>
      <c r="J433" s="37"/>
      <c r="K433" s="60"/>
      <c r="M433" s="61"/>
      <c r="N433" s="61"/>
      <c r="O433" s="61"/>
      <c r="P433" s="61"/>
      <c r="Q433" s="61"/>
      <c r="R433" s="61"/>
      <c r="S433" s="62"/>
      <c r="T433" s="62"/>
      <c r="U433" s="62"/>
    </row>
    <row r="434" spans="1:21" ht="15.75" customHeight="1" x14ac:dyDescent="0.3">
      <c r="A434" s="36"/>
      <c r="B434" s="36"/>
      <c r="C434" s="6"/>
      <c r="D434" s="36"/>
      <c r="E434" s="36"/>
      <c r="F434" s="36"/>
      <c r="G434" s="6"/>
      <c r="H434" s="36"/>
      <c r="I434" s="36"/>
      <c r="J434" s="37"/>
      <c r="K434" s="60"/>
      <c r="M434" s="61"/>
      <c r="N434" s="61"/>
      <c r="O434" s="61"/>
      <c r="P434" s="61"/>
      <c r="Q434" s="61"/>
      <c r="R434" s="61"/>
      <c r="S434" s="62"/>
      <c r="T434" s="62"/>
      <c r="U434" s="62"/>
    </row>
    <row r="435" spans="1:21" ht="15.75" customHeight="1" x14ac:dyDescent="0.3">
      <c r="A435" s="36"/>
      <c r="B435" s="36"/>
      <c r="C435" s="6"/>
      <c r="D435" s="36"/>
      <c r="E435" s="36"/>
      <c r="F435" s="36"/>
      <c r="G435" s="6"/>
      <c r="H435" s="36"/>
      <c r="I435" s="36"/>
      <c r="J435" s="37"/>
      <c r="K435" s="60"/>
      <c r="M435" s="61"/>
      <c r="N435" s="61"/>
      <c r="O435" s="61"/>
      <c r="P435" s="61"/>
      <c r="Q435" s="61"/>
      <c r="R435" s="61"/>
      <c r="S435" s="62"/>
      <c r="T435" s="62"/>
      <c r="U435" s="62"/>
    </row>
    <row r="436" spans="1:21" ht="15.75" customHeight="1" x14ac:dyDescent="0.3">
      <c r="A436" s="36"/>
      <c r="B436" s="36"/>
      <c r="C436" s="6"/>
      <c r="D436" s="36"/>
      <c r="E436" s="36"/>
      <c r="F436" s="36"/>
      <c r="G436" s="6"/>
      <c r="H436" s="36"/>
      <c r="I436" s="36"/>
      <c r="J436" s="37"/>
      <c r="K436" s="60"/>
      <c r="M436" s="61"/>
      <c r="N436" s="61"/>
      <c r="O436" s="61"/>
      <c r="P436" s="61"/>
      <c r="Q436" s="61"/>
      <c r="R436" s="61"/>
      <c r="S436" s="62"/>
      <c r="T436" s="62"/>
      <c r="U436" s="62"/>
    </row>
    <row r="437" spans="1:21" ht="15.75" customHeight="1" x14ac:dyDescent="0.3">
      <c r="A437" s="36"/>
      <c r="B437" s="36"/>
      <c r="C437" s="6"/>
      <c r="D437" s="36"/>
      <c r="E437" s="36"/>
      <c r="F437" s="36"/>
      <c r="G437" s="6"/>
      <c r="H437" s="36"/>
      <c r="I437" s="36"/>
      <c r="J437" s="37"/>
      <c r="K437" s="60"/>
      <c r="M437" s="61"/>
      <c r="N437" s="61"/>
      <c r="O437" s="61"/>
      <c r="P437" s="61"/>
      <c r="Q437" s="61"/>
      <c r="R437" s="61"/>
      <c r="S437" s="62"/>
      <c r="T437" s="62"/>
      <c r="U437" s="62"/>
    </row>
    <row r="438" spans="1:21" ht="15.75" customHeight="1" x14ac:dyDescent="0.3">
      <c r="A438" s="36"/>
      <c r="B438" s="36"/>
      <c r="C438" s="6"/>
      <c r="D438" s="36"/>
      <c r="E438" s="36"/>
      <c r="F438" s="36"/>
      <c r="G438" s="6"/>
      <c r="H438" s="36"/>
      <c r="I438" s="36"/>
      <c r="J438" s="37"/>
      <c r="K438" s="60"/>
      <c r="M438" s="61"/>
      <c r="N438" s="61"/>
      <c r="O438" s="61"/>
      <c r="P438" s="61"/>
      <c r="Q438" s="61"/>
      <c r="R438" s="61"/>
      <c r="S438" s="62"/>
      <c r="T438" s="62"/>
      <c r="U438" s="62"/>
    </row>
    <row r="439" spans="1:21" ht="15.75" customHeight="1" x14ac:dyDescent="0.3">
      <c r="A439" s="36"/>
      <c r="B439" s="36"/>
      <c r="C439" s="6"/>
      <c r="D439" s="36"/>
      <c r="E439" s="36"/>
      <c r="F439" s="36"/>
      <c r="G439" s="6"/>
      <c r="H439" s="36"/>
      <c r="I439" s="36"/>
      <c r="J439" s="37"/>
      <c r="K439" s="60"/>
      <c r="M439" s="61"/>
      <c r="N439" s="61"/>
      <c r="O439" s="61"/>
      <c r="P439" s="61"/>
      <c r="Q439" s="61"/>
      <c r="R439" s="61"/>
      <c r="S439" s="62"/>
      <c r="T439" s="62"/>
      <c r="U439" s="62"/>
    </row>
    <row r="440" spans="1:21" ht="15.75" customHeight="1" x14ac:dyDescent="0.3">
      <c r="A440" s="36"/>
      <c r="B440" s="36"/>
      <c r="C440" s="6"/>
      <c r="D440" s="36"/>
      <c r="E440" s="36"/>
      <c r="F440" s="36"/>
      <c r="G440" s="6"/>
      <c r="H440" s="36"/>
      <c r="I440" s="36"/>
      <c r="J440" s="37"/>
      <c r="K440" s="60"/>
      <c r="M440" s="61"/>
      <c r="N440" s="61"/>
      <c r="O440" s="61"/>
      <c r="P440" s="61"/>
      <c r="Q440" s="61"/>
      <c r="R440" s="61"/>
      <c r="S440" s="62"/>
      <c r="T440" s="62"/>
      <c r="U440" s="62"/>
    </row>
    <row r="441" spans="1:21" ht="15.75" customHeight="1" x14ac:dyDescent="0.3">
      <c r="A441" s="36"/>
      <c r="B441" s="36"/>
      <c r="C441" s="6"/>
      <c r="D441" s="36"/>
      <c r="E441" s="36"/>
      <c r="F441" s="36"/>
      <c r="G441" s="6"/>
      <c r="H441" s="36"/>
      <c r="I441" s="36"/>
      <c r="J441" s="37"/>
      <c r="K441" s="60"/>
      <c r="M441" s="61"/>
      <c r="N441" s="61"/>
      <c r="O441" s="61"/>
      <c r="P441" s="61"/>
      <c r="Q441" s="61"/>
      <c r="R441" s="61"/>
      <c r="S441" s="62"/>
      <c r="T441" s="62"/>
      <c r="U441" s="62"/>
    </row>
    <row r="442" spans="1:21" ht="15.75" customHeight="1" x14ac:dyDescent="0.3">
      <c r="A442" s="36"/>
      <c r="B442" s="36"/>
      <c r="C442" s="6"/>
      <c r="D442" s="36"/>
      <c r="E442" s="36"/>
      <c r="F442" s="36"/>
      <c r="G442" s="6"/>
      <c r="H442" s="36"/>
      <c r="I442" s="36"/>
      <c r="J442" s="37"/>
      <c r="K442" s="60"/>
      <c r="M442" s="61"/>
      <c r="N442" s="61"/>
      <c r="O442" s="61"/>
      <c r="P442" s="61"/>
      <c r="Q442" s="61"/>
      <c r="R442" s="61"/>
      <c r="S442" s="62"/>
      <c r="T442" s="62"/>
      <c r="U442" s="62"/>
    </row>
    <row r="443" spans="1:21" ht="15.75" customHeight="1" x14ac:dyDescent="0.3">
      <c r="A443" s="36"/>
      <c r="B443" s="36"/>
      <c r="C443" s="6"/>
      <c r="D443" s="36"/>
      <c r="E443" s="36"/>
      <c r="F443" s="36"/>
      <c r="G443" s="6"/>
      <c r="H443" s="36"/>
      <c r="I443" s="36"/>
      <c r="J443" s="37"/>
      <c r="K443" s="60"/>
      <c r="M443" s="61"/>
      <c r="N443" s="61"/>
      <c r="O443" s="61"/>
      <c r="P443" s="61"/>
      <c r="Q443" s="61"/>
      <c r="R443" s="61"/>
      <c r="S443" s="62"/>
      <c r="T443" s="62"/>
      <c r="U443" s="62"/>
    </row>
    <row r="444" spans="1:21" ht="15.75" customHeight="1" x14ac:dyDescent="0.3">
      <c r="A444" s="36"/>
      <c r="B444" s="36"/>
      <c r="C444" s="6"/>
      <c r="D444" s="36"/>
      <c r="E444" s="36"/>
      <c r="F444" s="36"/>
      <c r="G444" s="6"/>
      <c r="H444" s="36"/>
      <c r="I444" s="36"/>
      <c r="J444" s="37"/>
      <c r="K444" s="60"/>
      <c r="M444" s="61"/>
      <c r="N444" s="61"/>
      <c r="O444" s="61"/>
      <c r="P444" s="61"/>
      <c r="Q444" s="61"/>
      <c r="R444" s="61"/>
      <c r="S444" s="62"/>
      <c r="T444" s="62"/>
      <c r="U444" s="62"/>
    </row>
    <row r="445" spans="1:21" ht="15.75" customHeight="1" x14ac:dyDescent="0.3">
      <c r="A445" s="36"/>
      <c r="B445" s="36"/>
      <c r="C445" s="6"/>
      <c r="D445" s="36"/>
      <c r="E445" s="36"/>
      <c r="F445" s="36"/>
      <c r="G445" s="6"/>
      <c r="H445" s="36"/>
      <c r="I445" s="36"/>
      <c r="J445" s="37"/>
      <c r="K445" s="60"/>
      <c r="M445" s="61"/>
      <c r="N445" s="61"/>
      <c r="O445" s="61"/>
      <c r="P445" s="61"/>
      <c r="Q445" s="61"/>
      <c r="R445" s="61"/>
      <c r="S445" s="62"/>
      <c r="T445" s="62"/>
      <c r="U445" s="62"/>
    </row>
    <row r="446" spans="1:21" ht="15.75" customHeight="1" x14ac:dyDescent="0.3">
      <c r="A446" s="36"/>
      <c r="B446" s="36"/>
      <c r="C446" s="6"/>
      <c r="D446" s="36"/>
      <c r="E446" s="36"/>
      <c r="F446" s="36"/>
      <c r="G446" s="6"/>
      <c r="H446" s="36"/>
      <c r="I446" s="36"/>
      <c r="J446" s="37"/>
      <c r="K446" s="60"/>
      <c r="M446" s="61"/>
      <c r="N446" s="61"/>
      <c r="O446" s="61"/>
      <c r="P446" s="61"/>
      <c r="Q446" s="61"/>
      <c r="R446" s="61"/>
      <c r="S446" s="62"/>
      <c r="T446" s="62"/>
      <c r="U446" s="62"/>
    </row>
    <row r="447" spans="1:21" ht="15.75" customHeight="1" x14ac:dyDescent="0.3">
      <c r="A447" s="36"/>
      <c r="B447" s="36"/>
      <c r="C447" s="6"/>
      <c r="D447" s="36"/>
      <c r="E447" s="36"/>
      <c r="F447" s="36"/>
      <c r="G447" s="6"/>
      <c r="H447" s="36"/>
      <c r="I447" s="36"/>
      <c r="J447" s="37"/>
      <c r="K447" s="60"/>
      <c r="M447" s="61"/>
      <c r="N447" s="61"/>
      <c r="O447" s="61"/>
      <c r="P447" s="61"/>
      <c r="Q447" s="61"/>
      <c r="R447" s="61"/>
      <c r="S447" s="62"/>
      <c r="T447" s="62"/>
      <c r="U447" s="62"/>
    </row>
    <row r="448" spans="1:21" ht="15.75" customHeight="1" x14ac:dyDescent="0.3">
      <c r="A448" s="36"/>
      <c r="B448" s="36"/>
      <c r="C448" s="6"/>
      <c r="D448" s="36"/>
      <c r="E448" s="36"/>
      <c r="F448" s="36"/>
      <c r="G448" s="6"/>
      <c r="H448" s="36"/>
      <c r="I448" s="36"/>
      <c r="J448" s="37"/>
      <c r="K448" s="60"/>
      <c r="M448" s="61"/>
      <c r="N448" s="61"/>
      <c r="O448" s="61"/>
      <c r="P448" s="61"/>
      <c r="Q448" s="61"/>
      <c r="R448" s="61"/>
      <c r="S448" s="62"/>
      <c r="T448" s="62"/>
      <c r="U448" s="62"/>
    </row>
    <row r="449" spans="1:21" ht="15.75" customHeight="1" x14ac:dyDescent="0.3">
      <c r="A449" s="36"/>
      <c r="B449" s="36"/>
      <c r="C449" s="6"/>
      <c r="D449" s="36"/>
      <c r="E449" s="36"/>
      <c r="F449" s="36"/>
      <c r="G449" s="6"/>
      <c r="H449" s="36"/>
      <c r="I449" s="36"/>
      <c r="J449" s="37"/>
      <c r="K449" s="60"/>
      <c r="M449" s="61"/>
      <c r="N449" s="61"/>
      <c r="O449" s="61"/>
      <c r="P449" s="61"/>
      <c r="Q449" s="61"/>
      <c r="R449" s="61"/>
      <c r="S449" s="62"/>
      <c r="T449" s="62"/>
      <c r="U449" s="62"/>
    </row>
    <row r="450" spans="1:21" ht="15.75" customHeight="1" x14ac:dyDescent="0.3">
      <c r="A450" s="36"/>
      <c r="B450" s="36"/>
      <c r="C450" s="6"/>
      <c r="D450" s="36"/>
      <c r="E450" s="36"/>
      <c r="F450" s="36"/>
      <c r="G450" s="6"/>
      <c r="H450" s="36"/>
      <c r="I450" s="36"/>
      <c r="J450" s="37"/>
      <c r="K450" s="60"/>
      <c r="M450" s="61"/>
      <c r="N450" s="61"/>
      <c r="O450" s="61"/>
      <c r="P450" s="61"/>
      <c r="Q450" s="61"/>
      <c r="R450" s="61"/>
      <c r="S450" s="62"/>
      <c r="T450" s="62"/>
      <c r="U450" s="62"/>
    </row>
    <row r="451" spans="1:21" ht="15.75" customHeight="1" x14ac:dyDescent="0.3">
      <c r="A451" s="36"/>
      <c r="B451" s="36"/>
      <c r="C451" s="6"/>
      <c r="D451" s="36"/>
      <c r="E451" s="36"/>
      <c r="F451" s="36"/>
      <c r="G451" s="6"/>
      <c r="H451" s="36"/>
      <c r="I451" s="36"/>
      <c r="J451" s="37"/>
      <c r="K451" s="60"/>
      <c r="M451" s="61"/>
      <c r="N451" s="61"/>
      <c r="O451" s="61"/>
      <c r="P451" s="61"/>
      <c r="Q451" s="61"/>
      <c r="R451" s="61"/>
      <c r="S451" s="62"/>
      <c r="T451" s="62"/>
      <c r="U451" s="62"/>
    </row>
    <row r="452" spans="1:21" ht="15.75" customHeight="1" x14ac:dyDescent="0.3">
      <c r="A452" s="36"/>
      <c r="B452" s="36"/>
      <c r="C452" s="6"/>
      <c r="D452" s="36"/>
      <c r="E452" s="36"/>
      <c r="F452" s="36"/>
      <c r="G452" s="6"/>
      <c r="H452" s="36"/>
      <c r="I452" s="36"/>
      <c r="J452" s="37"/>
      <c r="K452" s="60"/>
      <c r="M452" s="61"/>
      <c r="N452" s="61"/>
      <c r="O452" s="61"/>
      <c r="P452" s="61"/>
      <c r="Q452" s="61"/>
      <c r="R452" s="61"/>
      <c r="S452" s="62"/>
      <c r="T452" s="62"/>
      <c r="U452" s="62"/>
    </row>
    <row r="453" spans="1:21" ht="15.75" customHeight="1" x14ac:dyDescent="0.3">
      <c r="A453" s="36"/>
      <c r="B453" s="36"/>
      <c r="C453" s="6"/>
      <c r="D453" s="36"/>
      <c r="E453" s="36"/>
      <c r="F453" s="36"/>
      <c r="G453" s="6"/>
      <c r="H453" s="36"/>
      <c r="I453" s="36"/>
      <c r="J453" s="37"/>
      <c r="K453" s="60"/>
      <c r="M453" s="61"/>
      <c r="N453" s="61"/>
      <c r="O453" s="61"/>
      <c r="P453" s="61"/>
      <c r="Q453" s="61"/>
      <c r="R453" s="61"/>
      <c r="S453" s="62"/>
      <c r="T453" s="62"/>
      <c r="U453" s="62"/>
    </row>
    <row r="454" spans="1:21" ht="15.75" customHeight="1" x14ac:dyDescent="0.3">
      <c r="A454" s="36"/>
      <c r="B454" s="36"/>
      <c r="C454" s="6"/>
      <c r="D454" s="36"/>
      <c r="E454" s="36"/>
      <c r="F454" s="36"/>
      <c r="G454" s="6"/>
      <c r="H454" s="36"/>
      <c r="I454" s="36"/>
      <c r="J454" s="37"/>
      <c r="K454" s="60"/>
      <c r="M454" s="61"/>
      <c r="N454" s="61"/>
      <c r="O454" s="61"/>
      <c r="P454" s="61"/>
      <c r="Q454" s="61"/>
      <c r="R454" s="61"/>
      <c r="S454" s="62"/>
      <c r="T454" s="62"/>
      <c r="U454" s="62"/>
    </row>
    <row r="455" spans="1:21" ht="15.75" customHeight="1" x14ac:dyDescent="0.3">
      <c r="A455" s="36"/>
      <c r="B455" s="36"/>
      <c r="C455" s="6"/>
      <c r="D455" s="36"/>
      <c r="E455" s="36"/>
      <c r="F455" s="36"/>
      <c r="G455" s="6"/>
      <c r="H455" s="36"/>
      <c r="I455" s="36"/>
      <c r="J455" s="37"/>
      <c r="K455" s="60"/>
      <c r="M455" s="61"/>
      <c r="N455" s="61"/>
      <c r="O455" s="61"/>
      <c r="P455" s="61"/>
      <c r="Q455" s="61"/>
      <c r="R455" s="61"/>
      <c r="S455" s="62"/>
      <c r="T455" s="62"/>
      <c r="U455" s="62"/>
    </row>
    <row r="456" spans="1:21" ht="15.75" customHeight="1" x14ac:dyDescent="0.3">
      <c r="A456" s="36"/>
      <c r="B456" s="36"/>
      <c r="C456" s="6"/>
      <c r="D456" s="36"/>
      <c r="E456" s="36"/>
      <c r="F456" s="36"/>
      <c r="G456" s="6"/>
      <c r="H456" s="36"/>
      <c r="I456" s="36"/>
      <c r="J456" s="37"/>
      <c r="K456" s="60"/>
      <c r="M456" s="61"/>
      <c r="N456" s="61"/>
      <c r="O456" s="61"/>
      <c r="P456" s="61"/>
      <c r="Q456" s="61"/>
      <c r="R456" s="61"/>
      <c r="S456" s="62"/>
      <c r="T456" s="62"/>
      <c r="U456" s="62"/>
    </row>
    <row r="457" spans="1:21" ht="15.75" customHeight="1" x14ac:dyDescent="0.3">
      <c r="A457" s="36"/>
      <c r="B457" s="36"/>
      <c r="C457" s="6"/>
      <c r="D457" s="36"/>
      <c r="E457" s="36"/>
      <c r="F457" s="36"/>
      <c r="G457" s="6"/>
      <c r="H457" s="36"/>
      <c r="I457" s="36"/>
      <c r="J457" s="37"/>
      <c r="K457" s="60"/>
      <c r="M457" s="61"/>
      <c r="N457" s="61"/>
      <c r="O457" s="61"/>
      <c r="P457" s="61"/>
      <c r="Q457" s="61"/>
      <c r="R457" s="61"/>
      <c r="S457" s="62"/>
      <c r="T457" s="62"/>
      <c r="U457" s="62"/>
    </row>
    <row r="458" spans="1:21" ht="15.75" customHeight="1" x14ac:dyDescent="0.3">
      <c r="A458" s="36"/>
      <c r="B458" s="36"/>
      <c r="C458" s="6"/>
      <c r="D458" s="36"/>
      <c r="E458" s="36"/>
      <c r="F458" s="36"/>
      <c r="G458" s="6"/>
      <c r="H458" s="36"/>
      <c r="I458" s="36"/>
      <c r="J458" s="37"/>
      <c r="K458" s="60"/>
      <c r="M458" s="61"/>
      <c r="N458" s="61"/>
      <c r="O458" s="61"/>
      <c r="P458" s="61"/>
      <c r="Q458" s="61"/>
      <c r="R458" s="61"/>
      <c r="S458" s="62"/>
      <c r="T458" s="62"/>
      <c r="U458" s="62"/>
    </row>
    <row r="459" spans="1:21" ht="15.75" customHeight="1" x14ac:dyDescent="0.3">
      <c r="A459" s="36"/>
      <c r="B459" s="36"/>
      <c r="C459" s="6"/>
      <c r="D459" s="36"/>
      <c r="E459" s="36"/>
      <c r="F459" s="36"/>
      <c r="G459" s="6"/>
      <c r="H459" s="36"/>
      <c r="I459" s="36"/>
      <c r="J459" s="37"/>
      <c r="K459" s="60"/>
      <c r="M459" s="61"/>
      <c r="N459" s="61"/>
      <c r="O459" s="61"/>
      <c r="P459" s="61"/>
      <c r="Q459" s="61"/>
      <c r="R459" s="61"/>
      <c r="S459" s="62"/>
      <c r="T459" s="62"/>
      <c r="U459" s="62"/>
    </row>
    <row r="460" spans="1:21" ht="15.75" customHeight="1" x14ac:dyDescent="0.3">
      <c r="A460" s="36"/>
      <c r="B460" s="36"/>
      <c r="C460" s="6"/>
      <c r="D460" s="36"/>
      <c r="E460" s="36"/>
      <c r="F460" s="36"/>
      <c r="G460" s="6"/>
      <c r="H460" s="36"/>
      <c r="I460" s="36"/>
      <c r="J460" s="37"/>
      <c r="K460" s="60"/>
      <c r="M460" s="61"/>
      <c r="N460" s="61"/>
      <c r="O460" s="61"/>
      <c r="P460" s="61"/>
      <c r="Q460" s="61"/>
      <c r="R460" s="61"/>
      <c r="S460" s="62"/>
      <c r="T460" s="62"/>
      <c r="U460" s="62"/>
    </row>
    <row r="461" spans="1:21" ht="15.75" customHeight="1" x14ac:dyDescent="0.3">
      <c r="A461" s="36"/>
      <c r="B461" s="36"/>
      <c r="C461" s="6"/>
      <c r="D461" s="36"/>
      <c r="E461" s="36"/>
      <c r="F461" s="36"/>
      <c r="G461" s="6"/>
      <c r="H461" s="36"/>
      <c r="I461" s="36"/>
      <c r="J461" s="37"/>
      <c r="K461" s="60"/>
      <c r="M461" s="61"/>
      <c r="N461" s="61"/>
      <c r="O461" s="61"/>
      <c r="P461" s="61"/>
      <c r="Q461" s="61"/>
      <c r="R461" s="61"/>
      <c r="S461" s="62"/>
      <c r="T461" s="62"/>
      <c r="U461" s="62"/>
    </row>
    <row r="462" spans="1:21" ht="15.75" customHeight="1" x14ac:dyDescent="0.3">
      <c r="A462" s="36"/>
      <c r="B462" s="36"/>
      <c r="C462" s="6"/>
      <c r="D462" s="36"/>
      <c r="E462" s="36"/>
      <c r="F462" s="36"/>
      <c r="G462" s="6"/>
      <c r="H462" s="36"/>
      <c r="I462" s="36"/>
      <c r="J462" s="37"/>
      <c r="K462" s="60"/>
      <c r="M462" s="61"/>
      <c r="N462" s="61"/>
      <c r="O462" s="61"/>
      <c r="P462" s="61"/>
      <c r="Q462" s="61"/>
      <c r="R462" s="61"/>
      <c r="S462" s="62"/>
      <c r="T462" s="62"/>
      <c r="U462" s="62"/>
    </row>
    <row r="463" spans="1:21" ht="15.75" customHeight="1" x14ac:dyDescent="0.3">
      <c r="A463" s="36"/>
      <c r="B463" s="36"/>
      <c r="C463" s="6"/>
      <c r="D463" s="36"/>
      <c r="E463" s="36"/>
      <c r="F463" s="36"/>
      <c r="G463" s="6"/>
      <c r="H463" s="36"/>
      <c r="I463" s="36"/>
      <c r="J463" s="37"/>
      <c r="K463" s="60"/>
      <c r="M463" s="61"/>
      <c r="N463" s="61"/>
      <c r="O463" s="61"/>
      <c r="P463" s="61"/>
      <c r="Q463" s="61"/>
      <c r="R463" s="61"/>
      <c r="S463" s="62"/>
      <c r="T463" s="62"/>
      <c r="U463" s="62"/>
    </row>
    <row r="464" spans="1:21" ht="15.75" customHeight="1" x14ac:dyDescent="0.3">
      <c r="A464" s="36"/>
      <c r="B464" s="36"/>
      <c r="C464" s="6"/>
      <c r="D464" s="36"/>
      <c r="E464" s="36"/>
      <c r="F464" s="36"/>
      <c r="G464" s="6"/>
      <c r="H464" s="36"/>
      <c r="I464" s="36"/>
      <c r="J464" s="37"/>
      <c r="K464" s="60"/>
      <c r="M464" s="61"/>
      <c r="N464" s="61"/>
      <c r="O464" s="61"/>
      <c r="P464" s="61"/>
      <c r="Q464" s="61"/>
      <c r="R464" s="61"/>
      <c r="S464" s="62"/>
      <c r="T464" s="62"/>
      <c r="U464" s="62"/>
    </row>
    <row r="465" spans="1:21" ht="15.75" customHeight="1" x14ac:dyDescent="0.3">
      <c r="A465" s="36"/>
      <c r="B465" s="36"/>
      <c r="C465" s="6"/>
      <c r="D465" s="36"/>
      <c r="E465" s="36"/>
      <c r="F465" s="36"/>
      <c r="G465" s="6"/>
      <c r="H465" s="36"/>
      <c r="I465" s="36"/>
      <c r="J465" s="37"/>
      <c r="K465" s="60"/>
      <c r="M465" s="61"/>
      <c r="N465" s="61"/>
      <c r="O465" s="61"/>
      <c r="P465" s="61"/>
      <c r="Q465" s="61"/>
      <c r="R465" s="61"/>
      <c r="S465" s="62"/>
      <c r="T465" s="62"/>
      <c r="U465" s="62"/>
    </row>
    <row r="466" spans="1:21" ht="15.75" customHeight="1" x14ac:dyDescent="0.3">
      <c r="A466" s="36"/>
      <c r="B466" s="36"/>
      <c r="C466" s="6"/>
      <c r="D466" s="36"/>
      <c r="E466" s="36"/>
      <c r="F466" s="36"/>
      <c r="G466" s="6"/>
      <c r="H466" s="36"/>
      <c r="I466" s="36"/>
      <c r="J466" s="37"/>
      <c r="K466" s="60"/>
      <c r="M466" s="61"/>
      <c r="N466" s="61"/>
      <c r="O466" s="61"/>
      <c r="P466" s="61"/>
      <c r="Q466" s="61"/>
      <c r="R466" s="61"/>
      <c r="S466" s="62"/>
      <c r="T466" s="62"/>
      <c r="U466" s="62"/>
    </row>
    <row r="467" spans="1:21" ht="15.75" customHeight="1" x14ac:dyDescent="0.3">
      <c r="A467" s="36"/>
      <c r="B467" s="36"/>
      <c r="C467" s="6"/>
      <c r="D467" s="36"/>
      <c r="E467" s="36"/>
      <c r="F467" s="36"/>
      <c r="G467" s="6"/>
      <c r="H467" s="36"/>
      <c r="I467" s="36"/>
      <c r="J467" s="37"/>
      <c r="K467" s="60"/>
      <c r="M467" s="61"/>
      <c r="N467" s="61"/>
      <c r="O467" s="61"/>
      <c r="P467" s="61"/>
      <c r="Q467" s="61"/>
      <c r="R467" s="61"/>
      <c r="S467" s="62"/>
      <c r="T467" s="62"/>
      <c r="U467" s="62"/>
    </row>
    <row r="468" spans="1:21" ht="15.75" customHeight="1" x14ac:dyDescent="0.3">
      <c r="A468" s="36"/>
      <c r="B468" s="36"/>
      <c r="C468" s="6"/>
      <c r="D468" s="36"/>
      <c r="E468" s="36"/>
      <c r="F468" s="36"/>
      <c r="G468" s="6"/>
      <c r="H468" s="36"/>
      <c r="I468" s="36"/>
      <c r="J468" s="37"/>
      <c r="K468" s="60"/>
      <c r="M468" s="61"/>
      <c r="N468" s="61"/>
      <c r="O468" s="61"/>
      <c r="P468" s="61"/>
      <c r="Q468" s="61"/>
      <c r="R468" s="61"/>
      <c r="S468" s="62"/>
      <c r="T468" s="62"/>
      <c r="U468" s="62"/>
    </row>
    <row r="469" spans="1:21" ht="15.75" customHeight="1" x14ac:dyDescent="0.3">
      <c r="A469" s="36"/>
      <c r="B469" s="36"/>
      <c r="C469" s="6"/>
      <c r="D469" s="36"/>
      <c r="E469" s="36"/>
      <c r="F469" s="36"/>
      <c r="G469" s="6"/>
      <c r="H469" s="36"/>
      <c r="I469" s="36"/>
      <c r="J469" s="37"/>
      <c r="K469" s="60"/>
      <c r="M469" s="61"/>
      <c r="N469" s="61"/>
      <c r="O469" s="61"/>
      <c r="P469" s="61"/>
      <c r="Q469" s="61"/>
      <c r="R469" s="61"/>
      <c r="S469" s="62"/>
      <c r="T469" s="62"/>
      <c r="U469" s="62"/>
    </row>
    <row r="470" spans="1:21" ht="15.75" customHeight="1" x14ac:dyDescent="0.3">
      <c r="A470" s="36"/>
      <c r="B470" s="36"/>
      <c r="C470" s="6"/>
      <c r="D470" s="36"/>
      <c r="E470" s="36"/>
      <c r="F470" s="36"/>
      <c r="G470" s="6"/>
      <c r="H470" s="36"/>
      <c r="I470" s="36"/>
      <c r="J470" s="37"/>
      <c r="K470" s="60"/>
      <c r="M470" s="61"/>
      <c r="N470" s="61"/>
      <c r="O470" s="61"/>
      <c r="P470" s="61"/>
      <c r="Q470" s="61"/>
      <c r="R470" s="61"/>
      <c r="S470" s="62"/>
      <c r="T470" s="62"/>
      <c r="U470" s="62"/>
    </row>
    <row r="471" spans="1:21" ht="15.75" customHeight="1" x14ac:dyDescent="0.3">
      <c r="A471" s="36"/>
      <c r="B471" s="36"/>
      <c r="C471" s="6"/>
      <c r="D471" s="36"/>
      <c r="E471" s="36"/>
      <c r="F471" s="36"/>
      <c r="G471" s="6"/>
      <c r="H471" s="36"/>
      <c r="I471" s="36"/>
      <c r="J471" s="37"/>
      <c r="K471" s="60"/>
      <c r="M471" s="61"/>
      <c r="N471" s="61"/>
      <c r="O471" s="61"/>
      <c r="P471" s="61"/>
      <c r="Q471" s="61"/>
      <c r="R471" s="61"/>
      <c r="S471" s="62"/>
      <c r="T471" s="62"/>
      <c r="U471" s="62"/>
    </row>
    <row r="472" spans="1:21" ht="15.75" customHeight="1" x14ac:dyDescent="0.3">
      <c r="A472" s="36"/>
      <c r="B472" s="36"/>
      <c r="C472" s="6"/>
      <c r="D472" s="36"/>
      <c r="E472" s="36"/>
      <c r="F472" s="36"/>
      <c r="G472" s="6"/>
      <c r="H472" s="36"/>
      <c r="I472" s="36"/>
      <c r="J472" s="37"/>
      <c r="K472" s="60"/>
      <c r="M472" s="61"/>
      <c r="N472" s="61"/>
      <c r="O472" s="61"/>
      <c r="P472" s="61"/>
      <c r="Q472" s="61"/>
      <c r="R472" s="61"/>
      <c r="S472" s="62"/>
      <c r="T472" s="62"/>
      <c r="U472" s="62"/>
    </row>
    <row r="473" spans="1:21" ht="15.75" customHeight="1" x14ac:dyDescent="0.3">
      <c r="A473" s="36"/>
      <c r="B473" s="36"/>
      <c r="C473" s="6"/>
      <c r="D473" s="36"/>
      <c r="E473" s="36"/>
      <c r="F473" s="36"/>
      <c r="G473" s="6"/>
      <c r="H473" s="36"/>
      <c r="I473" s="36"/>
      <c r="J473" s="37"/>
      <c r="K473" s="60"/>
      <c r="M473" s="61"/>
      <c r="N473" s="61"/>
      <c r="O473" s="61"/>
      <c r="P473" s="61"/>
      <c r="Q473" s="61"/>
      <c r="R473" s="61"/>
      <c r="S473" s="62"/>
      <c r="T473" s="62"/>
      <c r="U473" s="62"/>
    </row>
    <row r="474" spans="1:21" ht="15.75" customHeight="1" x14ac:dyDescent="0.3">
      <c r="A474" s="36"/>
      <c r="B474" s="36"/>
      <c r="C474" s="6"/>
      <c r="D474" s="36"/>
      <c r="E474" s="36"/>
      <c r="F474" s="36"/>
      <c r="G474" s="6"/>
      <c r="H474" s="36"/>
      <c r="I474" s="36"/>
      <c r="J474" s="37"/>
      <c r="K474" s="60"/>
      <c r="M474" s="61"/>
      <c r="N474" s="61"/>
      <c r="O474" s="61"/>
      <c r="P474" s="61"/>
      <c r="Q474" s="61"/>
      <c r="R474" s="61"/>
      <c r="S474" s="62"/>
      <c r="T474" s="62"/>
      <c r="U474" s="62"/>
    </row>
    <row r="475" spans="1:21" ht="15.75" customHeight="1" x14ac:dyDescent="0.3">
      <c r="A475" s="36"/>
      <c r="B475" s="36"/>
      <c r="C475" s="6"/>
      <c r="D475" s="36"/>
      <c r="E475" s="36"/>
      <c r="F475" s="36"/>
      <c r="G475" s="6"/>
      <c r="H475" s="36"/>
      <c r="I475" s="36"/>
      <c r="J475" s="37"/>
      <c r="K475" s="60"/>
      <c r="M475" s="61"/>
      <c r="N475" s="61"/>
      <c r="O475" s="61"/>
      <c r="P475" s="61"/>
      <c r="Q475" s="61"/>
      <c r="R475" s="61"/>
      <c r="S475" s="62"/>
      <c r="T475" s="62"/>
      <c r="U475" s="62"/>
    </row>
    <row r="476" spans="1:21" ht="15.75" customHeight="1" x14ac:dyDescent="0.3">
      <c r="A476" s="36"/>
      <c r="B476" s="36"/>
      <c r="C476" s="6"/>
      <c r="D476" s="36"/>
      <c r="E476" s="36"/>
      <c r="F476" s="36"/>
      <c r="G476" s="6"/>
      <c r="H476" s="36"/>
      <c r="I476" s="36"/>
      <c r="J476" s="37"/>
      <c r="K476" s="60"/>
      <c r="M476" s="61"/>
      <c r="N476" s="61"/>
      <c r="O476" s="61"/>
      <c r="P476" s="61"/>
      <c r="Q476" s="61"/>
      <c r="R476" s="61"/>
      <c r="S476" s="62"/>
      <c r="T476" s="62"/>
      <c r="U476" s="62"/>
    </row>
    <row r="477" spans="1:21" ht="15.75" customHeight="1" x14ac:dyDescent="0.3">
      <c r="A477" s="36"/>
      <c r="B477" s="36"/>
      <c r="C477" s="6"/>
      <c r="D477" s="36"/>
      <c r="E477" s="36"/>
      <c r="F477" s="36"/>
      <c r="G477" s="6"/>
      <c r="H477" s="36"/>
      <c r="I477" s="36"/>
      <c r="J477" s="37"/>
      <c r="K477" s="60"/>
      <c r="M477" s="61"/>
      <c r="N477" s="61"/>
      <c r="O477" s="61"/>
      <c r="P477" s="61"/>
      <c r="Q477" s="61"/>
      <c r="R477" s="61"/>
      <c r="S477" s="62"/>
      <c r="T477" s="62"/>
      <c r="U477" s="62"/>
    </row>
    <row r="478" spans="1:21" ht="15.75" customHeight="1" x14ac:dyDescent="0.3">
      <c r="A478" s="36"/>
      <c r="B478" s="36"/>
      <c r="C478" s="6"/>
      <c r="D478" s="36"/>
      <c r="E478" s="36"/>
      <c r="F478" s="36"/>
      <c r="G478" s="6"/>
      <c r="H478" s="36"/>
      <c r="I478" s="36"/>
      <c r="J478" s="37"/>
      <c r="K478" s="60"/>
      <c r="M478" s="61"/>
      <c r="N478" s="61"/>
      <c r="O478" s="61"/>
      <c r="P478" s="61"/>
      <c r="Q478" s="61"/>
      <c r="R478" s="61"/>
      <c r="S478" s="62"/>
      <c r="T478" s="62"/>
      <c r="U478" s="62"/>
    </row>
    <row r="479" spans="1:21" ht="15.75" customHeight="1" x14ac:dyDescent="0.3">
      <c r="A479" s="36"/>
      <c r="B479" s="36"/>
      <c r="C479" s="6"/>
      <c r="D479" s="36"/>
      <c r="E479" s="36"/>
      <c r="F479" s="36"/>
      <c r="G479" s="6"/>
      <c r="H479" s="36"/>
      <c r="I479" s="36"/>
      <c r="J479" s="37"/>
      <c r="K479" s="60"/>
      <c r="M479" s="61"/>
      <c r="N479" s="61"/>
      <c r="O479" s="61"/>
      <c r="P479" s="61"/>
      <c r="Q479" s="61"/>
      <c r="R479" s="61"/>
      <c r="S479" s="62"/>
      <c r="T479" s="62"/>
      <c r="U479" s="62"/>
    </row>
    <row r="480" spans="1:21" ht="15.75" customHeight="1" x14ac:dyDescent="0.3">
      <c r="A480" s="36"/>
      <c r="B480" s="36"/>
      <c r="C480" s="6"/>
      <c r="D480" s="36"/>
      <c r="E480" s="36"/>
      <c r="F480" s="36"/>
      <c r="G480" s="6"/>
      <c r="H480" s="36"/>
      <c r="I480" s="36"/>
      <c r="J480" s="37"/>
      <c r="K480" s="60"/>
      <c r="M480" s="61"/>
      <c r="N480" s="61"/>
      <c r="O480" s="61"/>
      <c r="P480" s="61"/>
      <c r="Q480" s="61"/>
      <c r="R480" s="61"/>
      <c r="S480" s="62"/>
      <c r="T480" s="62"/>
      <c r="U480" s="62"/>
    </row>
    <row r="481" spans="1:21" ht="15.75" customHeight="1" x14ac:dyDescent="0.3">
      <c r="A481" s="36"/>
      <c r="B481" s="36"/>
      <c r="C481" s="6"/>
      <c r="D481" s="36"/>
      <c r="E481" s="36"/>
      <c r="F481" s="36"/>
      <c r="G481" s="6"/>
      <c r="H481" s="36"/>
      <c r="I481" s="36"/>
      <c r="J481" s="37"/>
      <c r="K481" s="60"/>
      <c r="M481" s="61"/>
      <c r="N481" s="61"/>
      <c r="O481" s="61"/>
      <c r="P481" s="61"/>
      <c r="Q481" s="61"/>
      <c r="R481" s="61"/>
      <c r="S481" s="62"/>
      <c r="T481" s="62"/>
      <c r="U481" s="62"/>
    </row>
    <row r="482" spans="1:21" ht="15.75" customHeight="1" x14ac:dyDescent="0.3">
      <c r="A482" s="36"/>
      <c r="B482" s="36"/>
      <c r="C482" s="6"/>
      <c r="D482" s="36"/>
      <c r="E482" s="36"/>
      <c r="F482" s="36"/>
      <c r="G482" s="6"/>
      <c r="H482" s="36"/>
      <c r="I482" s="36"/>
      <c r="J482" s="37"/>
      <c r="K482" s="60"/>
      <c r="M482" s="61"/>
      <c r="N482" s="61"/>
      <c r="O482" s="61"/>
      <c r="P482" s="61"/>
      <c r="Q482" s="61"/>
      <c r="R482" s="61"/>
      <c r="S482" s="62"/>
      <c r="T482" s="62"/>
      <c r="U482" s="62"/>
    </row>
    <row r="483" spans="1:21" ht="15.75" customHeight="1" x14ac:dyDescent="0.3">
      <c r="A483" s="36"/>
      <c r="B483" s="36"/>
      <c r="C483" s="6"/>
      <c r="D483" s="36"/>
      <c r="E483" s="36"/>
      <c r="F483" s="36"/>
      <c r="G483" s="6"/>
      <c r="H483" s="36"/>
      <c r="I483" s="36"/>
      <c r="J483" s="37"/>
      <c r="K483" s="60"/>
      <c r="M483" s="61"/>
      <c r="N483" s="61"/>
      <c r="O483" s="61"/>
      <c r="P483" s="61"/>
      <c r="Q483" s="61"/>
      <c r="R483" s="61"/>
      <c r="S483" s="62"/>
      <c r="T483" s="62"/>
      <c r="U483" s="62"/>
    </row>
    <row r="484" spans="1:21" ht="15.75" customHeight="1" x14ac:dyDescent="0.3">
      <c r="A484" s="36"/>
      <c r="B484" s="36"/>
      <c r="C484" s="6"/>
      <c r="D484" s="36"/>
      <c r="E484" s="36"/>
      <c r="F484" s="36"/>
      <c r="G484" s="6"/>
      <c r="H484" s="36"/>
      <c r="I484" s="36"/>
      <c r="J484" s="37"/>
      <c r="K484" s="60"/>
      <c r="M484" s="61"/>
      <c r="N484" s="61"/>
      <c r="O484" s="61"/>
      <c r="P484" s="61"/>
      <c r="Q484" s="61"/>
      <c r="R484" s="61"/>
      <c r="S484" s="62"/>
      <c r="T484" s="62"/>
      <c r="U484" s="62"/>
    </row>
    <row r="485" spans="1:21" ht="15.75" customHeight="1" x14ac:dyDescent="0.3">
      <c r="A485" s="36"/>
      <c r="B485" s="36"/>
      <c r="C485" s="6"/>
      <c r="D485" s="36"/>
      <c r="E485" s="36"/>
      <c r="F485" s="36"/>
      <c r="G485" s="6"/>
      <c r="H485" s="36"/>
      <c r="I485" s="36"/>
      <c r="J485" s="37"/>
      <c r="K485" s="60"/>
      <c r="M485" s="61"/>
      <c r="N485" s="61"/>
      <c r="O485" s="61"/>
      <c r="P485" s="61"/>
      <c r="Q485" s="61"/>
      <c r="R485" s="61"/>
      <c r="S485" s="62"/>
      <c r="T485" s="62"/>
      <c r="U485" s="62"/>
    </row>
    <row r="486" spans="1:21" ht="15.75" customHeight="1" x14ac:dyDescent="0.3">
      <c r="A486" s="36"/>
      <c r="B486" s="36"/>
      <c r="C486" s="6"/>
      <c r="D486" s="36"/>
      <c r="E486" s="36"/>
      <c r="F486" s="36"/>
      <c r="G486" s="6"/>
      <c r="H486" s="36"/>
      <c r="I486" s="36"/>
      <c r="J486" s="37"/>
      <c r="K486" s="60"/>
      <c r="M486" s="61"/>
      <c r="N486" s="61"/>
      <c r="O486" s="61"/>
      <c r="P486" s="61"/>
      <c r="Q486" s="61"/>
      <c r="R486" s="61"/>
      <c r="S486" s="62"/>
      <c r="T486" s="62"/>
      <c r="U486" s="62"/>
    </row>
    <row r="487" spans="1:21" ht="15.75" customHeight="1" x14ac:dyDescent="0.3">
      <c r="A487" s="36"/>
      <c r="B487" s="36"/>
      <c r="C487" s="6"/>
      <c r="D487" s="36"/>
      <c r="E487" s="36"/>
      <c r="F487" s="36"/>
      <c r="G487" s="6"/>
      <c r="H487" s="36"/>
      <c r="I487" s="36"/>
      <c r="J487" s="37"/>
      <c r="K487" s="60"/>
      <c r="M487" s="61"/>
      <c r="N487" s="61"/>
      <c r="O487" s="61"/>
      <c r="P487" s="61"/>
      <c r="Q487" s="61"/>
      <c r="R487" s="61"/>
      <c r="S487" s="62"/>
      <c r="T487" s="62"/>
      <c r="U487" s="62"/>
    </row>
    <row r="488" spans="1:21" ht="15.75" customHeight="1" x14ac:dyDescent="0.3">
      <c r="A488" s="36"/>
      <c r="B488" s="36"/>
      <c r="C488" s="6"/>
      <c r="D488" s="36"/>
      <c r="E488" s="36"/>
      <c r="F488" s="36"/>
      <c r="G488" s="6"/>
      <c r="H488" s="36"/>
      <c r="I488" s="36"/>
      <c r="J488" s="37"/>
      <c r="K488" s="60"/>
      <c r="M488" s="61"/>
      <c r="N488" s="61"/>
      <c r="O488" s="61"/>
      <c r="P488" s="61"/>
      <c r="Q488" s="61"/>
      <c r="R488" s="61"/>
      <c r="S488" s="62"/>
      <c r="T488" s="62"/>
      <c r="U488" s="62"/>
    </row>
    <row r="489" spans="1:21" ht="15.75" customHeight="1" x14ac:dyDescent="0.3">
      <c r="A489" s="36"/>
      <c r="B489" s="36"/>
      <c r="C489" s="6"/>
      <c r="D489" s="36"/>
      <c r="E489" s="36"/>
      <c r="F489" s="36"/>
      <c r="G489" s="6"/>
      <c r="H489" s="36"/>
      <c r="I489" s="36"/>
      <c r="J489" s="37"/>
      <c r="K489" s="60"/>
      <c r="M489" s="61"/>
      <c r="N489" s="61"/>
      <c r="O489" s="61"/>
      <c r="P489" s="61"/>
      <c r="Q489" s="61"/>
      <c r="R489" s="61"/>
      <c r="S489" s="62"/>
      <c r="T489" s="62"/>
      <c r="U489" s="62"/>
    </row>
    <row r="490" spans="1:21" ht="15.75" customHeight="1" x14ac:dyDescent="0.3">
      <c r="A490" s="36"/>
      <c r="B490" s="36"/>
      <c r="C490" s="6"/>
      <c r="D490" s="36"/>
      <c r="E490" s="36"/>
      <c r="F490" s="36"/>
      <c r="G490" s="6"/>
      <c r="H490" s="36"/>
      <c r="I490" s="36"/>
      <c r="J490" s="37"/>
      <c r="K490" s="60"/>
      <c r="M490" s="61"/>
      <c r="N490" s="61"/>
      <c r="O490" s="61"/>
      <c r="P490" s="61"/>
      <c r="Q490" s="61"/>
      <c r="R490" s="61"/>
      <c r="S490" s="62"/>
      <c r="T490" s="62"/>
      <c r="U490" s="62"/>
    </row>
    <row r="491" spans="1:21" ht="15.75" customHeight="1" x14ac:dyDescent="0.3">
      <c r="A491" s="36"/>
      <c r="B491" s="36"/>
      <c r="C491" s="6"/>
      <c r="D491" s="36"/>
      <c r="E491" s="36"/>
      <c r="F491" s="36"/>
      <c r="G491" s="6"/>
      <c r="H491" s="36"/>
      <c r="I491" s="36"/>
      <c r="J491" s="37"/>
      <c r="K491" s="60"/>
      <c r="M491" s="61"/>
      <c r="N491" s="61"/>
      <c r="O491" s="61"/>
      <c r="P491" s="61"/>
      <c r="Q491" s="61"/>
      <c r="R491" s="61"/>
      <c r="S491" s="62"/>
      <c r="T491" s="62"/>
      <c r="U491" s="62"/>
    </row>
    <row r="492" spans="1:21" ht="15.75" customHeight="1" x14ac:dyDescent="0.3">
      <c r="A492" s="36"/>
      <c r="B492" s="36"/>
      <c r="C492" s="6"/>
      <c r="D492" s="36"/>
      <c r="E492" s="36"/>
      <c r="F492" s="36"/>
      <c r="G492" s="6"/>
      <c r="H492" s="36"/>
      <c r="I492" s="36"/>
      <c r="J492" s="37"/>
      <c r="K492" s="60"/>
      <c r="M492" s="61"/>
      <c r="N492" s="61"/>
      <c r="O492" s="61"/>
      <c r="P492" s="61"/>
      <c r="Q492" s="61"/>
      <c r="R492" s="61"/>
      <c r="S492" s="62"/>
      <c r="T492" s="62"/>
      <c r="U492" s="62"/>
    </row>
    <row r="493" spans="1:21" ht="15.75" customHeight="1" x14ac:dyDescent="0.3">
      <c r="A493" s="36"/>
      <c r="B493" s="36"/>
      <c r="C493" s="6"/>
      <c r="D493" s="36"/>
      <c r="E493" s="36"/>
      <c r="F493" s="36"/>
      <c r="G493" s="6"/>
      <c r="H493" s="36"/>
      <c r="I493" s="36"/>
      <c r="J493" s="37"/>
      <c r="K493" s="60"/>
      <c r="M493" s="61"/>
      <c r="N493" s="61"/>
      <c r="O493" s="61"/>
      <c r="P493" s="61"/>
      <c r="Q493" s="61"/>
      <c r="R493" s="61"/>
      <c r="S493" s="62"/>
      <c r="T493" s="62"/>
      <c r="U493" s="62"/>
    </row>
    <row r="494" spans="1:21" ht="15.75" customHeight="1" x14ac:dyDescent="0.3">
      <c r="A494" s="36"/>
      <c r="B494" s="36"/>
      <c r="C494" s="6"/>
      <c r="D494" s="36"/>
      <c r="E494" s="36"/>
      <c r="F494" s="36"/>
      <c r="G494" s="6"/>
      <c r="H494" s="36"/>
      <c r="I494" s="36"/>
      <c r="J494" s="37"/>
      <c r="K494" s="60"/>
      <c r="M494" s="61"/>
      <c r="N494" s="61"/>
      <c r="O494" s="61"/>
      <c r="P494" s="61"/>
      <c r="Q494" s="61"/>
      <c r="R494" s="61"/>
      <c r="S494" s="62"/>
      <c r="T494" s="62"/>
      <c r="U494" s="62"/>
    </row>
    <row r="495" spans="1:21" ht="15.75" customHeight="1" x14ac:dyDescent="0.3">
      <c r="A495" s="36"/>
      <c r="B495" s="36"/>
      <c r="C495" s="6"/>
      <c r="D495" s="36"/>
      <c r="E495" s="36"/>
      <c r="F495" s="36"/>
      <c r="G495" s="6"/>
      <c r="H495" s="36"/>
      <c r="I495" s="36"/>
      <c r="J495" s="37"/>
      <c r="K495" s="60"/>
      <c r="M495" s="61"/>
      <c r="N495" s="61"/>
      <c r="O495" s="61"/>
      <c r="P495" s="61"/>
      <c r="Q495" s="61"/>
      <c r="R495" s="61"/>
      <c r="S495" s="62"/>
      <c r="T495" s="62"/>
      <c r="U495" s="62"/>
    </row>
    <row r="496" spans="1:21" ht="15.75" customHeight="1" x14ac:dyDescent="0.3">
      <c r="A496" s="36"/>
      <c r="B496" s="36"/>
      <c r="C496" s="6"/>
      <c r="D496" s="36"/>
      <c r="E496" s="36"/>
      <c r="F496" s="36"/>
      <c r="G496" s="6"/>
      <c r="H496" s="36"/>
      <c r="I496" s="36"/>
      <c r="J496" s="37"/>
      <c r="K496" s="60"/>
      <c r="M496" s="61"/>
      <c r="N496" s="61"/>
      <c r="O496" s="61"/>
      <c r="P496" s="61"/>
      <c r="Q496" s="61"/>
      <c r="R496" s="61"/>
      <c r="S496" s="62"/>
      <c r="T496" s="62"/>
      <c r="U496" s="62"/>
    </row>
    <row r="497" spans="1:21" ht="15.75" customHeight="1" x14ac:dyDescent="0.3">
      <c r="A497" s="36"/>
      <c r="B497" s="36"/>
      <c r="C497" s="6"/>
      <c r="D497" s="36"/>
      <c r="E497" s="36"/>
      <c r="F497" s="36"/>
      <c r="G497" s="6"/>
      <c r="H497" s="36"/>
      <c r="I497" s="36"/>
      <c r="J497" s="37"/>
      <c r="K497" s="60"/>
      <c r="M497" s="61"/>
      <c r="N497" s="61"/>
      <c r="O497" s="61"/>
      <c r="P497" s="61"/>
      <c r="Q497" s="61"/>
      <c r="R497" s="61"/>
      <c r="S497" s="62"/>
      <c r="T497" s="62"/>
      <c r="U497" s="62"/>
    </row>
    <row r="498" spans="1:21" ht="15.75" customHeight="1" x14ac:dyDescent="0.3">
      <c r="A498" s="36"/>
      <c r="B498" s="36"/>
      <c r="C498" s="6"/>
      <c r="D498" s="36"/>
      <c r="E498" s="36"/>
      <c r="F498" s="36"/>
      <c r="G498" s="6"/>
      <c r="H498" s="36"/>
      <c r="I498" s="36"/>
      <c r="J498" s="37"/>
      <c r="K498" s="60"/>
      <c r="M498" s="61"/>
      <c r="N498" s="61"/>
      <c r="O498" s="61"/>
      <c r="P498" s="61"/>
      <c r="Q498" s="61"/>
      <c r="R498" s="61"/>
      <c r="S498" s="62"/>
      <c r="T498" s="62"/>
      <c r="U498" s="62"/>
    </row>
    <row r="499" spans="1:21" ht="15.75" customHeight="1" x14ac:dyDescent="0.3">
      <c r="A499" s="36"/>
      <c r="B499" s="36"/>
      <c r="C499" s="6"/>
      <c r="D499" s="36"/>
      <c r="E499" s="36"/>
      <c r="F499" s="36"/>
      <c r="G499" s="6"/>
      <c r="H499" s="36"/>
      <c r="I499" s="36"/>
      <c r="J499" s="37"/>
      <c r="K499" s="60"/>
      <c r="M499" s="61"/>
      <c r="N499" s="61"/>
      <c r="O499" s="61"/>
      <c r="P499" s="61"/>
      <c r="Q499" s="61"/>
      <c r="R499" s="61"/>
      <c r="S499" s="62"/>
      <c r="T499" s="62"/>
      <c r="U499" s="62"/>
    </row>
    <row r="500" spans="1:21" ht="15.75" customHeight="1" x14ac:dyDescent="0.3">
      <c r="A500" s="36"/>
      <c r="B500" s="36"/>
      <c r="C500" s="6"/>
      <c r="D500" s="36"/>
      <c r="E500" s="36"/>
      <c r="F500" s="36"/>
      <c r="G500" s="6"/>
      <c r="H500" s="36"/>
      <c r="I500" s="36"/>
      <c r="J500" s="37"/>
      <c r="K500" s="60"/>
      <c r="M500" s="61"/>
      <c r="N500" s="61"/>
      <c r="O500" s="61"/>
      <c r="P500" s="61"/>
      <c r="Q500" s="61"/>
      <c r="R500" s="61"/>
      <c r="S500" s="62"/>
      <c r="T500" s="62"/>
      <c r="U500" s="62"/>
    </row>
    <row r="501" spans="1:21" ht="15.75" customHeight="1" x14ac:dyDescent="0.3">
      <c r="A501" s="36"/>
      <c r="B501" s="36"/>
      <c r="C501" s="6"/>
      <c r="D501" s="36"/>
      <c r="E501" s="36"/>
      <c r="F501" s="36"/>
      <c r="G501" s="6"/>
      <c r="H501" s="36"/>
      <c r="I501" s="36"/>
      <c r="J501" s="37"/>
      <c r="K501" s="60"/>
      <c r="M501" s="61"/>
      <c r="N501" s="61"/>
      <c r="O501" s="61"/>
      <c r="P501" s="61"/>
      <c r="Q501" s="61"/>
      <c r="R501" s="61"/>
      <c r="S501" s="62"/>
      <c r="T501" s="62"/>
      <c r="U501" s="62"/>
    </row>
    <row r="502" spans="1:21" ht="15.75" customHeight="1" x14ac:dyDescent="0.3">
      <c r="A502" s="36"/>
      <c r="B502" s="36"/>
      <c r="C502" s="6"/>
      <c r="D502" s="36"/>
      <c r="E502" s="36"/>
      <c r="F502" s="36"/>
      <c r="G502" s="6"/>
      <c r="H502" s="36"/>
      <c r="I502" s="36"/>
      <c r="J502" s="37"/>
      <c r="K502" s="60"/>
      <c r="M502" s="61"/>
      <c r="N502" s="61"/>
      <c r="O502" s="61"/>
      <c r="P502" s="61"/>
      <c r="Q502" s="61"/>
      <c r="R502" s="61"/>
      <c r="S502" s="62"/>
      <c r="T502" s="62"/>
      <c r="U502" s="62"/>
    </row>
    <row r="503" spans="1:21" ht="15.75" customHeight="1" x14ac:dyDescent="0.3">
      <c r="A503" s="36"/>
      <c r="B503" s="36"/>
      <c r="C503" s="6"/>
      <c r="D503" s="36"/>
      <c r="E503" s="36"/>
      <c r="F503" s="36"/>
      <c r="G503" s="6"/>
      <c r="H503" s="36"/>
      <c r="I503" s="36"/>
      <c r="J503" s="37"/>
      <c r="K503" s="60"/>
      <c r="M503" s="61"/>
      <c r="N503" s="61"/>
      <c r="O503" s="61"/>
      <c r="P503" s="61"/>
      <c r="Q503" s="61"/>
      <c r="R503" s="61"/>
      <c r="S503" s="62"/>
      <c r="T503" s="62"/>
      <c r="U503" s="62"/>
    </row>
    <row r="504" spans="1:21" ht="15.75" customHeight="1" x14ac:dyDescent="0.3">
      <c r="A504" s="36"/>
      <c r="B504" s="36"/>
      <c r="C504" s="6"/>
      <c r="D504" s="36"/>
      <c r="E504" s="36"/>
      <c r="F504" s="36"/>
      <c r="G504" s="6"/>
      <c r="H504" s="36"/>
      <c r="I504" s="36"/>
      <c r="J504" s="37"/>
      <c r="K504" s="60"/>
      <c r="M504" s="61"/>
      <c r="N504" s="61"/>
      <c r="O504" s="61"/>
      <c r="P504" s="61"/>
      <c r="Q504" s="61"/>
      <c r="R504" s="61"/>
      <c r="S504" s="62"/>
      <c r="T504" s="62"/>
      <c r="U504" s="62"/>
    </row>
    <row r="505" spans="1:21" ht="15.75" customHeight="1" x14ac:dyDescent="0.3">
      <c r="A505" s="36"/>
      <c r="B505" s="36"/>
      <c r="C505" s="6"/>
      <c r="D505" s="36"/>
      <c r="E505" s="36"/>
      <c r="F505" s="36"/>
      <c r="G505" s="6"/>
      <c r="H505" s="36"/>
      <c r="I505" s="36"/>
      <c r="J505" s="37"/>
      <c r="K505" s="60"/>
      <c r="M505" s="61"/>
      <c r="N505" s="61"/>
      <c r="O505" s="61"/>
      <c r="P505" s="61"/>
      <c r="Q505" s="61"/>
      <c r="R505" s="61"/>
      <c r="S505" s="62"/>
      <c r="T505" s="62"/>
      <c r="U505" s="62"/>
    </row>
    <row r="506" spans="1:21" ht="15.75" customHeight="1" x14ac:dyDescent="0.3">
      <c r="A506" s="36"/>
      <c r="B506" s="36"/>
      <c r="C506" s="6"/>
      <c r="D506" s="36"/>
      <c r="E506" s="36"/>
      <c r="F506" s="36"/>
      <c r="G506" s="6"/>
      <c r="H506" s="36"/>
      <c r="I506" s="36"/>
      <c r="J506" s="37"/>
      <c r="K506" s="60"/>
      <c r="M506" s="61"/>
      <c r="N506" s="61"/>
      <c r="O506" s="61"/>
      <c r="P506" s="61"/>
      <c r="Q506" s="61"/>
      <c r="R506" s="61"/>
      <c r="S506" s="62"/>
      <c r="T506" s="62"/>
      <c r="U506" s="62"/>
    </row>
    <row r="507" spans="1:21" ht="15.75" customHeight="1" x14ac:dyDescent="0.3">
      <c r="A507" s="36"/>
      <c r="B507" s="36"/>
      <c r="C507" s="6"/>
      <c r="D507" s="36"/>
      <c r="E507" s="36"/>
      <c r="F507" s="36"/>
      <c r="G507" s="6"/>
      <c r="H507" s="36"/>
      <c r="I507" s="36"/>
      <c r="J507" s="37"/>
      <c r="K507" s="60"/>
      <c r="M507" s="61"/>
      <c r="N507" s="61"/>
      <c r="O507" s="61"/>
      <c r="P507" s="61"/>
      <c r="Q507" s="61"/>
      <c r="R507" s="61"/>
      <c r="S507" s="62"/>
      <c r="T507" s="62"/>
      <c r="U507" s="62"/>
    </row>
    <row r="508" spans="1:21" ht="15.75" customHeight="1" x14ac:dyDescent="0.3">
      <c r="A508" s="36"/>
      <c r="B508" s="36"/>
      <c r="C508" s="6"/>
      <c r="D508" s="36"/>
      <c r="E508" s="36"/>
      <c r="F508" s="36"/>
      <c r="G508" s="6"/>
      <c r="H508" s="36"/>
      <c r="I508" s="36"/>
      <c r="J508" s="37"/>
      <c r="K508" s="60"/>
      <c r="M508" s="61"/>
      <c r="N508" s="61"/>
      <c r="O508" s="61"/>
      <c r="P508" s="61"/>
      <c r="Q508" s="61"/>
      <c r="R508" s="61"/>
      <c r="S508" s="62"/>
      <c r="T508" s="62"/>
      <c r="U508" s="62"/>
    </row>
    <row r="509" spans="1:21" ht="15.75" customHeight="1" x14ac:dyDescent="0.3">
      <c r="A509" s="36"/>
      <c r="B509" s="36"/>
      <c r="C509" s="6"/>
      <c r="D509" s="36"/>
      <c r="E509" s="36"/>
      <c r="F509" s="36"/>
      <c r="G509" s="6"/>
      <c r="H509" s="36"/>
      <c r="I509" s="36"/>
      <c r="J509" s="37"/>
      <c r="K509" s="60"/>
      <c r="M509" s="61"/>
      <c r="N509" s="61"/>
      <c r="O509" s="61"/>
      <c r="P509" s="61"/>
      <c r="Q509" s="61"/>
      <c r="R509" s="61"/>
      <c r="S509" s="62"/>
      <c r="T509" s="62"/>
      <c r="U509" s="62"/>
    </row>
    <row r="510" spans="1:21" ht="15.75" customHeight="1" x14ac:dyDescent="0.3">
      <c r="A510" s="36"/>
      <c r="B510" s="36"/>
      <c r="C510" s="6"/>
      <c r="D510" s="36"/>
      <c r="E510" s="36"/>
      <c r="F510" s="36"/>
      <c r="G510" s="6"/>
      <c r="H510" s="36"/>
      <c r="I510" s="36"/>
      <c r="J510" s="37"/>
      <c r="K510" s="60"/>
      <c r="M510" s="61"/>
      <c r="N510" s="61"/>
      <c r="O510" s="61"/>
      <c r="P510" s="61"/>
      <c r="Q510" s="61"/>
      <c r="R510" s="61"/>
      <c r="S510" s="62"/>
      <c r="T510" s="62"/>
      <c r="U510" s="62"/>
    </row>
    <row r="511" spans="1:21" ht="15.75" customHeight="1" x14ac:dyDescent="0.3">
      <c r="A511" s="36"/>
      <c r="B511" s="36"/>
      <c r="C511" s="6"/>
      <c r="D511" s="36"/>
      <c r="E511" s="36"/>
      <c r="F511" s="36"/>
      <c r="G511" s="6"/>
      <c r="H511" s="36"/>
      <c r="I511" s="36"/>
      <c r="J511" s="37"/>
      <c r="K511" s="60"/>
      <c r="M511" s="61"/>
      <c r="N511" s="61"/>
      <c r="O511" s="61"/>
      <c r="P511" s="61"/>
      <c r="Q511" s="61"/>
      <c r="R511" s="61"/>
      <c r="S511" s="62"/>
      <c r="T511" s="62"/>
      <c r="U511" s="62"/>
    </row>
    <row r="512" spans="1:21" ht="15.75" customHeight="1" x14ac:dyDescent="0.3">
      <c r="A512" s="36"/>
      <c r="B512" s="36"/>
      <c r="C512" s="6"/>
      <c r="D512" s="36"/>
      <c r="E512" s="36"/>
      <c r="F512" s="36"/>
      <c r="G512" s="6"/>
      <c r="H512" s="36"/>
      <c r="I512" s="36"/>
      <c r="J512" s="37"/>
      <c r="K512" s="60"/>
      <c r="M512" s="61"/>
      <c r="N512" s="61"/>
      <c r="O512" s="61"/>
      <c r="P512" s="61"/>
      <c r="Q512" s="61"/>
      <c r="R512" s="61"/>
      <c r="S512" s="62"/>
      <c r="T512" s="62"/>
      <c r="U512" s="62"/>
    </row>
    <row r="513" spans="1:21" ht="15.75" customHeight="1" x14ac:dyDescent="0.3">
      <c r="A513" s="36"/>
      <c r="B513" s="36"/>
      <c r="C513" s="6"/>
      <c r="D513" s="36"/>
      <c r="E513" s="36"/>
      <c r="F513" s="36"/>
      <c r="G513" s="6"/>
      <c r="H513" s="36"/>
      <c r="I513" s="36"/>
      <c r="J513" s="37"/>
      <c r="K513" s="60"/>
      <c r="M513" s="61"/>
      <c r="N513" s="61"/>
      <c r="O513" s="61"/>
      <c r="P513" s="61"/>
      <c r="Q513" s="61"/>
      <c r="R513" s="61"/>
      <c r="S513" s="62"/>
      <c r="T513" s="62"/>
      <c r="U513" s="62"/>
    </row>
    <row r="514" spans="1:21" ht="15.75" customHeight="1" x14ac:dyDescent="0.3">
      <c r="A514" s="36"/>
      <c r="B514" s="36"/>
      <c r="C514" s="6"/>
      <c r="D514" s="36"/>
      <c r="E514" s="36"/>
      <c r="F514" s="36"/>
      <c r="G514" s="6"/>
      <c r="H514" s="36"/>
      <c r="I514" s="36"/>
      <c r="J514" s="37"/>
      <c r="K514" s="60"/>
      <c r="M514" s="61"/>
      <c r="N514" s="61"/>
      <c r="O514" s="61"/>
      <c r="P514" s="61"/>
      <c r="Q514" s="61"/>
      <c r="R514" s="61"/>
      <c r="S514" s="62"/>
      <c r="T514" s="62"/>
      <c r="U514" s="62"/>
    </row>
    <row r="515" spans="1:21" ht="15.75" customHeight="1" x14ac:dyDescent="0.3">
      <c r="A515" s="36"/>
      <c r="B515" s="36"/>
      <c r="C515" s="6"/>
      <c r="D515" s="36"/>
      <c r="E515" s="36"/>
      <c r="F515" s="36"/>
      <c r="G515" s="6"/>
      <c r="H515" s="36"/>
      <c r="I515" s="36"/>
      <c r="J515" s="37"/>
      <c r="K515" s="60"/>
      <c r="M515" s="61"/>
      <c r="N515" s="61"/>
      <c r="O515" s="61"/>
      <c r="P515" s="61"/>
      <c r="Q515" s="61"/>
      <c r="R515" s="61"/>
      <c r="S515" s="62"/>
      <c r="T515" s="62"/>
      <c r="U515" s="62"/>
    </row>
    <row r="516" spans="1:21" ht="15.75" customHeight="1" x14ac:dyDescent="0.3">
      <c r="A516" s="36"/>
      <c r="B516" s="36"/>
      <c r="C516" s="6"/>
      <c r="D516" s="36"/>
      <c r="E516" s="36"/>
      <c r="F516" s="36"/>
      <c r="G516" s="6"/>
      <c r="H516" s="36"/>
      <c r="I516" s="36"/>
      <c r="J516" s="37"/>
      <c r="K516" s="60"/>
      <c r="M516" s="61"/>
      <c r="N516" s="61"/>
      <c r="O516" s="61"/>
      <c r="P516" s="61"/>
      <c r="Q516" s="61"/>
      <c r="R516" s="61"/>
      <c r="S516" s="62"/>
      <c r="T516" s="62"/>
      <c r="U516" s="62"/>
    </row>
    <row r="517" spans="1:21" ht="15.75" customHeight="1" x14ac:dyDescent="0.3">
      <c r="A517" s="36"/>
      <c r="B517" s="36"/>
      <c r="C517" s="6"/>
      <c r="D517" s="36"/>
      <c r="E517" s="36"/>
      <c r="F517" s="36"/>
      <c r="G517" s="6"/>
      <c r="H517" s="36"/>
      <c r="I517" s="36"/>
      <c r="J517" s="37"/>
      <c r="K517" s="60"/>
      <c r="M517" s="61"/>
      <c r="N517" s="61"/>
      <c r="O517" s="61"/>
      <c r="P517" s="61"/>
      <c r="Q517" s="61"/>
      <c r="R517" s="61"/>
      <c r="S517" s="62"/>
      <c r="T517" s="62"/>
      <c r="U517" s="62"/>
    </row>
    <row r="518" spans="1:21" ht="15.75" customHeight="1" x14ac:dyDescent="0.3">
      <c r="A518" s="36"/>
      <c r="B518" s="36"/>
      <c r="C518" s="6"/>
      <c r="D518" s="36"/>
      <c r="E518" s="36"/>
      <c r="F518" s="36"/>
      <c r="G518" s="6"/>
      <c r="H518" s="36"/>
      <c r="I518" s="36"/>
      <c r="J518" s="37"/>
      <c r="K518" s="60"/>
      <c r="M518" s="61"/>
      <c r="N518" s="61"/>
      <c r="O518" s="61"/>
      <c r="P518" s="61"/>
      <c r="Q518" s="61"/>
      <c r="R518" s="61"/>
      <c r="S518" s="62"/>
      <c r="T518" s="62"/>
      <c r="U518" s="62"/>
    </row>
    <row r="519" spans="1:21" ht="15.75" customHeight="1" x14ac:dyDescent="0.3">
      <c r="A519" s="36"/>
      <c r="B519" s="36"/>
      <c r="C519" s="6"/>
      <c r="D519" s="36"/>
      <c r="E519" s="36"/>
      <c r="F519" s="36"/>
      <c r="G519" s="6"/>
      <c r="H519" s="36"/>
      <c r="I519" s="36"/>
      <c r="J519" s="37"/>
      <c r="K519" s="60"/>
      <c r="M519" s="61"/>
      <c r="N519" s="61"/>
      <c r="O519" s="61"/>
      <c r="P519" s="61"/>
      <c r="Q519" s="61"/>
      <c r="R519" s="61"/>
      <c r="S519" s="62"/>
      <c r="T519" s="62"/>
      <c r="U519" s="62"/>
    </row>
    <row r="520" spans="1:21" ht="15.75" customHeight="1" x14ac:dyDescent="0.3">
      <c r="A520" s="36"/>
      <c r="B520" s="36"/>
      <c r="C520" s="6"/>
      <c r="D520" s="36"/>
      <c r="E520" s="36"/>
      <c r="F520" s="36"/>
      <c r="G520" s="6"/>
      <c r="H520" s="36"/>
      <c r="I520" s="36"/>
      <c r="J520" s="37"/>
      <c r="K520" s="60"/>
      <c r="M520" s="61"/>
      <c r="N520" s="61"/>
      <c r="O520" s="61"/>
      <c r="P520" s="61"/>
      <c r="Q520" s="61"/>
      <c r="R520" s="61"/>
      <c r="S520" s="62"/>
      <c r="T520" s="62"/>
      <c r="U520" s="62"/>
    </row>
    <row r="521" spans="1:21" ht="15.75" customHeight="1" x14ac:dyDescent="0.3">
      <c r="A521" s="36"/>
      <c r="B521" s="36"/>
      <c r="C521" s="6"/>
      <c r="D521" s="36"/>
      <c r="E521" s="36"/>
      <c r="F521" s="36"/>
      <c r="G521" s="6"/>
      <c r="H521" s="36"/>
      <c r="I521" s="36"/>
      <c r="J521" s="37"/>
      <c r="K521" s="60"/>
      <c r="M521" s="61"/>
      <c r="N521" s="61"/>
      <c r="O521" s="61"/>
      <c r="P521" s="61"/>
      <c r="Q521" s="61"/>
      <c r="R521" s="61"/>
      <c r="S521" s="62"/>
      <c r="T521" s="62"/>
      <c r="U521" s="62"/>
    </row>
    <row r="522" spans="1:21" ht="15.75" customHeight="1" x14ac:dyDescent="0.3">
      <c r="A522" s="36"/>
      <c r="B522" s="36"/>
      <c r="C522" s="6"/>
      <c r="D522" s="36"/>
      <c r="E522" s="36"/>
      <c r="F522" s="36"/>
      <c r="G522" s="6"/>
      <c r="H522" s="36"/>
      <c r="I522" s="36"/>
      <c r="J522" s="37"/>
      <c r="K522" s="60"/>
      <c r="M522" s="61"/>
      <c r="N522" s="61"/>
      <c r="O522" s="61"/>
      <c r="P522" s="61"/>
      <c r="Q522" s="61"/>
      <c r="R522" s="61"/>
      <c r="S522" s="62"/>
      <c r="T522" s="62"/>
      <c r="U522" s="62"/>
    </row>
    <row r="523" spans="1:21" ht="15.75" customHeight="1" x14ac:dyDescent="0.3">
      <c r="A523" s="36"/>
      <c r="B523" s="36"/>
      <c r="C523" s="6"/>
      <c r="D523" s="36"/>
      <c r="E523" s="36"/>
      <c r="F523" s="36"/>
      <c r="G523" s="6"/>
      <c r="H523" s="36"/>
      <c r="I523" s="36"/>
      <c r="J523" s="37"/>
      <c r="K523" s="60"/>
      <c r="M523" s="61"/>
      <c r="N523" s="61"/>
      <c r="O523" s="61"/>
      <c r="P523" s="61"/>
      <c r="Q523" s="61"/>
      <c r="R523" s="61"/>
      <c r="S523" s="62"/>
      <c r="T523" s="62"/>
      <c r="U523" s="62"/>
    </row>
    <row r="524" spans="1:21" ht="15.75" customHeight="1" x14ac:dyDescent="0.3">
      <c r="A524" s="36"/>
      <c r="B524" s="36"/>
      <c r="C524" s="6"/>
      <c r="D524" s="36"/>
      <c r="E524" s="36"/>
      <c r="F524" s="36"/>
      <c r="G524" s="6"/>
      <c r="H524" s="36"/>
      <c r="I524" s="36"/>
      <c r="J524" s="37"/>
      <c r="K524" s="60"/>
      <c r="M524" s="61"/>
      <c r="N524" s="61"/>
      <c r="O524" s="61"/>
      <c r="P524" s="61"/>
      <c r="Q524" s="61"/>
      <c r="R524" s="61"/>
      <c r="S524" s="62"/>
      <c r="T524" s="62"/>
      <c r="U524" s="62"/>
    </row>
    <row r="525" spans="1:21" ht="15.75" customHeight="1" x14ac:dyDescent="0.3">
      <c r="A525" s="36"/>
      <c r="B525" s="36"/>
      <c r="C525" s="6"/>
      <c r="D525" s="36"/>
      <c r="E525" s="36"/>
      <c r="F525" s="36"/>
      <c r="G525" s="6"/>
      <c r="H525" s="36"/>
      <c r="I525" s="36"/>
      <c r="J525" s="37"/>
      <c r="K525" s="60"/>
      <c r="M525" s="61"/>
      <c r="N525" s="61"/>
      <c r="O525" s="61"/>
      <c r="P525" s="61"/>
      <c r="Q525" s="61"/>
      <c r="R525" s="61"/>
      <c r="S525" s="62"/>
      <c r="T525" s="62"/>
      <c r="U525" s="62"/>
    </row>
    <row r="526" spans="1:21" ht="15.75" customHeight="1" x14ac:dyDescent="0.3">
      <c r="A526" s="36"/>
      <c r="B526" s="36"/>
      <c r="C526" s="6"/>
      <c r="D526" s="36"/>
      <c r="E526" s="36"/>
      <c r="F526" s="36"/>
      <c r="G526" s="6"/>
      <c r="H526" s="36"/>
      <c r="I526" s="36"/>
      <c r="J526" s="37"/>
      <c r="K526" s="60"/>
      <c r="M526" s="61"/>
      <c r="N526" s="61"/>
      <c r="O526" s="61"/>
      <c r="P526" s="61"/>
      <c r="Q526" s="61"/>
      <c r="R526" s="61"/>
      <c r="S526" s="62"/>
      <c r="T526" s="62"/>
      <c r="U526" s="62"/>
    </row>
    <row r="527" spans="1:21" ht="15.75" customHeight="1" x14ac:dyDescent="0.3">
      <c r="A527" s="36"/>
      <c r="B527" s="36"/>
      <c r="C527" s="6"/>
      <c r="D527" s="36"/>
      <c r="E527" s="36"/>
      <c r="F527" s="36"/>
      <c r="G527" s="6"/>
      <c r="H527" s="36"/>
      <c r="I527" s="36"/>
      <c r="J527" s="37"/>
      <c r="K527" s="60"/>
      <c r="M527" s="61"/>
      <c r="N527" s="61"/>
      <c r="O527" s="61"/>
      <c r="P527" s="61"/>
      <c r="Q527" s="61"/>
      <c r="R527" s="61"/>
      <c r="S527" s="62"/>
      <c r="T527" s="62"/>
      <c r="U527" s="62"/>
    </row>
    <row r="528" spans="1:21" ht="15.75" customHeight="1" x14ac:dyDescent="0.3">
      <c r="A528" s="36"/>
      <c r="B528" s="36"/>
      <c r="C528" s="6"/>
      <c r="D528" s="36"/>
      <c r="E528" s="36"/>
      <c r="F528" s="36"/>
      <c r="G528" s="6"/>
      <c r="H528" s="36"/>
      <c r="I528" s="36"/>
      <c r="J528" s="37"/>
      <c r="K528" s="60"/>
      <c r="M528" s="61"/>
      <c r="N528" s="61"/>
      <c r="O528" s="61"/>
      <c r="P528" s="61"/>
      <c r="Q528" s="61"/>
      <c r="R528" s="61"/>
      <c r="S528" s="62"/>
      <c r="T528" s="62"/>
      <c r="U528" s="62"/>
    </row>
    <row r="529" spans="1:21" ht="15.75" customHeight="1" x14ac:dyDescent="0.3">
      <c r="A529" s="36"/>
      <c r="B529" s="36"/>
      <c r="C529" s="6"/>
      <c r="D529" s="36"/>
      <c r="E529" s="36"/>
      <c r="F529" s="36"/>
      <c r="G529" s="6"/>
      <c r="H529" s="36"/>
      <c r="I529" s="36"/>
      <c r="J529" s="37"/>
      <c r="K529" s="60"/>
      <c r="M529" s="61"/>
      <c r="N529" s="61"/>
      <c r="O529" s="61"/>
      <c r="P529" s="61"/>
      <c r="Q529" s="61"/>
      <c r="R529" s="61"/>
      <c r="S529" s="62"/>
      <c r="T529" s="62"/>
      <c r="U529" s="62"/>
    </row>
    <row r="530" spans="1:21" ht="15.75" customHeight="1" x14ac:dyDescent="0.3">
      <c r="A530" s="36"/>
      <c r="B530" s="36"/>
      <c r="C530" s="6"/>
      <c r="D530" s="36"/>
      <c r="E530" s="36"/>
      <c r="F530" s="36"/>
      <c r="G530" s="6"/>
      <c r="H530" s="36"/>
      <c r="I530" s="36"/>
      <c r="J530" s="37"/>
      <c r="K530" s="60"/>
      <c r="M530" s="61"/>
      <c r="N530" s="61"/>
      <c r="O530" s="61"/>
      <c r="P530" s="61"/>
      <c r="Q530" s="61"/>
      <c r="R530" s="61"/>
      <c r="S530" s="62"/>
      <c r="T530" s="62"/>
      <c r="U530" s="62"/>
    </row>
    <row r="531" spans="1:21" ht="15.75" customHeight="1" x14ac:dyDescent="0.3">
      <c r="A531" s="36"/>
      <c r="B531" s="36"/>
      <c r="C531" s="6"/>
      <c r="D531" s="36"/>
      <c r="E531" s="36"/>
      <c r="F531" s="36"/>
      <c r="G531" s="6"/>
      <c r="H531" s="36"/>
      <c r="I531" s="36"/>
      <c r="J531" s="37"/>
      <c r="K531" s="60"/>
      <c r="M531" s="61"/>
      <c r="N531" s="61"/>
      <c r="O531" s="61"/>
      <c r="P531" s="61"/>
      <c r="Q531" s="61"/>
      <c r="R531" s="61"/>
      <c r="S531" s="62"/>
      <c r="T531" s="62"/>
      <c r="U531" s="62"/>
    </row>
    <row r="532" spans="1:21" ht="15.75" customHeight="1" x14ac:dyDescent="0.3">
      <c r="A532" s="36"/>
      <c r="B532" s="36"/>
      <c r="C532" s="6"/>
      <c r="D532" s="36"/>
      <c r="E532" s="36"/>
      <c r="F532" s="36"/>
      <c r="G532" s="6"/>
      <c r="H532" s="36"/>
      <c r="I532" s="36"/>
      <c r="J532" s="37"/>
      <c r="K532" s="60"/>
      <c r="M532" s="61"/>
      <c r="N532" s="61"/>
      <c r="O532" s="61"/>
      <c r="P532" s="61"/>
      <c r="Q532" s="61"/>
      <c r="R532" s="61"/>
      <c r="S532" s="62"/>
      <c r="T532" s="62"/>
      <c r="U532" s="62"/>
    </row>
    <row r="533" spans="1:21" ht="15.75" customHeight="1" x14ac:dyDescent="0.3">
      <c r="A533" s="36"/>
      <c r="B533" s="36"/>
      <c r="C533" s="6"/>
      <c r="D533" s="36"/>
      <c r="E533" s="36"/>
      <c r="F533" s="36"/>
      <c r="G533" s="6"/>
      <c r="H533" s="36"/>
      <c r="I533" s="36"/>
      <c r="J533" s="37"/>
      <c r="K533" s="60"/>
      <c r="M533" s="61"/>
      <c r="N533" s="61"/>
      <c r="O533" s="61"/>
      <c r="P533" s="61"/>
      <c r="Q533" s="61"/>
      <c r="R533" s="61"/>
      <c r="S533" s="62"/>
      <c r="T533" s="62"/>
      <c r="U533" s="62"/>
    </row>
    <row r="534" spans="1:21" ht="15.75" customHeight="1" x14ac:dyDescent="0.3">
      <c r="A534" s="36"/>
      <c r="B534" s="36"/>
      <c r="C534" s="6"/>
      <c r="D534" s="36"/>
      <c r="E534" s="36"/>
      <c r="F534" s="36"/>
      <c r="G534" s="6"/>
      <c r="H534" s="36"/>
      <c r="I534" s="36"/>
      <c r="J534" s="37"/>
      <c r="K534" s="60"/>
      <c r="M534" s="61"/>
      <c r="N534" s="61"/>
      <c r="O534" s="61"/>
      <c r="P534" s="61"/>
      <c r="Q534" s="61"/>
      <c r="R534" s="61"/>
      <c r="S534" s="62"/>
      <c r="T534" s="62"/>
      <c r="U534" s="62"/>
    </row>
    <row r="535" spans="1:21" ht="15.75" customHeight="1" x14ac:dyDescent="0.3">
      <c r="A535" s="36"/>
      <c r="B535" s="36"/>
      <c r="C535" s="6"/>
      <c r="D535" s="36"/>
      <c r="E535" s="36"/>
      <c r="F535" s="36"/>
      <c r="G535" s="6"/>
      <c r="H535" s="36"/>
      <c r="I535" s="36"/>
      <c r="J535" s="37"/>
      <c r="K535" s="60"/>
      <c r="M535" s="61"/>
      <c r="N535" s="61"/>
      <c r="O535" s="61"/>
      <c r="P535" s="61"/>
      <c r="Q535" s="61"/>
      <c r="R535" s="61"/>
      <c r="S535" s="62"/>
      <c r="T535" s="62"/>
      <c r="U535" s="62"/>
    </row>
    <row r="536" spans="1:21" ht="15.75" customHeight="1" x14ac:dyDescent="0.3">
      <c r="A536" s="36"/>
      <c r="B536" s="36"/>
      <c r="C536" s="6"/>
      <c r="D536" s="36"/>
      <c r="E536" s="36"/>
      <c r="F536" s="36"/>
      <c r="G536" s="6"/>
      <c r="H536" s="36"/>
      <c r="I536" s="36"/>
      <c r="J536" s="37"/>
      <c r="K536" s="60"/>
      <c r="M536" s="61"/>
      <c r="N536" s="61"/>
      <c r="O536" s="61"/>
      <c r="P536" s="61"/>
      <c r="Q536" s="61"/>
      <c r="R536" s="61"/>
      <c r="S536" s="62"/>
      <c r="T536" s="62"/>
      <c r="U536" s="62"/>
    </row>
    <row r="537" spans="1:21" ht="15.75" customHeight="1" x14ac:dyDescent="0.3">
      <c r="A537" s="36"/>
      <c r="B537" s="36"/>
      <c r="C537" s="6"/>
      <c r="D537" s="36"/>
      <c r="E537" s="36"/>
      <c r="F537" s="36"/>
      <c r="G537" s="6"/>
      <c r="H537" s="36"/>
      <c r="I537" s="36"/>
      <c r="J537" s="37"/>
      <c r="K537" s="60"/>
      <c r="M537" s="61"/>
      <c r="N537" s="61"/>
      <c r="O537" s="61"/>
      <c r="P537" s="61"/>
      <c r="Q537" s="61"/>
      <c r="R537" s="61"/>
      <c r="S537" s="62"/>
      <c r="T537" s="62"/>
      <c r="U537" s="62"/>
    </row>
    <row r="538" spans="1:21" ht="15.75" customHeight="1" x14ac:dyDescent="0.3">
      <c r="A538" s="36"/>
      <c r="B538" s="36"/>
      <c r="C538" s="6"/>
      <c r="D538" s="36"/>
      <c r="E538" s="36"/>
      <c r="F538" s="36"/>
      <c r="G538" s="6"/>
      <c r="H538" s="36"/>
      <c r="I538" s="36"/>
      <c r="J538" s="37"/>
      <c r="K538" s="60"/>
      <c r="M538" s="61"/>
      <c r="N538" s="61"/>
      <c r="O538" s="61"/>
      <c r="P538" s="61"/>
      <c r="Q538" s="61"/>
      <c r="R538" s="61"/>
      <c r="S538" s="62"/>
      <c r="T538" s="62"/>
      <c r="U538" s="62"/>
    </row>
    <row r="539" spans="1:21" ht="15.75" customHeight="1" x14ac:dyDescent="0.3">
      <c r="A539" s="36"/>
      <c r="B539" s="36"/>
      <c r="C539" s="6"/>
      <c r="D539" s="36"/>
      <c r="E539" s="36"/>
      <c r="F539" s="36"/>
      <c r="G539" s="6"/>
      <c r="H539" s="36"/>
      <c r="I539" s="36"/>
      <c r="J539" s="37"/>
      <c r="K539" s="60"/>
      <c r="M539" s="61"/>
      <c r="N539" s="61"/>
      <c r="O539" s="61"/>
      <c r="P539" s="61"/>
      <c r="Q539" s="61"/>
      <c r="R539" s="61"/>
      <c r="S539" s="62"/>
      <c r="T539" s="62"/>
      <c r="U539" s="62"/>
    </row>
    <row r="540" spans="1:21" ht="15.75" customHeight="1" x14ac:dyDescent="0.3">
      <c r="A540" s="36"/>
      <c r="B540" s="36"/>
      <c r="C540" s="6"/>
      <c r="D540" s="36"/>
      <c r="E540" s="36"/>
      <c r="F540" s="36"/>
      <c r="G540" s="6"/>
      <c r="H540" s="36"/>
      <c r="I540" s="36"/>
      <c r="J540" s="37"/>
      <c r="K540" s="60"/>
      <c r="M540" s="61"/>
      <c r="N540" s="61"/>
      <c r="O540" s="61"/>
      <c r="P540" s="61"/>
      <c r="Q540" s="61"/>
      <c r="R540" s="61"/>
      <c r="S540" s="62"/>
      <c r="T540" s="62"/>
      <c r="U540" s="62"/>
    </row>
    <row r="541" spans="1:21" ht="15.75" customHeight="1" x14ac:dyDescent="0.3">
      <c r="A541" s="36"/>
      <c r="B541" s="36"/>
      <c r="C541" s="6"/>
      <c r="D541" s="36"/>
      <c r="E541" s="36"/>
      <c r="F541" s="36"/>
      <c r="G541" s="6"/>
      <c r="H541" s="36"/>
      <c r="I541" s="36"/>
      <c r="J541" s="37"/>
      <c r="K541" s="60"/>
      <c r="M541" s="61"/>
      <c r="N541" s="61"/>
      <c r="O541" s="61"/>
      <c r="P541" s="61"/>
      <c r="Q541" s="61"/>
      <c r="R541" s="61"/>
      <c r="S541" s="62"/>
      <c r="T541" s="62"/>
      <c r="U541" s="62"/>
    </row>
    <row r="542" spans="1:21" ht="15.75" customHeight="1" x14ac:dyDescent="0.3">
      <c r="A542" s="36"/>
      <c r="B542" s="36"/>
      <c r="C542" s="6"/>
      <c r="D542" s="36"/>
      <c r="E542" s="36"/>
      <c r="F542" s="36"/>
      <c r="G542" s="6"/>
      <c r="H542" s="36"/>
      <c r="I542" s="36"/>
      <c r="J542" s="37"/>
      <c r="K542" s="60"/>
      <c r="M542" s="61"/>
      <c r="N542" s="61"/>
      <c r="O542" s="61"/>
      <c r="P542" s="61"/>
      <c r="Q542" s="61"/>
      <c r="R542" s="61"/>
      <c r="S542" s="62"/>
      <c r="T542" s="62"/>
      <c r="U542" s="62"/>
    </row>
    <row r="543" spans="1:21" ht="15.75" customHeight="1" x14ac:dyDescent="0.3">
      <c r="A543" s="36"/>
      <c r="B543" s="36"/>
      <c r="C543" s="6"/>
      <c r="D543" s="36"/>
      <c r="E543" s="36"/>
      <c r="F543" s="36"/>
      <c r="G543" s="6"/>
      <c r="H543" s="36"/>
      <c r="I543" s="36"/>
      <c r="J543" s="37"/>
      <c r="K543" s="60"/>
      <c r="M543" s="61"/>
      <c r="N543" s="61"/>
      <c r="O543" s="61"/>
      <c r="P543" s="61"/>
      <c r="Q543" s="61"/>
      <c r="R543" s="61"/>
      <c r="S543" s="62"/>
      <c r="T543" s="62"/>
      <c r="U543" s="62"/>
    </row>
    <row r="544" spans="1:21" ht="15.75" customHeight="1" x14ac:dyDescent="0.3">
      <c r="A544" s="36"/>
      <c r="B544" s="36"/>
      <c r="C544" s="6"/>
      <c r="D544" s="36"/>
      <c r="E544" s="36"/>
      <c r="F544" s="36"/>
      <c r="G544" s="6"/>
      <c r="H544" s="36"/>
      <c r="I544" s="36"/>
      <c r="J544" s="37"/>
      <c r="K544" s="60"/>
      <c r="M544" s="61"/>
      <c r="N544" s="61"/>
      <c r="O544" s="61"/>
      <c r="P544" s="61"/>
      <c r="Q544" s="61"/>
      <c r="R544" s="61"/>
      <c r="S544" s="62"/>
      <c r="T544" s="62"/>
      <c r="U544" s="62"/>
    </row>
    <row r="545" spans="1:21" ht="15.75" customHeight="1" x14ac:dyDescent="0.3">
      <c r="A545" s="36"/>
      <c r="B545" s="36"/>
      <c r="C545" s="6"/>
      <c r="D545" s="36"/>
      <c r="E545" s="36"/>
      <c r="F545" s="36"/>
      <c r="G545" s="6"/>
      <c r="H545" s="36"/>
      <c r="I545" s="36"/>
      <c r="J545" s="37"/>
      <c r="K545" s="60"/>
      <c r="M545" s="61"/>
      <c r="N545" s="61"/>
      <c r="O545" s="61"/>
      <c r="P545" s="61"/>
      <c r="Q545" s="61"/>
      <c r="R545" s="61"/>
      <c r="S545" s="62"/>
      <c r="T545" s="62"/>
      <c r="U545" s="62"/>
    </row>
    <row r="546" spans="1:21" ht="15.75" customHeight="1" x14ac:dyDescent="0.3">
      <c r="A546" s="36"/>
      <c r="B546" s="36"/>
      <c r="C546" s="6"/>
      <c r="D546" s="36"/>
      <c r="E546" s="36"/>
      <c r="F546" s="36"/>
      <c r="G546" s="6"/>
      <c r="H546" s="36"/>
      <c r="I546" s="36"/>
      <c r="J546" s="37"/>
      <c r="K546" s="60"/>
      <c r="M546" s="61"/>
      <c r="N546" s="61"/>
      <c r="O546" s="61"/>
      <c r="P546" s="61"/>
      <c r="Q546" s="61"/>
      <c r="R546" s="61"/>
      <c r="S546" s="62"/>
      <c r="T546" s="62"/>
      <c r="U546" s="62"/>
    </row>
    <row r="547" spans="1:21" ht="15.75" customHeight="1" x14ac:dyDescent="0.3">
      <c r="A547" s="36"/>
      <c r="B547" s="36"/>
      <c r="C547" s="6"/>
      <c r="D547" s="36"/>
      <c r="E547" s="36"/>
      <c r="F547" s="36"/>
      <c r="G547" s="6"/>
      <c r="H547" s="36"/>
      <c r="I547" s="36"/>
      <c r="J547" s="37"/>
      <c r="K547" s="60"/>
      <c r="M547" s="61"/>
      <c r="N547" s="61"/>
      <c r="O547" s="61"/>
      <c r="P547" s="61"/>
      <c r="Q547" s="61"/>
      <c r="R547" s="61"/>
      <c r="S547" s="62"/>
      <c r="T547" s="62"/>
      <c r="U547" s="62"/>
    </row>
    <row r="548" spans="1:21" ht="15.75" customHeight="1" x14ac:dyDescent="0.3">
      <c r="A548" s="36"/>
      <c r="B548" s="36"/>
      <c r="C548" s="6"/>
      <c r="D548" s="36"/>
      <c r="E548" s="36"/>
      <c r="F548" s="36"/>
      <c r="G548" s="6"/>
      <c r="H548" s="36"/>
      <c r="I548" s="36"/>
      <c r="J548" s="37"/>
      <c r="K548" s="60"/>
      <c r="M548" s="61"/>
      <c r="N548" s="61"/>
      <c r="O548" s="61"/>
      <c r="P548" s="61"/>
      <c r="Q548" s="61"/>
      <c r="R548" s="61"/>
      <c r="S548" s="62"/>
      <c r="T548" s="62"/>
      <c r="U548" s="62"/>
    </row>
    <row r="549" spans="1:21" ht="15.75" customHeight="1" x14ac:dyDescent="0.3">
      <c r="A549" s="36"/>
      <c r="B549" s="36"/>
      <c r="C549" s="6"/>
      <c r="D549" s="36"/>
      <c r="E549" s="36"/>
      <c r="F549" s="36"/>
      <c r="G549" s="6"/>
      <c r="H549" s="36"/>
      <c r="I549" s="36"/>
      <c r="J549" s="37"/>
      <c r="K549" s="60"/>
      <c r="M549" s="61"/>
      <c r="N549" s="61"/>
      <c r="O549" s="61"/>
      <c r="P549" s="61"/>
      <c r="Q549" s="61"/>
      <c r="R549" s="61"/>
      <c r="S549" s="62"/>
      <c r="T549" s="62"/>
      <c r="U549" s="62"/>
    </row>
    <row r="550" spans="1:21" ht="15.75" customHeight="1" x14ac:dyDescent="0.3">
      <c r="A550" s="36"/>
      <c r="B550" s="36"/>
      <c r="C550" s="6"/>
      <c r="D550" s="36"/>
      <c r="E550" s="36"/>
      <c r="F550" s="36"/>
      <c r="G550" s="6"/>
      <c r="H550" s="36"/>
      <c r="I550" s="36"/>
      <c r="J550" s="37"/>
      <c r="K550" s="60"/>
      <c r="M550" s="61"/>
      <c r="N550" s="61"/>
      <c r="O550" s="61"/>
      <c r="P550" s="61"/>
      <c r="Q550" s="61"/>
      <c r="R550" s="61"/>
      <c r="S550" s="62"/>
      <c r="T550" s="62"/>
      <c r="U550" s="62"/>
    </row>
    <row r="551" spans="1:21" ht="15.75" customHeight="1" x14ac:dyDescent="0.3">
      <c r="A551" s="36"/>
      <c r="B551" s="36"/>
      <c r="C551" s="6"/>
      <c r="D551" s="36"/>
      <c r="E551" s="36"/>
      <c r="F551" s="36"/>
      <c r="G551" s="6"/>
      <c r="H551" s="36"/>
      <c r="I551" s="36"/>
      <c r="J551" s="37"/>
      <c r="K551" s="60"/>
      <c r="M551" s="61"/>
      <c r="N551" s="61"/>
      <c r="O551" s="61"/>
      <c r="P551" s="61"/>
      <c r="Q551" s="61"/>
      <c r="R551" s="61"/>
      <c r="S551" s="62"/>
      <c r="T551" s="62"/>
      <c r="U551" s="62"/>
    </row>
    <row r="552" spans="1:21" ht="15.75" customHeight="1" x14ac:dyDescent="0.3">
      <c r="A552" s="36"/>
      <c r="B552" s="36"/>
      <c r="C552" s="6"/>
      <c r="D552" s="36"/>
      <c r="E552" s="36"/>
      <c r="F552" s="36"/>
      <c r="G552" s="6"/>
      <c r="H552" s="36"/>
      <c r="I552" s="36"/>
      <c r="J552" s="37"/>
      <c r="K552" s="60"/>
      <c r="M552" s="61"/>
      <c r="N552" s="61"/>
      <c r="O552" s="61"/>
      <c r="P552" s="61"/>
      <c r="Q552" s="61"/>
      <c r="R552" s="61"/>
      <c r="S552" s="62"/>
      <c r="T552" s="62"/>
      <c r="U552" s="62"/>
    </row>
    <row r="553" spans="1:21" ht="15.75" customHeight="1" x14ac:dyDescent="0.3">
      <c r="A553" s="36"/>
      <c r="B553" s="36"/>
      <c r="C553" s="6"/>
      <c r="D553" s="36"/>
      <c r="E553" s="36"/>
      <c r="F553" s="36"/>
      <c r="G553" s="6"/>
      <c r="H553" s="36"/>
      <c r="I553" s="36"/>
      <c r="J553" s="37"/>
      <c r="K553" s="60"/>
      <c r="M553" s="61"/>
      <c r="N553" s="61"/>
      <c r="O553" s="61"/>
      <c r="P553" s="61"/>
      <c r="Q553" s="61"/>
      <c r="R553" s="61"/>
      <c r="S553" s="62"/>
      <c r="T553" s="62"/>
      <c r="U553" s="62"/>
    </row>
    <row r="554" spans="1:21" ht="15.75" customHeight="1" x14ac:dyDescent="0.3">
      <c r="A554" s="36"/>
      <c r="B554" s="36"/>
      <c r="C554" s="6"/>
      <c r="D554" s="36"/>
      <c r="E554" s="36"/>
      <c r="F554" s="36"/>
      <c r="G554" s="6"/>
      <c r="H554" s="36"/>
      <c r="I554" s="36"/>
      <c r="J554" s="37"/>
      <c r="K554" s="60"/>
      <c r="M554" s="61"/>
      <c r="N554" s="61"/>
      <c r="O554" s="61"/>
      <c r="P554" s="61"/>
      <c r="Q554" s="61"/>
      <c r="R554" s="61"/>
      <c r="S554" s="62"/>
      <c r="T554" s="62"/>
      <c r="U554" s="62"/>
    </row>
    <row r="555" spans="1:21" ht="15.75" customHeight="1" x14ac:dyDescent="0.3">
      <c r="A555" s="36"/>
      <c r="B555" s="36"/>
      <c r="C555" s="6"/>
      <c r="D555" s="36"/>
      <c r="E555" s="36"/>
      <c r="F555" s="36"/>
      <c r="G555" s="6"/>
      <c r="H555" s="36"/>
      <c r="I555" s="36"/>
      <c r="J555" s="37"/>
      <c r="K555" s="60"/>
      <c r="M555" s="61"/>
      <c r="N555" s="61"/>
      <c r="O555" s="61"/>
      <c r="P555" s="61"/>
      <c r="Q555" s="61"/>
      <c r="R555" s="61"/>
      <c r="S555" s="62"/>
      <c r="T555" s="62"/>
      <c r="U555" s="62"/>
    </row>
    <row r="556" spans="1:21" ht="15.75" customHeight="1" x14ac:dyDescent="0.3">
      <c r="A556" s="36"/>
      <c r="B556" s="36"/>
      <c r="C556" s="6"/>
      <c r="D556" s="36"/>
      <c r="E556" s="36"/>
      <c r="F556" s="36"/>
      <c r="G556" s="6"/>
      <c r="H556" s="36"/>
      <c r="I556" s="36"/>
      <c r="J556" s="37"/>
      <c r="K556" s="60"/>
      <c r="M556" s="61"/>
      <c r="N556" s="61"/>
      <c r="O556" s="61"/>
      <c r="P556" s="61"/>
      <c r="Q556" s="61"/>
      <c r="R556" s="61"/>
      <c r="S556" s="62"/>
      <c r="T556" s="62"/>
      <c r="U556" s="62"/>
    </row>
    <row r="557" spans="1:21" ht="15.75" customHeight="1" x14ac:dyDescent="0.3">
      <c r="A557" s="36"/>
      <c r="B557" s="36"/>
      <c r="C557" s="6"/>
      <c r="D557" s="36"/>
      <c r="E557" s="36"/>
      <c r="F557" s="36"/>
      <c r="G557" s="6"/>
      <c r="H557" s="36"/>
      <c r="I557" s="36"/>
      <c r="J557" s="37"/>
      <c r="K557" s="60"/>
      <c r="M557" s="61"/>
      <c r="N557" s="61"/>
      <c r="O557" s="61"/>
      <c r="P557" s="61"/>
      <c r="Q557" s="61"/>
      <c r="R557" s="61"/>
      <c r="S557" s="62"/>
      <c r="T557" s="62"/>
      <c r="U557" s="62"/>
    </row>
    <row r="558" spans="1:21" ht="15.75" customHeight="1" x14ac:dyDescent="0.3">
      <c r="A558" s="36"/>
      <c r="B558" s="36"/>
      <c r="C558" s="6"/>
      <c r="D558" s="36"/>
      <c r="E558" s="36"/>
      <c r="F558" s="36"/>
      <c r="G558" s="6"/>
      <c r="H558" s="36"/>
      <c r="I558" s="36"/>
      <c r="J558" s="37"/>
      <c r="K558" s="60"/>
      <c r="M558" s="61"/>
      <c r="N558" s="61"/>
      <c r="O558" s="61"/>
      <c r="P558" s="61"/>
      <c r="Q558" s="61"/>
      <c r="R558" s="61"/>
      <c r="S558" s="62"/>
      <c r="T558" s="62"/>
      <c r="U558" s="62"/>
    </row>
    <row r="559" spans="1:21" ht="15.75" customHeight="1" x14ac:dyDescent="0.3">
      <c r="A559" s="36"/>
      <c r="B559" s="36"/>
      <c r="C559" s="6"/>
      <c r="D559" s="36"/>
      <c r="E559" s="36"/>
      <c r="F559" s="36"/>
      <c r="G559" s="6"/>
      <c r="H559" s="36"/>
      <c r="I559" s="36"/>
      <c r="J559" s="37"/>
      <c r="K559" s="60"/>
      <c r="M559" s="61"/>
      <c r="N559" s="61"/>
      <c r="O559" s="61"/>
      <c r="P559" s="61"/>
      <c r="Q559" s="61"/>
      <c r="R559" s="61"/>
      <c r="S559" s="62"/>
      <c r="T559" s="62"/>
      <c r="U559" s="62"/>
    </row>
    <row r="560" spans="1:21" ht="15.75" customHeight="1" x14ac:dyDescent="0.3">
      <c r="A560" s="36"/>
      <c r="B560" s="36"/>
      <c r="C560" s="6"/>
      <c r="D560" s="36"/>
      <c r="E560" s="36"/>
      <c r="F560" s="36"/>
      <c r="G560" s="6"/>
      <c r="H560" s="36"/>
      <c r="I560" s="36"/>
      <c r="J560" s="37"/>
      <c r="K560" s="60"/>
      <c r="M560" s="61"/>
      <c r="N560" s="61"/>
      <c r="O560" s="61"/>
      <c r="P560" s="61"/>
      <c r="Q560" s="61"/>
      <c r="R560" s="61"/>
      <c r="S560" s="62"/>
      <c r="T560" s="62"/>
      <c r="U560" s="62"/>
    </row>
    <row r="561" spans="1:21" ht="15.75" customHeight="1" x14ac:dyDescent="0.3">
      <c r="A561" s="36"/>
      <c r="B561" s="36"/>
      <c r="C561" s="6"/>
      <c r="D561" s="36"/>
      <c r="E561" s="36"/>
      <c r="F561" s="36"/>
      <c r="G561" s="6"/>
      <c r="H561" s="36"/>
      <c r="I561" s="36"/>
      <c r="J561" s="37"/>
      <c r="K561" s="60"/>
      <c r="M561" s="61"/>
      <c r="N561" s="61"/>
      <c r="O561" s="61"/>
      <c r="P561" s="61"/>
      <c r="Q561" s="61"/>
      <c r="R561" s="61"/>
      <c r="S561" s="62"/>
      <c r="T561" s="62"/>
      <c r="U561" s="62"/>
    </row>
    <row r="562" spans="1:21" ht="15.75" customHeight="1" x14ac:dyDescent="0.3">
      <c r="A562" s="36"/>
      <c r="B562" s="36"/>
      <c r="C562" s="6"/>
      <c r="D562" s="36"/>
      <c r="E562" s="36"/>
      <c r="F562" s="36"/>
      <c r="G562" s="6"/>
      <c r="H562" s="36"/>
      <c r="I562" s="36"/>
      <c r="J562" s="37"/>
      <c r="K562" s="60"/>
      <c r="M562" s="61"/>
      <c r="N562" s="61"/>
      <c r="O562" s="61"/>
      <c r="P562" s="61"/>
      <c r="Q562" s="61"/>
      <c r="R562" s="61"/>
      <c r="S562" s="62"/>
      <c r="T562" s="62"/>
      <c r="U562" s="62"/>
    </row>
    <row r="563" spans="1:21" ht="15.75" customHeight="1" x14ac:dyDescent="0.3">
      <c r="A563" s="36"/>
      <c r="B563" s="36"/>
      <c r="C563" s="6"/>
      <c r="D563" s="36"/>
      <c r="E563" s="36"/>
      <c r="F563" s="36"/>
      <c r="G563" s="6"/>
      <c r="H563" s="36"/>
      <c r="I563" s="36"/>
      <c r="J563" s="37"/>
      <c r="K563" s="60"/>
      <c r="M563" s="61"/>
      <c r="N563" s="61"/>
      <c r="O563" s="61"/>
      <c r="P563" s="61"/>
      <c r="Q563" s="61"/>
      <c r="R563" s="61"/>
      <c r="S563" s="62"/>
      <c r="T563" s="62"/>
      <c r="U563" s="62"/>
    </row>
    <row r="564" spans="1:21" ht="15.75" customHeight="1" x14ac:dyDescent="0.3">
      <c r="A564" s="36"/>
      <c r="B564" s="36"/>
      <c r="C564" s="6"/>
      <c r="D564" s="36"/>
      <c r="E564" s="36"/>
      <c r="F564" s="36"/>
      <c r="G564" s="6"/>
      <c r="H564" s="36"/>
      <c r="I564" s="36"/>
      <c r="J564" s="37"/>
      <c r="K564" s="60"/>
      <c r="M564" s="61"/>
      <c r="N564" s="61"/>
      <c r="O564" s="61"/>
      <c r="P564" s="61"/>
      <c r="Q564" s="61"/>
      <c r="R564" s="61"/>
      <c r="S564" s="62"/>
      <c r="T564" s="62"/>
      <c r="U564" s="62"/>
    </row>
    <row r="565" spans="1:21" ht="15.75" customHeight="1" x14ac:dyDescent="0.3">
      <c r="A565" s="36"/>
      <c r="B565" s="36"/>
      <c r="C565" s="6"/>
      <c r="D565" s="36"/>
      <c r="E565" s="36"/>
      <c r="F565" s="36"/>
      <c r="G565" s="6"/>
      <c r="H565" s="36"/>
      <c r="I565" s="36"/>
      <c r="J565" s="37"/>
      <c r="K565" s="60"/>
      <c r="M565" s="61"/>
      <c r="N565" s="61"/>
      <c r="O565" s="61"/>
      <c r="P565" s="61"/>
      <c r="Q565" s="61"/>
      <c r="R565" s="61"/>
      <c r="S565" s="62"/>
      <c r="T565" s="62"/>
      <c r="U565" s="62"/>
    </row>
    <row r="566" spans="1:21" ht="15.75" customHeight="1" x14ac:dyDescent="0.3">
      <c r="A566" s="36"/>
      <c r="B566" s="36"/>
      <c r="C566" s="6"/>
      <c r="D566" s="36"/>
      <c r="E566" s="36"/>
      <c r="F566" s="36"/>
      <c r="G566" s="6"/>
      <c r="H566" s="36"/>
      <c r="I566" s="36"/>
      <c r="J566" s="37"/>
      <c r="K566" s="60"/>
      <c r="M566" s="61"/>
      <c r="N566" s="61"/>
      <c r="O566" s="61"/>
      <c r="P566" s="61"/>
      <c r="Q566" s="61"/>
      <c r="R566" s="61"/>
      <c r="S566" s="62"/>
      <c r="T566" s="62"/>
      <c r="U566" s="62"/>
    </row>
    <row r="567" spans="1:21" ht="15.75" customHeight="1" x14ac:dyDescent="0.3">
      <c r="A567" s="36"/>
      <c r="B567" s="36"/>
      <c r="C567" s="6"/>
      <c r="D567" s="36"/>
      <c r="E567" s="36"/>
      <c r="F567" s="36"/>
      <c r="G567" s="6"/>
      <c r="H567" s="36"/>
      <c r="I567" s="36"/>
      <c r="J567" s="37"/>
      <c r="K567" s="60"/>
      <c r="M567" s="61"/>
      <c r="N567" s="61"/>
      <c r="O567" s="61"/>
      <c r="P567" s="61"/>
      <c r="Q567" s="61"/>
      <c r="R567" s="61"/>
      <c r="S567" s="62"/>
      <c r="T567" s="62"/>
      <c r="U567" s="62"/>
    </row>
    <row r="568" spans="1:21" ht="15.75" customHeight="1" x14ac:dyDescent="0.3">
      <c r="A568" s="36"/>
      <c r="B568" s="36"/>
      <c r="C568" s="6"/>
      <c r="D568" s="36"/>
      <c r="E568" s="36"/>
      <c r="F568" s="36"/>
      <c r="G568" s="6"/>
      <c r="H568" s="36"/>
      <c r="I568" s="36"/>
      <c r="J568" s="37"/>
      <c r="K568" s="60"/>
      <c r="M568" s="61"/>
      <c r="N568" s="61"/>
      <c r="O568" s="61"/>
      <c r="P568" s="61"/>
      <c r="Q568" s="61"/>
      <c r="R568" s="61"/>
      <c r="S568" s="62"/>
      <c r="T568" s="62"/>
      <c r="U568" s="62"/>
    </row>
    <row r="569" spans="1:21" ht="15.75" customHeight="1" x14ac:dyDescent="0.3">
      <c r="A569" s="36"/>
      <c r="B569" s="36"/>
      <c r="C569" s="6"/>
      <c r="D569" s="36"/>
      <c r="E569" s="36"/>
      <c r="F569" s="36"/>
      <c r="G569" s="6"/>
      <c r="H569" s="36"/>
      <c r="I569" s="36"/>
      <c r="J569" s="37"/>
      <c r="K569" s="60"/>
      <c r="M569" s="61"/>
      <c r="N569" s="61"/>
      <c r="O569" s="61"/>
      <c r="P569" s="61"/>
      <c r="Q569" s="61"/>
      <c r="R569" s="61"/>
      <c r="S569" s="62"/>
      <c r="T569" s="62"/>
      <c r="U569" s="62"/>
    </row>
    <row r="570" spans="1:21" ht="15.75" customHeight="1" x14ac:dyDescent="0.3">
      <c r="A570" s="36"/>
      <c r="B570" s="36"/>
      <c r="C570" s="6"/>
      <c r="D570" s="36"/>
      <c r="E570" s="36"/>
      <c r="F570" s="36"/>
      <c r="G570" s="6"/>
      <c r="H570" s="36"/>
      <c r="I570" s="36"/>
      <c r="J570" s="37"/>
      <c r="K570" s="60"/>
      <c r="M570" s="61"/>
      <c r="N570" s="61"/>
      <c r="O570" s="61"/>
      <c r="P570" s="61"/>
      <c r="Q570" s="61"/>
      <c r="R570" s="61"/>
      <c r="S570" s="62"/>
      <c r="T570" s="62"/>
      <c r="U570" s="62"/>
    </row>
    <row r="571" spans="1:21" ht="15.75" customHeight="1" x14ac:dyDescent="0.3">
      <c r="A571" s="36"/>
      <c r="B571" s="36"/>
      <c r="C571" s="6"/>
      <c r="D571" s="36"/>
      <c r="E571" s="36"/>
      <c r="F571" s="36"/>
      <c r="G571" s="6"/>
      <c r="H571" s="36"/>
      <c r="I571" s="36"/>
      <c r="J571" s="37"/>
      <c r="K571" s="60"/>
      <c r="M571" s="61"/>
      <c r="N571" s="61"/>
      <c r="O571" s="61"/>
      <c r="P571" s="61"/>
      <c r="Q571" s="61"/>
      <c r="R571" s="61"/>
      <c r="S571" s="62"/>
      <c r="T571" s="62"/>
      <c r="U571" s="62"/>
    </row>
    <row r="572" spans="1:21" ht="15.75" customHeight="1" x14ac:dyDescent="0.3">
      <c r="A572" s="36"/>
      <c r="B572" s="36"/>
      <c r="C572" s="6"/>
      <c r="D572" s="36"/>
      <c r="E572" s="36"/>
      <c r="F572" s="36"/>
      <c r="G572" s="6"/>
      <c r="H572" s="36"/>
      <c r="I572" s="36"/>
      <c r="J572" s="37"/>
      <c r="K572" s="60"/>
      <c r="M572" s="61"/>
      <c r="N572" s="61"/>
      <c r="O572" s="61"/>
      <c r="P572" s="61"/>
      <c r="Q572" s="61"/>
      <c r="R572" s="61"/>
      <c r="S572" s="62"/>
      <c r="T572" s="62"/>
      <c r="U572" s="62"/>
    </row>
    <row r="573" spans="1:21" ht="15.75" customHeight="1" x14ac:dyDescent="0.3">
      <c r="A573" s="36"/>
      <c r="B573" s="36"/>
      <c r="C573" s="6"/>
      <c r="D573" s="36"/>
      <c r="E573" s="36"/>
      <c r="F573" s="36"/>
      <c r="G573" s="6"/>
      <c r="H573" s="36"/>
      <c r="I573" s="36"/>
      <c r="J573" s="37"/>
      <c r="K573" s="60"/>
      <c r="M573" s="61"/>
      <c r="N573" s="61"/>
      <c r="O573" s="61"/>
      <c r="P573" s="61"/>
      <c r="Q573" s="61"/>
      <c r="R573" s="61"/>
      <c r="S573" s="62"/>
      <c r="T573" s="62"/>
      <c r="U573" s="62"/>
    </row>
    <row r="574" spans="1:21" ht="15.75" customHeight="1" x14ac:dyDescent="0.3">
      <c r="A574" s="36"/>
      <c r="B574" s="36"/>
      <c r="C574" s="6"/>
      <c r="D574" s="36"/>
      <c r="E574" s="36"/>
      <c r="F574" s="36"/>
      <c r="G574" s="6"/>
      <c r="H574" s="36"/>
      <c r="I574" s="36"/>
      <c r="J574" s="37"/>
      <c r="K574" s="60"/>
      <c r="M574" s="61"/>
      <c r="N574" s="61"/>
      <c r="O574" s="61"/>
      <c r="P574" s="61"/>
      <c r="Q574" s="61"/>
      <c r="R574" s="61"/>
      <c r="S574" s="62"/>
      <c r="T574" s="62"/>
      <c r="U574" s="62"/>
    </row>
    <row r="575" spans="1:21" ht="15.75" customHeight="1" x14ac:dyDescent="0.3">
      <c r="A575" s="36"/>
      <c r="B575" s="36"/>
      <c r="C575" s="6"/>
      <c r="D575" s="36"/>
      <c r="E575" s="36"/>
      <c r="F575" s="36"/>
      <c r="G575" s="6"/>
      <c r="H575" s="36"/>
      <c r="I575" s="36"/>
      <c r="J575" s="37"/>
      <c r="K575" s="60"/>
      <c r="M575" s="61"/>
      <c r="N575" s="61"/>
      <c r="O575" s="61"/>
      <c r="P575" s="61"/>
      <c r="Q575" s="61"/>
      <c r="R575" s="61"/>
      <c r="S575" s="62"/>
      <c r="T575" s="62"/>
      <c r="U575" s="62"/>
    </row>
    <row r="576" spans="1:21" ht="15.75" customHeight="1" x14ac:dyDescent="0.3">
      <c r="A576" s="36"/>
      <c r="B576" s="36"/>
      <c r="C576" s="6"/>
      <c r="D576" s="36"/>
      <c r="E576" s="36"/>
      <c r="F576" s="36"/>
      <c r="G576" s="6"/>
      <c r="H576" s="36"/>
      <c r="I576" s="36"/>
      <c r="J576" s="37"/>
      <c r="K576" s="60"/>
      <c r="M576" s="61"/>
      <c r="N576" s="61"/>
      <c r="O576" s="61"/>
      <c r="P576" s="61"/>
      <c r="Q576" s="61"/>
      <c r="R576" s="61"/>
      <c r="S576" s="62"/>
      <c r="T576" s="62"/>
      <c r="U576" s="62"/>
    </row>
    <row r="577" spans="1:21" ht="15.75" customHeight="1" x14ac:dyDescent="0.3">
      <c r="A577" s="36"/>
      <c r="B577" s="36"/>
      <c r="C577" s="6"/>
      <c r="D577" s="36"/>
      <c r="E577" s="36"/>
      <c r="F577" s="36"/>
      <c r="G577" s="6"/>
      <c r="H577" s="36"/>
      <c r="I577" s="36"/>
      <c r="J577" s="37"/>
      <c r="K577" s="60"/>
      <c r="M577" s="61"/>
      <c r="N577" s="61"/>
      <c r="O577" s="61"/>
      <c r="P577" s="61"/>
      <c r="Q577" s="61"/>
      <c r="R577" s="61"/>
      <c r="S577" s="62"/>
      <c r="T577" s="62"/>
      <c r="U577" s="62"/>
    </row>
    <row r="578" spans="1:21" ht="15.75" customHeight="1" x14ac:dyDescent="0.3">
      <c r="A578" s="36"/>
      <c r="B578" s="36"/>
      <c r="C578" s="6"/>
      <c r="D578" s="36"/>
      <c r="E578" s="36"/>
      <c r="F578" s="36"/>
      <c r="G578" s="6"/>
      <c r="H578" s="36"/>
      <c r="I578" s="36"/>
      <c r="J578" s="37"/>
      <c r="K578" s="60"/>
      <c r="M578" s="61"/>
      <c r="N578" s="61"/>
      <c r="O578" s="61"/>
      <c r="P578" s="61"/>
      <c r="Q578" s="61"/>
      <c r="R578" s="61"/>
      <c r="S578" s="62"/>
      <c r="T578" s="62"/>
      <c r="U578" s="62"/>
    </row>
    <row r="579" spans="1:21" ht="15.75" customHeight="1" x14ac:dyDescent="0.3">
      <c r="A579" s="36"/>
      <c r="B579" s="36"/>
      <c r="C579" s="6"/>
      <c r="D579" s="36"/>
      <c r="E579" s="36"/>
      <c r="F579" s="36"/>
      <c r="G579" s="6"/>
      <c r="H579" s="36"/>
      <c r="I579" s="36"/>
      <c r="J579" s="37"/>
      <c r="K579" s="60"/>
      <c r="M579" s="61"/>
      <c r="N579" s="61"/>
      <c r="O579" s="61"/>
      <c r="P579" s="61"/>
      <c r="Q579" s="61"/>
      <c r="R579" s="61"/>
      <c r="S579" s="62"/>
      <c r="T579" s="62"/>
      <c r="U579" s="62"/>
    </row>
    <row r="580" spans="1:21" ht="15.75" customHeight="1" x14ac:dyDescent="0.3">
      <c r="A580" s="36"/>
      <c r="B580" s="36"/>
      <c r="C580" s="6"/>
      <c r="D580" s="36"/>
      <c r="E580" s="36"/>
      <c r="F580" s="36"/>
      <c r="G580" s="6"/>
      <c r="H580" s="36"/>
      <c r="I580" s="36"/>
      <c r="J580" s="37"/>
      <c r="K580" s="60"/>
      <c r="M580" s="61"/>
      <c r="N580" s="61"/>
      <c r="O580" s="61"/>
      <c r="P580" s="61"/>
      <c r="Q580" s="61"/>
      <c r="R580" s="61"/>
      <c r="S580" s="62"/>
      <c r="T580" s="62"/>
      <c r="U580" s="62"/>
    </row>
    <row r="581" spans="1:21" ht="15.75" customHeight="1" x14ac:dyDescent="0.3">
      <c r="A581" s="36"/>
      <c r="B581" s="36"/>
      <c r="C581" s="6"/>
      <c r="D581" s="36"/>
      <c r="E581" s="36"/>
      <c r="F581" s="36"/>
      <c r="G581" s="6"/>
      <c r="H581" s="36"/>
      <c r="I581" s="36"/>
      <c r="J581" s="37"/>
      <c r="K581" s="60"/>
      <c r="M581" s="61"/>
      <c r="N581" s="61"/>
      <c r="O581" s="61"/>
      <c r="P581" s="61"/>
      <c r="Q581" s="61"/>
      <c r="R581" s="61"/>
      <c r="S581" s="62"/>
      <c r="T581" s="62"/>
      <c r="U581" s="62"/>
    </row>
    <row r="582" spans="1:21" ht="15.75" customHeight="1" x14ac:dyDescent="0.3">
      <c r="A582" s="36"/>
      <c r="B582" s="36"/>
      <c r="C582" s="6"/>
      <c r="D582" s="36"/>
      <c r="E582" s="36"/>
      <c r="F582" s="36"/>
      <c r="G582" s="6"/>
      <c r="H582" s="36"/>
      <c r="I582" s="36"/>
      <c r="J582" s="37"/>
      <c r="K582" s="60"/>
      <c r="M582" s="61"/>
      <c r="N582" s="61"/>
      <c r="O582" s="61"/>
      <c r="P582" s="61"/>
      <c r="Q582" s="61"/>
      <c r="R582" s="61"/>
      <c r="S582" s="62"/>
      <c r="T582" s="62"/>
      <c r="U582" s="62"/>
    </row>
    <row r="583" spans="1:21" ht="15.75" customHeight="1" x14ac:dyDescent="0.3">
      <c r="A583" s="36"/>
      <c r="B583" s="36"/>
      <c r="C583" s="6"/>
      <c r="D583" s="36"/>
      <c r="E583" s="36"/>
      <c r="F583" s="36"/>
      <c r="G583" s="6"/>
      <c r="H583" s="36"/>
      <c r="I583" s="36"/>
      <c r="J583" s="37"/>
      <c r="K583" s="60"/>
      <c r="M583" s="61"/>
      <c r="N583" s="61"/>
      <c r="O583" s="61"/>
      <c r="P583" s="61"/>
      <c r="Q583" s="61"/>
      <c r="R583" s="61"/>
      <c r="S583" s="62"/>
      <c r="T583" s="62"/>
      <c r="U583" s="62"/>
    </row>
    <row r="584" spans="1:21" ht="15.75" customHeight="1" x14ac:dyDescent="0.3">
      <c r="A584" s="36"/>
      <c r="B584" s="36"/>
      <c r="C584" s="6"/>
      <c r="D584" s="36"/>
      <c r="E584" s="36"/>
      <c r="F584" s="36"/>
      <c r="G584" s="6"/>
      <c r="H584" s="36"/>
      <c r="I584" s="36"/>
      <c r="J584" s="37"/>
      <c r="K584" s="60"/>
      <c r="M584" s="61"/>
      <c r="N584" s="61"/>
      <c r="O584" s="61"/>
      <c r="P584" s="61"/>
      <c r="Q584" s="61"/>
      <c r="R584" s="61"/>
      <c r="S584" s="62"/>
      <c r="T584" s="62"/>
      <c r="U584" s="62"/>
    </row>
    <row r="585" spans="1:21" ht="15.75" customHeight="1" x14ac:dyDescent="0.3">
      <c r="A585" s="36"/>
      <c r="B585" s="36"/>
      <c r="C585" s="6"/>
      <c r="D585" s="36"/>
      <c r="E585" s="36"/>
      <c r="F585" s="36"/>
      <c r="G585" s="6"/>
      <c r="H585" s="36"/>
      <c r="I585" s="36"/>
      <c r="J585" s="37"/>
      <c r="K585" s="60"/>
      <c r="M585" s="61"/>
      <c r="N585" s="61"/>
      <c r="O585" s="61"/>
      <c r="P585" s="61"/>
      <c r="Q585" s="61"/>
      <c r="R585" s="61"/>
      <c r="S585" s="62"/>
      <c r="T585" s="62"/>
      <c r="U585" s="62"/>
    </row>
    <row r="586" spans="1:21" ht="15.75" customHeight="1" x14ac:dyDescent="0.3">
      <c r="A586" s="36"/>
      <c r="B586" s="36"/>
      <c r="C586" s="6"/>
      <c r="D586" s="36"/>
      <c r="E586" s="36"/>
      <c r="F586" s="36"/>
      <c r="G586" s="6"/>
      <c r="H586" s="36"/>
      <c r="I586" s="36"/>
      <c r="J586" s="37"/>
      <c r="K586" s="60"/>
      <c r="M586" s="61"/>
      <c r="N586" s="61"/>
      <c r="O586" s="61"/>
      <c r="P586" s="61"/>
      <c r="Q586" s="61"/>
      <c r="R586" s="61"/>
      <c r="S586" s="62"/>
      <c r="T586" s="62"/>
      <c r="U586" s="62"/>
    </row>
    <row r="587" spans="1:21" ht="15.75" customHeight="1" x14ac:dyDescent="0.3">
      <c r="A587" s="36"/>
      <c r="B587" s="36"/>
      <c r="C587" s="6"/>
      <c r="D587" s="36"/>
      <c r="E587" s="36"/>
      <c r="F587" s="36"/>
      <c r="G587" s="6"/>
      <c r="H587" s="36"/>
      <c r="I587" s="36"/>
      <c r="J587" s="37"/>
      <c r="K587" s="60"/>
      <c r="M587" s="61"/>
      <c r="N587" s="61"/>
      <c r="O587" s="61"/>
      <c r="P587" s="61"/>
      <c r="Q587" s="61"/>
      <c r="R587" s="61"/>
      <c r="S587" s="62"/>
      <c r="T587" s="62"/>
      <c r="U587" s="62"/>
    </row>
    <row r="588" spans="1:21" ht="15.75" customHeight="1" x14ac:dyDescent="0.3">
      <c r="A588" s="36"/>
      <c r="B588" s="36"/>
      <c r="C588" s="6"/>
      <c r="D588" s="36"/>
      <c r="E588" s="36"/>
      <c r="F588" s="36"/>
      <c r="G588" s="6"/>
      <c r="H588" s="36"/>
      <c r="I588" s="36"/>
      <c r="J588" s="37"/>
      <c r="K588" s="60"/>
      <c r="M588" s="61"/>
      <c r="N588" s="61"/>
      <c r="O588" s="61"/>
      <c r="P588" s="61"/>
      <c r="Q588" s="61"/>
      <c r="R588" s="61"/>
      <c r="S588" s="62"/>
      <c r="T588" s="62"/>
      <c r="U588" s="62"/>
    </row>
    <row r="589" spans="1:21" ht="15.75" customHeight="1" x14ac:dyDescent="0.3">
      <c r="A589" s="36"/>
      <c r="B589" s="36"/>
      <c r="C589" s="6"/>
      <c r="D589" s="36"/>
      <c r="E589" s="36"/>
      <c r="F589" s="36"/>
      <c r="G589" s="6"/>
      <c r="H589" s="36"/>
      <c r="I589" s="36"/>
      <c r="J589" s="37"/>
      <c r="K589" s="60"/>
      <c r="M589" s="61"/>
      <c r="N589" s="61"/>
      <c r="O589" s="61"/>
      <c r="P589" s="61"/>
      <c r="Q589" s="61"/>
      <c r="R589" s="61"/>
      <c r="S589" s="62"/>
      <c r="T589" s="62"/>
      <c r="U589" s="62"/>
    </row>
    <row r="590" spans="1:21" ht="15.75" customHeight="1" x14ac:dyDescent="0.3">
      <c r="A590" s="36"/>
      <c r="B590" s="36"/>
      <c r="C590" s="6"/>
      <c r="D590" s="36"/>
      <c r="E590" s="36"/>
      <c r="F590" s="36"/>
      <c r="G590" s="6"/>
      <c r="H590" s="36"/>
      <c r="I590" s="36"/>
      <c r="J590" s="37"/>
      <c r="K590" s="60"/>
      <c r="M590" s="61"/>
      <c r="N590" s="61"/>
      <c r="O590" s="61"/>
      <c r="P590" s="61"/>
      <c r="Q590" s="61"/>
      <c r="R590" s="61"/>
      <c r="S590" s="62"/>
      <c r="T590" s="62"/>
      <c r="U590" s="62"/>
    </row>
    <row r="591" spans="1:21" ht="15.75" customHeight="1" x14ac:dyDescent="0.3">
      <c r="A591" s="36"/>
      <c r="B591" s="36"/>
      <c r="C591" s="6"/>
      <c r="D591" s="36"/>
      <c r="E591" s="36"/>
      <c r="F591" s="36"/>
      <c r="G591" s="6"/>
      <c r="H591" s="36"/>
      <c r="I591" s="36"/>
      <c r="J591" s="37"/>
      <c r="K591" s="60"/>
      <c r="M591" s="61"/>
      <c r="N591" s="61"/>
      <c r="O591" s="61"/>
      <c r="P591" s="61"/>
      <c r="Q591" s="61"/>
      <c r="R591" s="61"/>
      <c r="S591" s="62"/>
      <c r="T591" s="62"/>
      <c r="U591" s="62"/>
    </row>
    <row r="592" spans="1:21" ht="15.75" customHeight="1" x14ac:dyDescent="0.3">
      <c r="A592" s="36"/>
      <c r="B592" s="36"/>
      <c r="C592" s="6"/>
      <c r="D592" s="36"/>
      <c r="E592" s="36"/>
      <c r="F592" s="36"/>
      <c r="G592" s="6"/>
      <c r="H592" s="36"/>
      <c r="I592" s="36"/>
      <c r="J592" s="37"/>
      <c r="K592" s="60"/>
      <c r="M592" s="61"/>
      <c r="N592" s="61"/>
      <c r="O592" s="61"/>
      <c r="P592" s="61"/>
      <c r="Q592" s="61"/>
      <c r="R592" s="61"/>
      <c r="S592" s="62"/>
      <c r="T592" s="62"/>
      <c r="U592" s="62"/>
    </row>
    <row r="593" spans="1:21" ht="15.75" customHeight="1" x14ac:dyDescent="0.3">
      <c r="A593" s="36"/>
      <c r="B593" s="36"/>
      <c r="C593" s="6"/>
      <c r="D593" s="36"/>
      <c r="E593" s="36"/>
      <c r="F593" s="36"/>
      <c r="G593" s="6"/>
      <c r="H593" s="36"/>
      <c r="I593" s="36"/>
      <c r="J593" s="37"/>
      <c r="K593" s="60"/>
      <c r="M593" s="61"/>
      <c r="N593" s="61"/>
      <c r="O593" s="61"/>
      <c r="P593" s="61"/>
      <c r="Q593" s="61"/>
      <c r="R593" s="61"/>
      <c r="S593" s="62"/>
      <c r="T593" s="62"/>
      <c r="U593" s="62"/>
    </row>
    <row r="594" spans="1:21" ht="15.75" customHeight="1" x14ac:dyDescent="0.3">
      <c r="A594" s="36"/>
      <c r="B594" s="36"/>
      <c r="C594" s="6"/>
      <c r="D594" s="36"/>
      <c r="E594" s="36"/>
      <c r="F594" s="36"/>
      <c r="G594" s="6"/>
      <c r="H594" s="36"/>
      <c r="I594" s="36"/>
      <c r="J594" s="37"/>
      <c r="K594" s="60"/>
      <c r="M594" s="61"/>
      <c r="N594" s="61"/>
      <c r="O594" s="61"/>
      <c r="P594" s="61"/>
      <c r="Q594" s="61"/>
      <c r="R594" s="61"/>
      <c r="S594" s="62"/>
      <c r="T594" s="62"/>
      <c r="U594" s="62"/>
    </row>
    <row r="595" spans="1:21" ht="15.75" customHeight="1" x14ac:dyDescent="0.3">
      <c r="A595" s="36"/>
      <c r="B595" s="36"/>
      <c r="C595" s="6"/>
      <c r="D595" s="36"/>
      <c r="E595" s="36"/>
      <c r="F595" s="36"/>
      <c r="G595" s="6"/>
      <c r="H595" s="36"/>
      <c r="I595" s="36"/>
      <c r="J595" s="37"/>
      <c r="K595" s="60"/>
      <c r="M595" s="61"/>
      <c r="N595" s="61"/>
      <c r="O595" s="61"/>
      <c r="P595" s="61"/>
      <c r="Q595" s="61"/>
      <c r="R595" s="61"/>
      <c r="S595" s="62"/>
      <c r="T595" s="62"/>
      <c r="U595" s="62"/>
    </row>
    <row r="596" spans="1:21" ht="15.75" customHeight="1" x14ac:dyDescent="0.3">
      <c r="A596" s="36"/>
      <c r="B596" s="36"/>
      <c r="C596" s="6"/>
      <c r="D596" s="36"/>
      <c r="E596" s="36"/>
      <c r="F596" s="36"/>
      <c r="G596" s="6"/>
      <c r="H596" s="36"/>
      <c r="I596" s="36"/>
      <c r="J596" s="37"/>
      <c r="K596" s="60"/>
      <c r="M596" s="61"/>
      <c r="N596" s="61"/>
      <c r="O596" s="61"/>
      <c r="P596" s="61"/>
      <c r="Q596" s="61"/>
      <c r="R596" s="61"/>
      <c r="S596" s="62"/>
      <c r="T596" s="62"/>
      <c r="U596" s="62"/>
    </row>
    <row r="597" spans="1:21" ht="15.75" customHeight="1" x14ac:dyDescent="0.3">
      <c r="A597" s="36"/>
      <c r="B597" s="36"/>
      <c r="C597" s="6"/>
      <c r="D597" s="36"/>
      <c r="E597" s="36"/>
      <c r="F597" s="36"/>
      <c r="G597" s="6"/>
      <c r="H597" s="36"/>
      <c r="I597" s="36"/>
      <c r="J597" s="37"/>
      <c r="K597" s="60"/>
      <c r="M597" s="61"/>
      <c r="N597" s="61"/>
      <c r="O597" s="61"/>
      <c r="P597" s="61"/>
      <c r="Q597" s="61"/>
      <c r="R597" s="61"/>
      <c r="S597" s="62"/>
      <c r="T597" s="62"/>
      <c r="U597" s="62"/>
    </row>
    <row r="598" spans="1:21" ht="15.75" customHeight="1" x14ac:dyDescent="0.3">
      <c r="A598" s="36"/>
      <c r="B598" s="36"/>
      <c r="C598" s="6"/>
      <c r="D598" s="36"/>
      <c r="E598" s="36"/>
      <c r="F598" s="36"/>
      <c r="G598" s="6"/>
      <c r="H598" s="36"/>
      <c r="I598" s="36"/>
      <c r="J598" s="37"/>
      <c r="K598" s="60"/>
      <c r="M598" s="61"/>
      <c r="N598" s="61"/>
      <c r="O598" s="61"/>
      <c r="P598" s="61"/>
      <c r="Q598" s="61"/>
      <c r="R598" s="61"/>
      <c r="S598" s="62"/>
      <c r="T598" s="62"/>
      <c r="U598" s="62"/>
    </row>
    <row r="599" spans="1:21" ht="15.75" customHeight="1" x14ac:dyDescent="0.3">
      <c r="A599" s="36"/>
      <c r="B599" s="36"/>
      <c r="C599" s="6"/>
      <c r="D599" s="36"/>
      <c r="E599" s="36"/>
      <c r="F599" s="36"/>
      <c r="G599" s="6"/>
      <c r="H599" s="36"/>
      <c r="I599" s="36"/>
      <c r="J599" s="37"/>
      <c r="K599" s="60"/>
      <c r="M599" s="61"/>
      <c r="N599" s="61"/>
      <c r="O599" s="61"/>
      <c r="P599" s="61"/>
      <c r="Q599" s="61"/>
      <c r="R599" s="61"/>
      <c r="S599" s="62"/>
      <c r="T599" s="62"/>
      <c r="U599" s="62"/>
    </row>
    <row r="600" spans="1:21" ht="15.75" customHeight="1" x14ac:dyDescent="0.3">
      <c r="A600" s="36"/>
      <c r="B600" s="36"/>
      <c r="C600" s="6"/>
      <c r="D600" s="36"/>
      <c r="E600" s="36"/>
      <c r="F600" s="36"/>
      <c r="G600" s="6"/>
      <c r="H600" s="36"/>
      <c r="I600" s="36"/>
      <c r="J600" s="37"/>
      <c r="K600" s="60"/>
      <c r="M600" s="61"/>
      <c r="N600" s="61"/>
      <c r="O600" s="61"/>
      <c r="P600" s="61"/>
      <c r="Q600" s="61"/>
      <c r="R600" s="61"/>
      <c r="S600" s="62"/>
      <c r="T600" s="62"/>
      <c r="U600" s="62"/>
    </row>
    <row r="601" spans="1:21" ht="15.75" customHeight="1" x14ac:dyDescent="0.3">
      <c r="A601" s="36"/>
      <c r="B601" s="36"/>
      <c r="C601" s="6"/>
      <c r="D601" s="36"/>
      <c r="E601" s="36"/>
      <c r="F601" s="36"/>
      <c r="G601" s="6"/>
      <c r="H601" s="36"/>
      <c r="I601" s="36"/>
      <c r="J601" s="37"/>
      <c r="K601" s="60"/>
      <c r="M601" s="61"/>
      <c r="N601" s="61"/>
      <c r="O601" s="61"/>
      <c r="P601" s="61"/>
      <c r="Q601" s="61"/>
      <c r="R601" s="61"/>
      <c r="S601" s="62"/>
      <c r="T601" s="62"/>
      <c r="U601" s="62"/>
    </row>
    <row r="602" spans="1:21" ht="15.75" customHeight="1" x14ac:dyDescent="0.3">
      <c r="A602" s="36"/>
      <c r="B602" s="36"/>
      <c r="C602" s="6"/>
      <c r="D602" s="36"/>
      <c r="E602" s="36"/>
      <c r="F602" s="36"/>
      <c r="G602" s="6"/>
      <c r="H602" s="36"/>
      <c r="I602" s="36"/>
      <c r="J602" s="37"/>
      <c r="K602" s="60"/>
      <c r="M602" s="61"/>
      <c r="N602" s="61"/>
      <c r="O602" s="61"/>
      <c r="P602" s="61"/>
      <c r="Q602" s="61"/>
      <c r="R602" s="61"/>
      <c r="S602" s="62"/>
      <c r="T602" s="62"/>
      <c r="U602" s="62"/>
    </row>
    <row r="603" spans="1:21" ht="15.75" customHeight="1" x14ac:dyDescent="0.3">
      <c r="A603" s="36"/>
      <c r="B603" s="36"/>
      <c r="C603" s="6"/>
      <c r="D603" s="36"/>
      <c r="E603" s="36"/>
      <c r="F603" s="36"/>
      <c r="G603" s="6"/>
      <c r="H603" s="36"/>
      <c r="I603" s="36"/>
      <c r="J603" s="37"/>
      <c r="K603" s="60"/>
      <c r="M603" s="61"/>
      <c r="N603" s="61"/>
      <c r="O603" s="61"/>
      <c r="P603" s="61"/>
      <c r="Q603" s="61"/>
      <c r="R603" s="61"/>
      <c r="S603" s="62"/>
      <c r="T603" s="62"/>
      <c r="U603" s="62"/>
    </row>
    <row r="604" spans="1:21" ht="15.75" customHeight="1" x14ac:dyDescent="0.3">
      <c r="A604" s="36"/>
      <c r="B604" s="36"/>
      <c r="C604" s="6"/>
      <c r="D604" s="36"/>
      <c r="E604" s="36"/>
      <c r="F604" s="36"/>
      <c r="G604" s="6"/>
      <c r="H604" s="36"/>
      <c r="I604" s="36"/>
      <c r="J604" s="37"/>
      <c r="K604" s="60"/>
      <c r="M604" s="61"/>
      <c r="N604" s="61"/>
      <c r="O604" s="61"/>
      <c r="P604" s="61"/>
      <c r="Q604" s="61"/>
      <c r="R604" s="61"/>
      <c r="S604" s="62"/>
      <c r="T604" s="62"/>
      <c r="U604" s="62"/>
    </row>
    <row r="605" spans="1:21" ht="15.75" customHeight="1" x14ac:dyDescent="0.3">
      <c r="A605" s="36"/>
      <c r="B605" s="36"/>
      <c r="C605" s="6"/>
      <c r="D605" s="36"/>
      <c r="E605" s="36"/>
      <c r="F605" s="36"/>
      <c r="G605" s="6"/>
      <c r="H605" s="36"/>
      <c r="I605" s="36"/>
      <c r="J605" s="37"/>
      <c r="K605" s="60"/>
      <c r="M605" s="61"/>
      <c r="N605" s="61"/>
      <c r="O605" s="61"/>
      <c r="P605" s="61"/>
      <c r="Q605" s="61"/>
      <c r="R605" s="61"/>
      <c r="S605" s="62"/>
      <c r="T605" s="62"/>
      <c r="U605" s="62"/>
    </row>
    <row r="606" spans="1:21" ht="15.75" customHeight="1" x14ac:dyDescent="0.3">
      <c r="A606" s="36"/>
      <c r="B606" s="36"/>
      <c r="C606" s="6"/>
      <c r="D606" s="36"/>
      <c r="E606" s="36"/>
      <c r="F606" s="36"/>
      <c r="G606" s="6"/>
      <c r="H606" s="36"/>
      <c r="I606" s="36"/>
      <c r="J606" s="37"/>
      <c r="K606" s="60"/>
      <c r="M606" s="61"/>
      <c r="N606" s="61"/>
      <c r="O606" s="61"/>
      <c r="P606" s="61"/>
      <c r="Q606" s="61"/>
      <c r="R606" s="61"/>
      <c r="S606" s="62"/>
      <c r="T606" s="62"/>
      <c r="U606" s="62"/>
    </row>
    <row r="607" spans="1:21" ht="15.75" customHeight="1" x14ac:dyDescent="0.3">
      <c r="A607" s="36"/>
      <c r="B607" s="36"/>
      <c r="C607" s="6"/>
      <c r="D607" s="36"/>
      <c r="E607" s="36"/>
      <c r="F607" s="36"/>
      <c r="G607" s="6"/>
      <c r="H607" s="36"/>
      <c r="I607" s="36"/>
      <c r="J607" s="37"/>
      <c r="K607" s="60"/>
      <c r="M607" s="61"/>
      <c r="N607" s="61"/>
      <c r="O607" s="61"/>
      <c r="P607" s="61"/>
      <c r="Q607" s="61"/>
      <c r="R607" s="61"/>
      <c r="S607" s="62"/>
      <c r="T607" s="62"/>
      <c r="U607" s="62"/>
    </row>
    <row r="608" spans="1:21" ht="15.75" customHeight="1" x14ac:dyDescent="0.3">
      <c r="A608" s="36"/>
      <c r="B608" s="36"/>
      <c r="C608" s="6"/>
      <c r="D608" s="36"/>
      <c r="E608" s="36"/>
      <c r="F608" s="36"/>
      <c r="G608" s="6"/>
      <c r="H608" s="36"/>
      <c r="I608" s="36"/>
      <c r="J608" s="37"/>
      <c r="K608" s="60"/>
      <c r="M608" s="61"/>
      <c r="N608" s="61"/>
      <c r="O608" s="61"/>
      <c r="P608" s="61"/>
      <c r="Q608" s="61"/>
      <c r="R608" s="61"/>
      <c r="S608" s="62"/>
      <c r="T608" s="62"/>
      <c r="U608" s="62"/>
    </row>
    <row r="609" spans="1:21" ht="15.75" customHeight="1" x14ac:dyDescent="0.3">
      <c r="A609" s="36"/>
      <c r="B609" s="36"/>
      <c r="C609" s="6"/>
      <c r="D609" s="36"/>
      <c r="E609" s="36"/>
      <c r="F609" s="36"/>
      <c r="G609" s="6"/>
      <c r="H609" s="36"/>
      <c r="I609" s="36"/>
      <c r="J609" s="37"/>
      <c r="K609" s="60"/>
      <c r="M609" s="61"/>
      <c r="N609" s="61"/>
      <c r="O609" s="61"/>
      <c r="P609" s="61"/>
      <c r="Q609" s="61"/>
      <c r="R609" s="61"/>
      <c r="S609" s="62"/>
      <c r="T609" s="62"/>
      <c r="U609" s="62"/>
    </row>
    <row r="610" spans="1:21" ht="15.75" customHeight="1" x14ac:dyDescent="0.3">
      <c r="A610" s="36"/>
      <c r="B610" s="36"/>
      <c r="C610" s="6"/>
      <c r="D610" s="36"/>
      <c r="E610" s="36"/>
      <c r="F610" s="36"/>
      <c r="G610" s="6"/>
      <c r="H610" s="36"/>
      <c r="I610" s="36"/>
      <c r="J610" s="37"/>
      <c r="K610" s="60"/>
      <c r="M610" s="61"/>
      <c r="N610" s="61"/>
      <c r="O610" s="61"/>
      <c r="P610" s="61"/>
      <c r="Q610" s="61"/>
      <c r="R610" s="61"/>
      <c r="S610" s="62"/>
      <c r="T610" s="62"/>
      <c r="U610" s="62"/>
    </row>
    <row r="611" spans="1:21" ht="15.75" customHeight="1" x14ac:dyDescent="0.3">
      <c r="A611" s="36"/>
      <c r="B611" s="36"/>
      <c r="C611" s="6"/>
      <c r="D611" s="36"/>
      <c r="E611" s="36"/>
      <c r="F611" s="36"/>
      <c r="G611" s="6"/>
      <c r="H611" s="36"/>
      <c r="I611" s="36"/>
      <c r="J611" s="37"/>
      <c r="K611" s="60"/>
      <c r="M611" s="61"/>
      <c r="N611" s="61"/>
      <c r="O611" s="61"/>
      <c r="P611" s="61"/>
      <c r="Q611" s="61"/>
      <c r="R611" s="61"/>
      <c r="S611" s="62"/>
      <c r="T611" s="62"/>
      <c r="U611" s="62"/>
    </row>
    <row r="612" spans="1:21" ht="15.75" customHeight="1" x14ac:dyDescent="0.3">
      <c r="A612" s="36"/>
      <c r="B612" s="36"/>
      <c r="C612" s="6"/>
      <c r="D612" s="36"/>
      <c r="E612" s="36"/>
      <c r="F612" s="36"/>
      <c r="G612" s="6"/>
      <c r="H612" s="36"/>
      <c r="I612" s="36"/>
      <c r="J612" s="37"/>
      <c r="K612" s="60"/>
      <c r="M612" s="61"/>
      <c r="N612" s="61"/>
      <c r="O612" s="61"/>
      <c r="P612" s="61"/>
      <c r="Q612" s="61"/>
      <c r="R612" s="61"/>
      <c r="S612" s="62"/>
      <c r="T612" s="62"/>
      <c r="U612" s="62"/>
    </row>
    <row r="613" spans="1:21" ht="15.75" customHeight="1" x14ac:dyDescent="0.3">
      <c r="A613" s="36"/>
      <c r="B613" s="36"/>
      <c r="C613" s="6"/>
      <c r="D613" s="36"/>
      <c r="E613" s="36"/>
      <c r="F613" s="36"/>
      <c r="G613" s="6"/>
      <c r="H613" s="36"/>
      <c r="I613" s="36"/>
      <c r="J613" s="37"/>
      <c r="K613" s="60"/>
      <c r="M613" s="61"/>
      <c r="N613" s="61"/>
      <c r="O613" s="61"/>
      <c r="P613" s="61"/>
      <c r="Q613" s="61"/>
      <c r="R613" s="61"/>
      <c r="S613" s="62"/>
      <c r="T613" s="62"/>
      <c r="U613" s="62"/>
    </row>
    <row r="614" spans="1:21" ht="15.75" customHeight="1" x14ac:dyDescent="0.3">
      <c r="A614" s="36"/>
      <c r="B614" s="36"/>
      <c r="C614" s="6"/>
      <c r="D614" s="36"/>
      <c r="E614" s="36"/>
      <c r="F614" s="36"/>
      <c r="G614" s="6"/>
      <c r="H614" s="36"/>
      <c r="I614" s="36"/>
      <c r="J614" s="37"/>
      <c r="K614" s="60"/>
      <c r="M614" s="61"/>
      <c r="N614" s="61"/>
      <c r="O614" s="61"/>
      <c r="P614" s="61"/>
      <c r="Q614" s="61"/>
      <c r="R614" s="61"/>
      <c r="S614" s="62"/>
      <c r="T614" s="62"/>
      <c r="U614" s="62"/>
    </row>
    <row r="615" spans="1:21" ht="15.75" customHeight="1" x14ac:dyDescent="0.3">
      <c r="A615" s="36"/>
      <c r="B615" s="36"/>
      <c r="C615" s="6"/>
      <c r="D615" s="36"/>
      <c r="E615" s="36"/>
      <c r="F615" s="36"/>
      <c r="G615" s="6"/>
      <c r="H615" s="36"/>
      <c r="I615" s="36"/>
      <c r="J615" s="37"/>
      <c r="K615" s="60"/>
      <c r="M615" s="61"/>
      <c r="N615" s="61"/>
      <c r="O615" s="61"/>
      <c r="P615" s="61"/>
      <c r="Q615" s="61"/>
      <c r="R615" s="61"/>
      <c r="S615" s="62"/>
      <c r="T615" s="62"/>
      <c r="U615" s="62"/>
    </row>
    <row r="616" spans="1:21" ht="15.75" customHeight="1" x14ac:dyDescent="0.3">
      <c r="A616" s="36"/>
      <c r="B616" s="36"/>
      <c r="C616" s="6"/>
      <c r="D616" s="36"/>
      <c r="E616" s="36"/>
      <c r="F616" s="36"/>
      <c r="G616" s="6"/>
      <c r="H616" s="36"/>
      <c r="I616" s="36"/>
      <c r="J616" s="37"/>
      <c r="K616" s="60"/>
      <c r="M616" s="61"/>
      <c r="N616" s="61"/>
      <c r="O616" s="61"/>
      <c r="P616" s="61"/>
      <c r="Q616" s="61"/>
      <c r="R616" s="61"/>
      <c r="S616" s="62"/>
      <c r="T616" s="62"/>
      <c r="U616" s="62"/>
    </row>
    <row r="617" spans="1:21" ht="15.75" customHeight="1" x14ac:dyDescent="0.3">
      <c r="A617" s="36"/>
      <c r="B617" s="36"/>
      <c r="C617" s="6"/>
      <c r="D617" s="36"/>
      <c r="E617" s="36"/>
      <c r="F617" s="36"/>
      <c r="G617" s="6"/>
      <c r="H617" s="36"/>
      <c r="I617" s="36"/>
      <c r="J617" s="37"/>
      <c r="K617" s="60"/>
      <c r="M617" s="61"/>
      <c r="N617" s="61"/>
      <c r="O617" s="61"/>
      <c r="P617" s="61"/>
      <c r="Q617" s="61"/>
      <c r="R617" s="61"/>
      <c r="S617" s="62"/>
      <c r="T617" s="62"/>
      <c r="U617" s="62"/>
    </row>
    <row r="618" spans="1:21" ht="15.75" customHeight="1" x14ac:dyDescent="0.3">
      <c r="A618" s="36"/>
      <c r="B618" s="36"/>
      <c r="C618" s="6"/>
      <c r="D618" s="36"/>
      <c r="E618" s="36"/>
      <c r="F618" s="36"/>
      <c r="G618" s="6"/>
      <c r="H618" s="36"/>
      <c r="I618" s="36"/>
      <c r="J618" s="37"/>
      <c r="K618" s="60"/>
      <c r="M618" s="61"/>
      <c r="N618" s="61"/>
      <c r="O618" s="61"/>
      <c r="P618" s="61"/>
      <c r="Q618" s="61"/>
      <c r="R618" s="61"/>
      <c r="S618" s="62"/>
      <c r="T618" s="62"/>
      <c r="U618" s="62"/>
    </row>
    <row r="619" spans="1:21" ht="15.75" customHeight="1" x14ac:dyDescent="0.3">
      <c r="A619" s="36"/>
      <c r="B619" s="36"/>
      <c r="C619" s="6"/>
      <c r="D619" s="36"/>
      <c r="E619" s="36"/>
      <c r="F619" s="36"/>
      <c r="G619" s="6"/>
      <c r="H619" s="36"/>
      <c r="I619" s="36"/>
      <c r="J619" s="37"/>
      <c r="K619" s="60"/>
      <c r="M619" s="61"/>
      <c r="N619" s="61"/>
      <c r="O619" s="61"/>
      <c r="P619" s="61"/>
      <c r="Q619" s="61"/>
      <c r="R619" s="61"/>
      <c r="S619" s="62"/>
      <c r="T619" s="62"/>
      <c r="U619" s="62"/>
    </row>
    <row r="620" spans="1:21" ht="15.75" customHeight="1" x14ac:dyDescent="0.3">
      <c r="A620" s="36"/>
      <c r="B620" s="36"/>
      <c r="C620" s="6"/>
      <c r="D620" s="36"/>
      <c r="E620" s="36"/>
      <c r="F620" s="36"/>
      <c r="G620" s="6"/>
      <c r="H620" s="36"/>
      <c r="I620" s="36"/>
      <c r="J620" s="37"/>
      <c r="K620" s="60"/>
      <c r="M620" s="61"/>
      <c r="N620" s="61"/>
      <c r="O620" s="61"/>
      <c r="P620" s="61"/>
      <c r="Q620" s="61"/>
      <c r="R620" s="61"/>
      <c r="S620" s="62"/>
      <c r="T620" s="62"/>
      <c r="U620" s="62"/>
    </row>
    <row r="621" spans="1:21" ht="15.75" customHeight="1" x14ac:dyDescent="0.3">
      <c r="A621" s="36"/>
      <c r="B621" s="36"/>
      <c r="C621" s="6"/>
      <c r="D621" s="36"/>
      <c r="E621" s="36"/>
      <c r="F621" s="36"/>
      <c r="G621" s="6"/>
      <c r="H621" s="36"/>
      <c r="I621" s="36"/>
      <c r="J621" s="37"/>
      <c r="K621" s="60"/>
      <c r="M621" s="61"/>
      <c r="N621" s="61"/>
      <c r="O621" s="61"/>
      <c r="P621" s="61"/>
      <c r="Q621" s="61"/>
      <c r="R621" s="61"/>
      <c r="S621" s="62"/>
      <c r="T621" s="62"/>
      <c r="U621" s="62"/>
    </row>
    <row r="622" spans="1:21" ht="15.75" customHeight="1" x14ac:dyDescent="0.3">
      <c r="A622" s="36"/>
      <c r="B622" s="36"/>
      <c r="C622" s="6"/>
      <c r="D622" s="36"/>
      <c r="E622" s="36"/>
      <c r="F622" s="36"/>
      <c r="G622" s="6"/>
      <c r="H622" s="36"/>
      <c r="I622" s="36"/>
      <c r="J622" s="37"/>
      <c r="K622" s="60"/>
      <c r="M622" s="61"/>
      <c r="N622" s="61"/>
      <c r="O622" s="61"/>
      <c r="P622" s="61"/>
      <c r="Q622" s="61"/>
      <c r="R622" s="61"/>
      <c r="S622" s="62"/>
      <c r="T622" s="62"/>
      <c r="U622" s="62"/>
    </row>
    <row r="623" spans="1:21" ht="15.75" customHeight="1" x14ac:dyDescent="0.3">
      <c r="A623" s="36"/>
      <c r="B623" s="36"/>
      <c r="C623" s="6"/>
      <c r="D623" s="36"/>
      <c r="E623" s="36"/>
      <c r="F623" s="36"/>
      <c r="G623" s="6"/>
      <c r="H623" s="36"/>
      <c r="I623" s="36"/>
      <c r="J623" s="37"/>
      <c r="K623" s="60"/>
      <c r="M623" s="61"/>
      <c r="N623" s="61"/>
      <c r="O623" s="61"/>
      <c r="P623" s="61"/>
      <c r="Q623" s="61"/>
      <c r="R623" s="61"/>
      <c r="S623" s="62"/>
      <c r="T623" s="62"/>
      <c r="U623" s="62"/>
    </row>
    <row r="624" spans="1:21" ht="15.75" customHeight="1" x14ac:dyDescent="0.3">
      <c r="A624" s="36"/>
      <c r="B624" s="36"/>
      <c r="C624" s="6"/>
      <c r="D624" s="36"/>
      <c r="E624" s="36"/>
      <c r="F624" s="36"/>
      <c r="G624" s="6"/>
      <c r="H624" s="36"/>
      <c r="I624" s="36"/>
      <c r="J624" s="37"/>
      <c r="K624" s="60"/>
      <c r="M624" s="61"/>
      <c r="N624" s="61"/>
      <c r="O624" s="61"/>
      <c r="P624" s="61"/>
      <c r="Q624" s="61"/>
      <c r="R624" s="61"/>
      <c r="S624" s="62"/>
      <c r="T624" s="62"/>
      <c r="U624" s="62"/>
    </row>
    <row r="625" spans="1:21" ht="15.75" customHeight="1" x14ac:dyDescent="0.3">
      <c r="A625" s="36"/>
      <c r="B625" s="36"/>
      <c r="C625" s="6"/>
      <c r="D625" s="36"/>
      <c r="E625" s="36"/>
      <c r="F625" s="36"/>
      <c r="G625" s="6"/>
      <c r="H625" s="36"/>
      <c r="I625" s="36"/>
      <c r="J625" s="37"/>
      <c r="K625" s="60"/>
      <c r="M625" s="61"/>
      <c r="N625" s="61"/>
      <c r="O625" s="61"/>
      <c r="P625" s="61"/>
      <c r="Q625" s="61"/>
      <c r="R625" s="61"/>
      <c r="S625" s="62"/>
      <c r="T625" s="62"/>
      <c r="U625" s="62"/>
    </row>
    <row r="626" spans="1:21" ht="15.75" customHeight="1" x14ac:dyDescent="0.3">
      <c r="A626" s="36"/>
      <c r="B626" s="36"/>
      <c r="C626" s="6"/>
      <c r="D626" s="36"/>
      <c r="E626" s="36"/>
      <c r="F626" s="36"/>
      <c r="G626" s="6"/>
      <c r="H626" s="36"/>
      <c r="I626" s="36"/>
      <c r="J626" s="37"/>
      <c r="K626" s="60"/>
      <c r="M626" s="61"/>
      <c r="N626" s="61"/>
      <c r="O626" s="61"/>
      <c r="P626" s="61"/>
      <c r="Q626" s="61"/>
      <c r="R626" s="61"/>
      <c r="S626" s="62"/>
      <c r="T626" s="62"/>
      <c r="U626" s="62"/>
    </row>
    <row r="627" spans="1:21" ht="15.75" customHeight="1" x14ac:dyDescent="0.3">
      <c r="A627" s="36"/>
      <c r="B627" s="36"/>
      <c r="C627" s="6"/>
      <c r="D627" s="36"/>
      <c r="E627" s="36"/>
      <c r="F627" s="36"/>
      <c r="G627" s="6"/>
      <c r="H627" s="36"/>
      <c r="I627" s="36"/>
      <c r="J627" s="37"/>
      <c r="K627" s="60"/>
      <c r="M627" s="61"/>
      <c r="N627" s="61"/>
      <c r="O627" s="61"/>
      <c r="P627" s="61"/>
      <c r="Q627" s="61"/>
      <c r="R627" s="61"/>
      <c r="S627" s="62"/>
      <c r="T627" s="62"/>
      <c r="U627" s="62"/>
    </row>
    <row r="628" spans="1:21" ht="15.75" customHeight="1" x14ac:dyDescent="0.3">
      <c r="A628" s="36"/>
      <c r="B628" s="36"/>
      <c r="C628" s="6"/>
      <c r="D628" s="36"/>
      <c r="E628" s="36"/>
      <c r="F628" s="36"/>
      <c r="G628" s="6"/>
      <c r="H628" s="36"/>
      <c r="I628" s="36"/>
      <c r="J628" s="37"/>
      <c r="K628" s="60"/>
      <c r="M628" s="61"/>
      <c r="N628" s="61"/>
      <c r="O628" s="61"/>
      <c r="P628" s="61"/>
      <c r="Q628" s="61"/>
      <c r="R628" s="61"/>
      <c r="S628" s="62"/>
      <c r="T628" s="62"/>
      <c r="U628" s="62"/>
    </row>
    <row r="629" spans="1:21" ht="15.75" customHeight="1" x14ac:dyDescent="0.3">
      <c r="A629" s="36"/>
      <c r="B629" s="36"/>
      <c r="C629" s="6"/>
      <c r="D629" s="36"/>
      <c r="E629" s="36"/>
      <c r="F629" s="36"/>
      <c r="G629" s="6"/>
      <c r="H629" s="36"/>
      <c r="I629" s="36"/>
      <c r="J629" s="37"/>
      <c r="K629" s="60"/>
      <c r="M629" s="61"/>
      <c r="N629" s="61"/>
      <c r="O629" s="61"/>
      <c r="P629" s="61"/>
      <c r="Q629" s="61"/>
      <c r="R629" s="61"/>
      <c r="S629" s="62"/>
      <c r="T629" s="62"/>
      <c r="U629" s="62"/>
    </row>
    <row r="630" spans="1:21" ht="15.75" customHeight="1" x14ac:dyDescent="0.3">
      <c r="A630" s="36"/>
      <c r="B630" s="36"/>
      <c r="C630" s="6"/>
      <c r="D630" s="36"/>
      <c r="E630" s="36"/>
      <c r="F630" s="36"/>
      <c r="G630" s="6"/>
      <c r="H630" s="36"/>
      <c r="I630" s="36"/>
      <c r="J630" s="37"/>
      <c r="K630" s="60"/>
      <c r="M630" s="61"/>
      <c r="N630" s="61"/>
      <c r="O630" s="61"/>
      <c r="P630" s="61"/>
      <c r="Q630" s="61"/>
      <c r="R630" s="61"/>
      <c r="S630" s="62"/>
      <c r="T630" s="62"/>
      <c r="U630" s="62"/>
    </row>
    <row r="631" spans="1:21" ht="15.75" customHeight="1" x14ac:dyDescent="0.3">
      <c r="A631" s="36"/>
      <c r="B631" s="36"/>
      <c r="C631" s="6"/>
      <c r="D631" s="36"/>
      <c r="E631" s="36"/>
      <c r="F631" s="36"/>
      <c r="G631" s="6"/>
      <c r="H631" s="36"/>
      <c r="I631" s="36"/>
      <c r="J631" s="37"/>
      <c r="K631" s="60"/>
      <c r="M631" s="61"/>
      <c r="N631" s="61"/>
      <c r="O631" s="61"/>
      <c r="P631" s="61"/>
      <c r="Q631" s="61"/>
      <c r="R631" s="61"/>
      <c r="S631" s="62"/>
      <c r="T631" s="62"/>
      <c r="U631" s="62"/>
    </row>
    <row r="632" spans="1:21" ht="15.75" customHeight="1" x14ac:dyDescent="0.3">
      <c r="A632" s="36"/>
      <c r="B632" s="36"/>
      <c r="C632" s="6"/>
      <c r="D632" s="36"/>
      <c r="E632" s="36"/>
      <c r="F632" s="36"/>
      <c r="G632" s="6"/>
      <c r="H632" s="36"/>
      <c r="I632" s="36"/>
      <c r="J632" s="37"/>
      <c r="K632" s="60"/>
      <c r="M632" s="61"/>
      <c r="N632" s="61"/>
      <c r="O632" s="61"/>
      <c r="P632" s="61"/>
      <c r="Q632" s="61"/>
      <c r="R632" s="61"/>
      <c r="S632" s="62"/>
      <c r="T632" s="62"/>
      <c r="U632" s="62"/>
    </row>
    <row r="633" spans="1:21" ht="15.75" customHeight="1" x14ac:dyDescent="0.3">
      <c r="A633" s="36"/>
      <c r="B633" s="36"/>
      <c r="C633" s="6"/>
      <c r="D633" s="36"/>
      <c r="E633" s="36"/>
      <c r="F633" s="36"/>
      <c r="G633" s="6"/>
      <c r="H633" s="36"/>
      <c r="I633" s="36"/>
      <c r="J633" s="37"/>
      <c r="K633" s="60"/>
      <c r="M633" s="61"/>
      <c r="N633" s="61"/>
      <c r="O633" s="61"/>
      <c r="P633" s="61"/>
      <c r="Q633" s="61"/>
      <c r="R633" s="61"/>
      <c r="S633" s="62"/>
      <c r="T633" s="62"/>
      <c r="U633" s="62"/>
    </row>
    <row r="634" spans="1:21" ht="15.75" customHeight="1" x14ac:dyDescent="0.3">
      <c r="A634" s="36"/>
      <c r="B634" s="36"/>
      <c r="C634" s="6"/>
      <c r="D634" s="36"/>
      <c r="E634" s="36"/>
      <c r="F634" s="36"/>
      <c r="G634" s="6"/>
      <c r="H634" s="36"/>
      <c r="I634" s="36"/>
      <c r="J634" s="37"/>
      <c r="K634" s="60"/>
      <c r="M634" s="61"/>
      <c r="N634" s="61"/>
      <c r="O634" s="61"/>
      <c r="P634" s="61"/>
      <c r="Q634" s="61"/>
      <c r="R634" s="61"/>
      <c r="S634" s="62"/>
      <c r="T634" s="62"/>
      <c r="U634" s="62"/>
    </row>
    <row r="635" spans="1:21" ht="15.75" customHeight="1" x14ac:dyDescent="0.3">
      <c r="A635" s="36"/>
      <c r="B635" s="36"/>
      <c r="C635" s="6"/>
      <c r="D635" s="36"/>
      <c r="E635" s="36"/>
      <c r="F635" s="36"/>
      <c r="G635" s="6"/>
      <c r="H635" s="36"/>
      <c r="I635" s="36"/>
      <c r="J635" s="37"/>
      <c r="K635" s="60"/>
      <c r="M635" s="61"/>
      <c r="N635" s="61"/>
      <c r="O635" s="61"/>
      <c r="P635" s="61"/>
      <c r="Q635" s="61"/>
      <c r="R635" s="61"/>
      <c r="S635" s="62"/>
      <c r="T635" s="62"/>
      <c r="U635" s="62"/>
    </row>
    <row r="636" spans="1:21" ht="15.75" customHeight="1" x14ac:dyDescent="0.3">
      <c r="A636" s="36"/>
      <c r="B636" s="36"/>
      <c r="C636" s="6"/>
      <c r="D636" s="36"/>
      <c r="E636" s="36"/>
      <c r="F636" s="36"/>
      <c r="G636" s="6"/>
      <c r="H636" s="36"/>
      <c r="I636" s="36"/>
      <c r="J636" s="37"/>
      <c r="K636" s="60"/>
      <c r="M636" s="61"/>
      <c r="N636" s="61"/>
      <c r="O636" s="61"/>
      <c r="P636" s="61"/>
      <c r="Q636" s="61"/>
      <c r="R636" s="61"/>
      <c r="S636" s="62"/>
      <c r="T636" s="62"/>
      <c r="U636" s="62"/>
    </row>
    <row r="637" spans="1:21" ht="15.75" customHeight="1" x14ac:dyDescent="0.3">
      <c r="A637" s="36"/>
      <c r="B637" s="36"/>
      <c r="C637" s="6"/>
      <c r="D637" s="36"/>
      <c r="E637" s="36"/>
      <c r="F637" s="36"/>
      <c r="G637" s="6"/>
      <c r="H637" s="36"/>
      <c r="I637" s="36"/>
      <c r="J637" s="37"/>
      <c r="K637" s="60"/>
      <c r="M637" s="61"/>
      <c r="N637" s="61"/>
      <c r="O637" s="61"/>
      <c r="P637" s="61"/>
      <c r="Q637" s="61"/>
      <c r="R637" s="61"/>
      <c r="S637" s="62"/>
      <c r="T637" s="62"/>
      <c r="U637" s="62"/>
    </row>
    <row r="638" spans="1:21" ht="15.75" customHeight="1" x14ac:dyDescent="0.3">
      <c r="A638" s="36"/>
      <c r="B638" s="36"/>
      <c r="C638" s="6"/>
      <c r="D638" s="36"/>
      <c r="E638" s="36"/>
      <c r="F638" s="36"/>
      <c r="G638" s="6"/>
      <c r="H638" s="36"/>
      <c r="I638" s="36"/>
      <c r="J638" s="37"/>
      <c r="K638" s="60"/>
      <c r="M638" s="61"/>
      <c r="N638" s="61"/>
      <c r="O638" s="61"/>
      <c r="P638" s="61"/>
      <c r="Q638" s="61"/>
      <c r="R638" s="61"/>
      <c r="S638" s="62"/>
      <c r="T638" s="62"/>
      <c r="U638" s="62"/>
    </row>
    <row r="639" spans="1:21" ht="15.75" customHeight="1" x14ac:dyDescent="0.3">
      <c r="A639" s="36"/>
      <c r="B639" s="36"/>
      <c r="C639" s="6"/>
      <c r="D639" s="36"/>
      <c r="E639" s="36"/>
      <c r="F639" s="36"/>
      <c r="G639" s="6"/>
      <c r="H639" s="36"/>
      <c r="I639" s="36"/>
      <c r="J639" s="37"/>
      <c r="K639" s="60"/>
      <c r="M639" s="61"/>
      <c r="N639" s="61"/>
      <c r="O639" s="61"/>
      <c r="P639" s="61"/>
      <c r="Q639" s="61"/>
      <c r="R639" s="61"/>
      <c r="S639" s="62"/>
      <c r="T639" s="62"/>
      <c r="U639" s="62"/>
    </row>
    <row r="640" spans="1:21" ht="15.75" customHeight="1" x14ac:dyDescent="0.3">
      <c r="A640" s="36"/>
      <c r="B640" s="36"/>
      <c r="C640" s="6"/>
      <c r="D640" s="36"/>
      <c r="E640" s="36"/>
      <c r="F640" s="36"/>
      <c r="G640" s="6"/>
      <c r="H640" s="36"/>
      <c r="I640" s="36"/>
      <c r="J640" s="37"/>
      <c r="K640" s="60"/>
      <c r="M640" s="61"/>
      <c r="N640" s="61"/>
      <c r="O640" s="61"/>
      <c r="P640" s="61"/>
      <c r="Q640" s="61"/>
      <c r="R640" s="61"/>
      <c r="S640" s="62"/>
      <c r="T640" s="62"/>
      <c r="U640" s="62"/>
    </row>
    <row r="641" spans="1:21" ht="15.75" customHeight="1" x14ac:dyDescent="0.3">
      <c r="A641" s="36"/>
      <c r="B641" s="36"/>
      <c r="C641" s="6"/>
      <c r="D641" s="36"/>
      <c r="E641" s="36"/>
      <c r="F641" s="36"/>
      <c r="G641" s="6"/>
      <c r="H641" s="36"/>
      <c r="I641" s="36"/>
      <c r="J641" s="37"/>
      <c r="K641" s="60"/>
      <c r="M641" s="61"/>
      <c r="N641" s="61"/>
      <c r="O641" s="61"/>
      <c r="P641" s="61"/>
      <c r="Q641" s="61"/>
      <c r="R641" s="61"/>
      <c r="S641" s="62"/>
      <c r="T641" s="62"/>
      <c r="U641" s="62"/>
    </row>
    <row r="642" spans="1:21" ht="15.75" customHeight="1" x14ac:dyDescent="0.3">
      <c r="A642" s="36"/>
      <c r="B642" s="36"/>
      <c r="C642" s="6"/>
      <c r="D642" s="36"/>
      <c r="E642" s="36"/>
      <c r="F642" s="36"/>
      <c r="G642" s="6"/>
      <c r="H642" s="36"/>
      <c r="I642" s="36"/>
      <c r="J642" s="37"/>
      <c r="K642" s="60"/>
      <c r="M642" s="61"/>
      <c r="N642" s="61"/>
      <c r="O642" s="61"/>
      <c r="P642" s="61"/>
      <c r="Q642" s="61"/>
      <c r="R642" s="61"/>
      <c r="S642" s="62"/>
      <c r="T642" s="62"/>
      <c r="U642" s="62"/>
    </row>
    <row r="643" spans="1:21" ht="15.75" customHeight="1" x14ac:dyDescent="0.3">
      <c r="A643" s="36"/>
      <c r="B643" s="36"/>
      <c r="C643" s="6"/>
      <c r="D643" s="36"/>
      <c r="E643" s="36"/>
      <c r="F643" s="36"/>
      <c r="G643" s="6"/>
      <c r="H643" s="36"/>
      <c r="I643" s="36"/>
      <c r="J643" s="37"/>
      <c r="K643" s="60"/>
      <c r="M643" s="61"/>
      <c r="N643" s="61"/>
      <c r="O643" s="61"/>
      <c r="P643" s="61"/>
      <c r="Q643" s="61"/>
      <c r="R643" s="61"/>
      <c r="S643" s="62"/>
      <c r="T643" s="62"/>
      <c r="U643" s="62"/>
    </row>
    <row r="644" spans="1:21" ht="15.75" customHeight="1" x14ac:dyDescent="0.3">
      <c r="A644" s="36"/>
      <c r="B644" s="36"/>
      <c r="C644" s="6"/>
      <c r="D644" s="36"/>
      <c r="E644" s="36"/>
      <c r="F644" s="36"/>
      <c r="G644" s="6"/>
      <c r="H644" s="36"/>
      <c r="I644" s="36"/>
      <c r="J644" s="37"/>
      <c r="K644" s="60"/>
      <c r="M644" s="61"/>
      <c r="N644" s="61"/>
      <c r="O644" s="61"/>
      <c r="P644" s="61"/>
      <c r="Q644" s="61"/>
      <c r="R644" s="61"/>
      <c r="S644" s="62"/>
      <c r="T644" s="62"/>
      <c r="U644" s="62"/>
    </row>
    <row r="645" spans="1:21" ht="15.75" customHeight="1" x14ac:dyDescent="0.3">
      <c r="A645" s="36"/>
      <c r="B645" s="36"/>
      <c r="C645" s="6"/>
      <c r="D645" s="36"/>
      <c r="E645" s="36"/>
      <c r="F645" s="36"/>
      <c r="G645" s="6"/>
      <c r="H645" s="36"/>
      <c r="I645" s="36"/>
      <c r="J645" s="37"/>
      <c r="K645" s="60"/>
      <c r="M645" s="61"/>
      <c r="N645" s="61"/>
      <c r="O645" s="61"/>
      <c r="P645" s="61"/>
      <c r="Q645" s="61"/>
      <c r="R645" s="61"/>
      <c r="S645" s="62"/>
      <c r="T645" s="62"/>
      <c r="U645" s="62"/>
    </row>
    <row r="646" spans="1:21" ht="15.75" customHeight="1" x14ac:dyDescent="0.3">
      <c r="A646" s="36"/>
      <c r="B646" s="36"/>
      <c r="C646" s="6"/>
      <c r="D646" s="36"/>
      <c r="E646" s="36"/>
      <c r="F646" s="36"/>
      <c r="G646" s="6"/>
      <c r="H646" s="36"/>
      <c r="I646" s="36"/>
      <c r="J646" s="37"/>
      <c r="K646" s="60"/>
      <c r="M646" s="61"/>
      <c r="N646" s="61"/>
      <c r="O646" s="61"/>
      <c r="P646" s="61"/>
      <c r="Q646" s="61"/>
      <c r="R646" s="61"/>
      <c r="S646" s="62"/>
      <c r="T646" s="62"/>
      <c r="U646" s="62"/>
    </row>
    <row r="647" spans="1:21" ht="15.75" customHeight="1" x14ac:dyDescent="0.3">
      <c r="A647" s="36"/>
      <c r="B647" s="36"/>
      <c r="C647" s="6"/>
      <c r="D647" s="36"/>
      <c r="E647" s="36"/>
      <c r="F647" s="36"/>
      <c r="G647" s="6"/>
      <c r="H647" s="36"/>
      <c r="I647" s="36"/>
      <c r="J647" s="37"/>
      <c r="K647" s="60"/>
      <c r="M647" s="61"/>
      <c r="N647" s="61"/>
      <c r="O647" s="61"/>
      <c r="P647" s="61"/>
      <c r="Q647" s="61"/>
      <c r="R647" s="61"/>
      <c r="S647" s="62"/>
      <c r="T647" s="62"/>
      <c r="U647" s="62"/>
    </row>
    <row r="648" spans="1:21" ht="15.75" customHeight="1" x14ac:dyDescent="0.3">
      <c r="A648" s="36"/>
      <c r="B648" s="36"/>
      <c r="C648" s="6"/>
      <c r="D648" s="36"/>
      <c r="E648" s="36"/>
      <c r="F648" s="36"/>
      <c r="G648" s="6"/>
      <c r="H648" s="36"/>
      <c r="I648" s="36"/>
      <c r="J648" s="37"/>
      <c r="K648" s="60"/>
      <c r="M648" s="61"/>
      <c r="N648" s="61"/>
      <c r="O648" s="61"/>
      <c r="P648" s="61"/>
      <c r="Q648" s="61"/>
      <c r="R648" s="61"/>
      <c r="S648" s="62"/>
      <c r="T648" s="62"/>
      <c r="U648" s="62"/>
    </row>
    <row r="649" spans="1:21" ht="15.75" customHeight="1" x14ac:dyDescent="0.3">
      <c r="A649" s="36"/>
      <c r="B649" s="36"/>
      <c r="C649" s="6"/>
      <c r="D649" s="36"/>
      <c r="E649" s="36"/>
      <c r="F649" s="36"/>
      <c r="G649" s="6"/>
      <c r="H649" s="36"/>
      <c r="I649" s="36"/>
      <c r="J649" s="37"/>
      <c r="K649" s="60"/>
      <c r="M649" s="61"/>
      <c r="N649" s="61"/>
      <c r="O649" s="61"/>
      <c r="P649" s="61"/>
      <c r="Q649" s="61"/>
      <c r="R649" s="61"/>
      <c r="S649" s="62"/>
      <c r="T649" s="62"/>
      <c r="U649" s="62"/>
    </row>
    <row r="650" spans="1:21" ht="15.75" customHeight="1" x14ac:dyDescent="0.3">
      <c r="A650" s="36"/>
      <c r="B650" s="36"/>
      <c r="C650" s="6"/>
      <c r="D650" s="36"/>
      <c r="E650" s="36"/>
      <c r="F650" s="36"/>
      <c r="G650" s="6"/>
      <c r="H650" s="36"/>
      <c r="I650" s="36"/>
      <c r="J650" s="37"/>
      <c r="K650" s="60"/>
      <c r="M650" s="61"/>
      <c r="N650" s="61"/>
      <c r="O650" s="61"/>
      <c r="P650" s="61"/>
      <c r="Q650" s="61"/>
      <c r="R650" s="61"/>
      <c r="S650" s="62"/>
      <c r="T650" s="62"/>
      <c r="U650" s="62"/>
    </row>
    <row r="651" spans="1:21" ht="15.75" customHeight="1" x14ac:dyDescent="0.3">
      <c r="A651" s="36"/>
      <c r="B651" s="36"/>
      <c r="C651" s="6"/>
      <c r="D651" s="36"/>
      <c r="E651" s="36"/>
      <c r="F651" s="36"/>
      <c r="G651" s="6"/>
      <c r="H651" s="36"/>
      <c r="I651" s="36"/>
      <c r="J651" s="37"/>
      <c r="K651" s="60"/>
      <c r="M651" s="61"/>
      <c r="N651" s="61"/>
      <c r="O651" s="61"/>
      <c r="P651" s="61"/>
      <c r="Q651" s="61"/>
      <c r="R651" s="61"/>
      <c r="S651" s="62"/>
      <c r="T651" s="62"/>
      <c r="U651" s="62"/>
    </row>
    <row r="652" spans="1:21" ht="15.75" customHeight="1" x14ac:dyDescent="0.3">
      <c r="A652" s="36"/>
      <c r="B652" s="36"/>
      <c r="C652" s="6"/>
      <c r="D652" s="36"/>
      <c r="E652" s="36"/>
      <c r="F652" s="36"/>
      <c r="G652" s="6"/>
      <c r="H652" s="36"/>
      <c r="I652" s="36"/>
      <c r="J652" s="37"/>
      <c r="K652" s="60"/>
      <c r="M652" s="61"/>
      <c r="N652" s="61"/>
      <c r="O652" s="61"/>
      <c r="P652" s="61"/>
      <c r="Q652" s="61"/>
      <c r="R652" s="61"/>
      <c r="S652" s="62"/>
      <c r="T652" s="62"/>
      <c r="U652" s="62"/>
    </row>
    <row r="653" spans="1:21" ht="15.75" customHeight="1" x14ac:dyDescent="0.3">
      <c r="A653" s="36"/>
      <c r="B653" s="36"/>
      <c r="C653" s="6"/>
      <c r="D653" s="36"/>
      <c r="E653" s="36"/>
      <c r="F653" s="36"/>
      <c r="G653" s="6"/>
      <c r="H653" s="36"/>
      <c r="I653" s="36"/>
      <c r="J653" s="37"/>
      <c r="K653" s="60"/>
      <c r="M653" s="61"/>
      <c r="N653" s="61"/>
      <c r="O653" s="61"/>
      <c r="P653" s="61"/>
      <c r="Q653" s="61"/>
      <c r="R653" s="61"/>
      <c r="S653" s="62"/>
      <c r="T653" s="62"/>
      <c r="U653" s="62"/>
    </row>
    <row r="654" spans="1:21" ht="15.75" customHeight="1" x14ac:dyDescent="0.3">
      <c r="A654" s="36"/>
      <c r="B654" s="36"/>
      <c r="C654" s="6"/>
      <c r="D654" s="36"/>
      <c r="E654" s="36"/>
      <c r="F654" s="36"/>
      <c r="G654" s="6"/>
      <c r="H654" s="36"/>
      <c r="I654" s="36"/>
      <c r="J654" s="37"/>
      <c r="K654" s="60"/>
      <c r="M654" s="61"/>
      <c r="N654" s="61"/>
      <c r="O654" s="61"/>
      <c r="P654" s="61"/>
      <c r="Q654" s="61"/>
      <c r="R654" s="61"/>
      <c r="S654" s="62"/>
      <c r="T654" s="62"/>
      <c r="U654" s="62"/>
    </row>
    <row r="655" spans="1:21" ht="15.75" customHeight="1" x14ac:dyDescent="0.3">
      <c r="A655" s="36"/>
      <c r="B655" s="36"/>
      <c r="C655" s="6"/>
      <c r="D655" s="36"/>
      <c r="E655" s="36"/>
      <c r="F655" s="36"/>
      <c r="G655" s="6"/>
      <c r="H655" s="36"/>
      <c r="I655" s="36"/>
      <c r="J655" s="37"/>
      <c r="K655" s="60"/>
      <c r="M655" s="61"/>
      <c r="N655" s="61"/>
      <c r="O655" s="61"/>
      <c r="P655" s="61"/>
      <c r="Q655" s="61"/>
      <c r="R655" s="61"/>
      <c r="S655" s="62"/>
      <c r="T655" s="62"/>
      <c r="U655" s="62"/>
    </row>
    <row r="656" spans="1:21" ht="15.75" customHeight="1" x14ac:dyDescent="0.3">
      <c r="A656" s="36"/>
      <c r="B656" s="36"/>
      <c r="C656" s="6"/>
      <c r="D656" s="36"/>
      <c r="E656" s="36"/>
      <c r="F656" s="36"/>
      <c r="G656" s="6"/>
      <c r="H656" s="36"/>
      <c r="I656" s="36"/>
      <c r="J656" s="37"/>
      <c r="K656" s="60"/>
      <c r="M656" s="61"/>
      <c r="N656" s="61"/>
      <c r="O656" s="61"/>
      <c r="P656" s="61"/>
      <c r="Q656" s="61"/>
      <c r="R656" s="61"/>
      <c r="S656" s="62"/>
      <c r="T656" s="62"/>
      <c r="U656" s="62"/>
    </row>
    <row r="657" spans="1:21" ht="15.75" customHeight="1" x14ac:dyDescent="0.3">
      <c r="A657" s="36"/>
      <c r="B657" s="36"/>
      <c r="C657" s="6"/>
      <c r="D657" s="36"/>
      <c r="E657" s="36"/>
      <c r="F657" s="36"/>
      <c r="G657" s="6"/>
      <c r="H657" s="36"/>
      <c r="I657" s="36"/>
      <c r="J657" s="37"/>
      <c r="K657" s="60"/>
      <c r="M657" s="61"/>
      <c r="N657" s="61"/>
      <c r="O657" s="61"/>
      <c r="P657" s="61"/>
      <c r="Q657" s="61"/>
      <c r="R657" s="61"/>
      <c r="S657" s="62"/>
      <c r="T657" s="62"/>
      <c r="U657" s="62"/>
    </row>
    <row r="658" spans="1:21" ht="15.75" customHeight="1" x14ac:dyDescent="0.3">
      <c r="A658" s="36"/>
      <c r="B658" s="36"/>
      <c r="C658" s="6"/>
      <c r="D658" s="36"/>
      <c r="E658" s="36"/>
      <c r="F658" s="36"/>
      <c r="G658" s="6"/>
      <c r="H658" s="36"/>
      <c r="I658" s="36"/>
      <c r="J658" s="37"/>
      <c r="K658" s="60"/>
      <c r="M658" s="61"/>
      <c r="N658" s="61"/>
      <c r="O658" s="61"/>
      <c r="P658" s="61"/>
      <c r="Q658" s="61"/>
      <c r="R658" s="61"/>
      <c r="S658" s="62"/>
      <c r="T658" s="62"/>
      <c r="U658" s="62"/>
    </row>
    <row r="659" spans="1:21" ht="15.75" customHeight="1" x14ac:dyDescent="0.3">
      <c r="A659" s="36"/>
      <c r="B659" s="36"/>
      <c r="C659" s="6"/>
      <c r="D659" s="36"/>
      <c r="E659" s="36"/>
      <c r="F659" s="36"/>
      <c r="G659" s="6"/>
      <c r="H659" s="36"/>
      <c r="I659" s="36"/>
      <c r="J659" s="37"/>
      <c r="K659" s="60"/>
      <c r="M659" s="61"/>
      <c r="N659" s="61"/>
      <c r="O659" s="61"/>
      <c r="P659" s="61"/>
      <c r="Q659" s="61"/>
      <c r="R659" s="61"/>
      <c r="S659" s="62"/>
      <c r="T659" s="62"/>
      <c r="U659" s="62"/>
    </row>
    <row r="660" spans="1:21" ht="15.75" customHeight="1" x14ac:dyDescent="0.3">
      <c r="A660" s="36"/>
      <c r="B660" s="36"/>
      <c r="C660" s="6"/>
      <c r="D660" s="36"/>
      <c r="E660" s="36"/>
      <c r="F660" s="36"/>
      <c r="G660" s="6"/>
      <c r="H660" s="36"/>
      <c r="I660" s="36"/>
      <c r="J660" s="37"/>
      <c r="K660" s="60"/>
      <c r="M660" s="61"/>
      <c r="N660" s="61"/>
      <c r="O660" s="61"/>
      <c r="P660" s="61"/>
      <c r="Q660" s="61"/>
      <c r="R660" s="61"/>
      <c r="S660" s="62"/>
      <c r="T660" s="62"/>
      <c r="U660" s="62"/>
    </row>
    <row r="661" spans="1:21" ht="15.75" customHeight="1" x14ac:dyDescent="0.3">
      <c r="A661" s="36"/>
      <c r="B661" s="36"/>
      <c r="C661" s="6"/>
      <c r="D661" s="36"/>
      <c r="E661" s="36"/>
      <c r="F661" s="36"/>
      <c r="G661" s="6"/>
      <c r="H661" s="36"/>
      <c r="I661" s="36"/>
      <c r="J661" s="37"/>
      <c r="K661" s="60"/>
      <c r="M661" s="61"/>
      <c r="N661" s="61"/>
      <c r="O661" s="61"/>
      <c r="P661" s="61"/>
      <c r="Q661" s="61"/>
      <c r="R661" s="61"/>
      <c r="S661" s="62"/>
      <c r="T661" s="62"/>
      <c r="U661" s="62"/>
    </row>
    <row r="662" spans="1:21" ht="15.75" customHeight="1" x14ac:dyDescent="0.3">
      <c r="A662" s="36"/>
      <c r="B662" s="36"/>
      <c r="C662" s="6"/>
      <c r="D662" s="36"/>
      <c r="E662" s="36"/>
      <c r="F662" s="36"/>
      <c r="G662" s="6"/>
      <c r="H662" s="36"/>
      <c r="I662" s="36"/>
      <c r="J662" s="37"/>
      <c r="K662" s="60"/>
      <c r="M662" s="61"/>
      <c r="N662" s="61"/>
      <c r="O662" s="61"/>
      <c r="P662" s="61"/>
      <c r="Q662" s="61"/>
      <c r="R662" s="61"/>
      <c r="S662" s="62"/>
      <c r="T662" s="62"/>
      <c r="U662" s="62"/>
    </row>
    <row r="663" spans="1:21" ht="15.75" customHeight="1" x14ac:dyDescent="0.3">
      <c r="A663" s="36"/>
      <c r="B663" s="36"/>
      <c r="C663" s="6"/>
      <c r="D663" s="36"/>
      <c r="E663" s="36"/>
      <c r="F663" s="36"/>
      <c r="G663" s="6"/>
      <c r="H663" s="36"/>
      <c r="I663" s="36"/>
      <c r="J663" s="37"/>
      <c r="K663" s="60"/>
      <c r="M663" s="61"/>
      <c r="N663" s="61"/>
      <c r="O663" s="61"/>
      <c r="P663" s="61"/>
      <c r="Q663" s="61"/>
      <c r="R663" s="61"/>
      <c r="S663" s="62"/>
      <c r="T663" s="62"/>
      <c r="U663" s="62"/>
    </row>
    <row r="664" spans="1:21" ht="15.75" customHeight="1" x14ac:dyDescent="0.3">
      <c r="A664" s="36"/>
      <c r="B664" s="36"/>
      <c r="C664" s="6"/>
      <c r="D664" s="36"/>
      <c r="E664" s="36"/>
      <c r="F664" s="36"/>
      <c r="G664" s="6"/>
      <c r="H664" s="36"/>
      <c r="I664" s="36"/>
      <c r="J664" s="37"/>
      <c r="K664" s="60"/>
      <c r="M664" s="61"/>
      <c r="N664" s="61"/>
      <c r="O664" s="61"/>
      <c r="P664" s="61"/>
      <c r="Q664" s="61"/>
      <c r="R664" s="61"/>
      <c r="S664" s="62"/>
      <c r="T664" s="62"/>
      <c r="U664" s="62"/>
    </row>
    <row r="665" spans="1:21" ht="15.75" customHeight="1" x14ac:dyDescent="0.3">
      <c r="A665" s="36"/>
      <c r="B665" s="36"/>
      <c r="C665" s="6"/>
      <c r="D665" s="36"/>
      <c r="E665" s="36"/>
      <c r="F665" s="36"/>
      <c r="G665" s="6"/>
      <c r="H665" s="36"/>
      <c r="I665" s="36"/>
      <c r="J665" s="37"/>
      <c r="K665" s="60"/>
      <c r="M665" s="61"/>
      <c r="N665" s="61"/>
      <c r="O665" s="61"/>
      <c r="P665" s="61"/>
      <c r="Q665" s="61"/>
      <c r="R665" s="61"/>
      <c r="S665" s="62"/>
      <c r="T665" s="62"/>
      <c r="U665" s="62"/>
    </row>
    <row r="666" spans="1:21" ht="15.75" customHeight="1" x14ac:dyDescent="0.3">
      <c r="A666" s="36"/>
      <c r="B666" s="36"/>
      <c r="C666" s="6"/>
      <c r="D666" s="36"/>
      <c r="E666" s="36"/>
      <c r="F666" s="36"/>
      <c r="G666" s="6"/>
      <c r="H666" s="36"/>
      <c r="I666" s="36"/>
      <c r="J666" s="37"/>
      <c r="K666" s="60"/>
      <c r="M666" s="61"/>
      <c r="N666" s="61"/>
      <c r="O666" s="61"/>
      <c r="P666" s="61"/>
      <c r="Q666" s="61"/>
      <c r="R666" s="61"/>
      <c r="S666" s="62"/>
      <c r="T666" s="62"/>
      <c r="U666" s="62"/>
    </row>
    <row r="667" spans="1:21" ht="15.75" customHeight="1" x14ac:dyDescent="0.3">
      <c r="A667" s="36"/>
      <c r="B667" s="36"/>
      <c r="C667" s="6"/>
      <c r="D667" s="36"/>
      <c r="E667" s="36"/>
      <c r="F667" s="36"/>
      <c r="G667" s="6"/>
      <c r="H667" s="36"/>
      <c r="I667" s="36"/>
      <c r="J667" s="37"/>
      <c r="K667" s="60"/>
      <c r="M667" s="61"/>
      <c r="N667" s="61"/>
      <c r="O667" s="61"/>
      <c r="P667" s="61"/>
      <c r="Q667" s="61"/>
      <c r="R667" s="61"/>
      <c r="S667" s="62"/>
      <c r="T667" s="62"/>
      <c r="U667" s="62"/>
    </row>
    <row r="668" spans="1:21" ht="15.75" customHeight="1" x14ac:dyDescent="0.3">
      <c r="A668" s="36"/>
      <c r="B668" s="36"/>
      <c r="C668" s="6"/>
      <c r="D668" s="36"/>
      <c r="E668" s="36"/>
      <c r="F668" s="36"/>
      <c r="G668" s="6"/>
      <c r="H668" s="36"/>
      <c r="I668" s="36"/>
      <c r="J668" s="37"/>
      <c r="K668" s="60"/>
      <c r="M668" s="61"/>
      <c r="N668" s="61"/>
      <c r="O668" s="61"/>
      <c r="P668" s="61"/>
      <c r="Q668" s="61"/>
      <c r="R668" s="61"/>
      <c r="S668" s="62"/>
      <c r="T668" s="62"/>
      <c r="U668" s="62"/>
    </row>
    <row r="669" spans="1:21" ht="15.75" customHeight="1" x14ac:dyDescent="0.3">
      <c r="A669" s="36"/>
      <c r="B669" s="36"/>
      <c r="C669" s="6"/>
      <c r="D669" s="36"/>
      <c r="E669" s="36"/>
      <c r="F669" s="36"/>
      <c r="G669" s="6"/>
      <c r="H669" s="36"/>
      <c r="I669" s="36"/>
      <c r="J669" s="37"/>
      <c r="K669" s="60"/>
      <c r="M669" s="61"/>
      <c r="N669" s="61"/>
      <c r="O669" s="61"/>
      <c r="P669" s="61"/>
      <c r="Q669" s="61"/>
      <c r="R669" s="61"/>
      <c r="S669" s="62"/>
      <c r="T669" s="62"/>
      <c r="U669" s="62"/>
    </row>
    <row r="670" spans="1:21" ht="15.75" customHeight="1" x14ac:dyDescent="0.3">
      <c r="A670" s="36"/>
      <c r="B670" s="36"/>
      <c r="C670" s="6"/>
      <c r="D670" s="36"/>
      <c r="E670" s="36"/>
      <c r="F670" s="36"/>
      <c r="G670" s="6"/>
      <c r="H670" s="36"/>
      <c r="I670" s="36"/>
      <c r="J670" s="37"/>
      <c r="K670" s="60"/>
      <c r="M670" s="61"/>
      <c r="N670" s="61"/>
      <c r="O670" s="61"/>
      <c r="P670" s="61"/>
      <c r="Q670" s="61"/>
      <c r="R670" s="61"/>
      <c r="S670" s="62"/>
      <c r="T670" s="62"/>
      <c r="U670" s="62"/>
    </row>
    <row r="671" spans="1:21" ht="15.75" customHeight="1" x14ac:dyDescent="0.3">
      <c r="A671" s="36"/>
      <c r="B671" s="36"/>
      <c r="C671" s="6"/>
      <c r="D671" s="36"/>
      <c r="E671" s="36"/>
      <c r="F671" s="36"/>
      <c r="G671" s="6"/>
      <c r="H671" s="36"/>
      <c r="I671" s="36"/>
      <c r="J671" s="37"/>
      <c r="K671" s="60"/>
      <c r="M671" s="61"/>
      <c r="N671" s="61"/>
      <c r="O671" s="61"/>
      <c r="P671" s="61"/>
      <c r="Q671" s="61"/>
      <c r="R671" s="61"/>
      <c r="S671" s="62"/>
      <c r="T671" s="62"/>
      <c r="U671" s="62"/>
    </row>
    <row r="672" spans="1:21" ht="15.75" customHeight="1" x14ac:dyDescent="0.3">
      <c r="A672" s="36"/>
      <c r="B672" s="36"/>
      <c r="C672" s="6"/>
      <c r="D672" s="36"/>
      <c r="E672" s="36"/>
      <c r="F672" s="36"/>
      <c r="G672" s="6"/>
      <c r="H672" s="36"/>
      <c r="I672" s="36"/>
      <c r="J672" s="37"/>
      <c r="K672" s="60"/>
      <c r="M672" s="61"/>
      <c r="N672" s="61"/>
      <c r="O672" s="61"/>
      <c r="P672" s="61"/>
      <c r="Q672" s="61"/>
      <c r="R672" s="61"/>
      <c r="S672" s="62"/>
      <c r="T672" s="62"/>
      <c r="U672" s="62"/>
    </row>
    <row r="673" spans="1:21" ht="15.75" customHeight="1" x14ac:dyDescent="0.3">
      <c r="A673" s="36"/>
      <c r="B673" s="36"/>
      <c r="C673" s="6"/>
      <c r="D673" s="36"/>
      <c r="E673" s="36"/>
      <c r="F673" s="36"/>
      <c r="G673" s="6"/>
      <c r="H673" s="36"/>
      <c r="I673" s="36"/>
      <c r="J673" s="37"/>
      <c r="K673" s="60"/>
      <c r="M673" s="61"/>
      <c r="N673" s="61"/>
      <c r="O673" s="61"/>
      <c r="P673" s="61"/>
      <c r="Q673" s="61"/>
      <c r="R673" s="61"/>
      <c r="S673" s="62"/>
      <c r="T673" s="62"/>
      <c r="U673" s="62"/>
    </row>
    <row r="674" spans="1:21" ht="15.75" customHeight="1" x14ac:dyDescent="0.3">
      <c r="A674" s="36"/>
      <c r="B674" s="36"/>
      <c r="C674" s="6"/>
      <c r="D674" s="36"/>
      <c r="E674" s="36"/>
      <c r="F674" s="36"/>
      <c r="G674" s="6"/>
      <c r="H674" s="36"/>
      <c r="I674" s="36"/>
      <c r="J674" s="37"/>
      <c r="K674" s="60"/>
      <c r="M674" s="61"/>
      <c r="N674" s="61"/>
      <c r="O674" s="61"/>
      <c r="P674" s="61"/>
      <c r="Q674" s="61"/>
      <c r="R674" s="61"/>
      <c r="S674" s="62"/>
      <c r="T674" s="62"/>
      <c r="U674" s="62"/>
    </row>
    <row r="675" spans="1:21" ht="15.75" customHeight="1" x14ac:dyDescent="0.3">
      <c r="A675" s="36"/>
      <c r="B675" s="36"/>
      <c r="C675" s="6"/>
      <c r="D675" s="36"/>
      <c r="E675" s="36"/>
      <c r="F675" s="36"/>
      <c r="G675" s="6"/>
      <c r="H675" s="36"/>
      <c r="I675" s="36"/>
      <c r="J675" s="37"/>
      <c r="K675" s="60"/>
      <c r="M675" s="61"/>
      <c r="N675" s="61"/>
      <c r="O675" s="61"/>
      <c r="P675" s="61"/>
      <c r="Q675" s="61"/>
      <c r="R675" s="61"/>
      <c r="S675" s="62"/>
      <c r="T675" s="62"/>
      <c r="U675" s="62"/>
    </row>
    <row r="676" spans="1:21" ht="15.75" customHeight="1" x14ac:dyDescent="0.3">
      <c r="A676" s="36"/>
      <c r="B676" s="36"/>
      <c r="C676" s="6"/>
      <c r="D676" s="36"/>
      <c r="E676" s="36"/>
      <c r="F676" s="36"/>
      <c r="G676" s="6"/>
      <c r="H676" s="36"/>
      <c r="I676" s="36"/>
      <c r="J676" s="37"/>
      <c r="K676" s="60"/>
      <c r="M676" s="61"/>
      <c r="N676" s="61"/>
      <c r="O676" s="61"/>
      <c r="P676" s="61"/>
      <c r="Q676" s="61"/>
      <c r="R676" s="61"/>
      <c r="S676" s="62"/>
      <c r="T676" s="62"/>
      <c r="U676" s="62"/>
    </row>
    <row r="677" spans="1:21" ht="15.75" customHeight="1" x14ac:dyDescent="0.3">
      <c r="A677" s="36"/>
      <c r="B677" s="36"/>
      <c r="C677" s="6"/>
      <c r="D677" s="36"/>
      <c r="E677" s="36"/>
      <c r="F677" s="36"/>
      <c r="G677" s="6"/>
      <c r="H677" s="36"/>
      <c r="I677" s="36"/>
      <c r="J677" s="37"/>
      <c r="K677" s="60"/>
      <c r="M677" s="61"/>
      <c r="N677" s="61"/>
      <c r="O677" s="61"/>
      <c r="P677" s="61"/>
      <c r="Q677" s="61"/>
      <c r="R677" s="61"/>
      <c r="S677" s="62"/>
      <c r="T677" s="62"/>
      <c r="U677" s="62"/>
    </row>
    <row r="678" spans="1:21" ht="15.75" customHeight="1" x14ac:dyDescent="0.3">
      <c r="A678" s="36"/>
      <c r="B678" s="36"/>
      <c r="C678" s="6"/>
      <c r="D678" s="36"/>
      <c r="E678" s="36"/>
      <c r="F678" s="36"/>
      <c r="G678" s="6"/>
      <c r="H678" s="36"/>
      <c r="I678" s="36"/>
      <c r="J678" s="37"/>
      <c r="K678" s="60"/>
      <c r="M678" s="61"/>
      <c r="N678" s="61"/>
      <c r="O678" s="61"/>
      <c r="P678" s="61"/>
      <c r="Q678" s="61"/>
      <c r="R678" s="61"/>
      <c r="S678" s="62"/>
      <c r="T678" s="62"/>
      <c r="U678" s="62"/>
    </row>
    <row r="679" spans="1:21" ht="15.75" customHeight="1" x14ac:dyDescent="0.3">
      <c r="A679" s="36"/>
      <c r="B679" s="36"/>
      <c r="C679" s="6"/>
      <c r="D679" s="36"/>
      <c r="E679" s="36"/>
      <c r="F679" s="36"/>
      <c r="G679" s="6"/>
      <c r="H679" s="36"/>
      <c r="I679" s="36"/>
      <c r="J679" s="37"/>
      <c r="K679" s="60"/>
      <c r="M679" s="61"/>
      <c r="N679" s="61"/>
      <c r="O679" s="61"/>
      <c r="P679" s="61"/>
      <c r="Q679" s="61"/>
      <c r="R679" s="61"/>
      <c r="S679" s="62"/>
      <c r="T679" s="62"/>
      <c r="U679" s="62"/>
    </row>
    <row r="680" spans="1:21" ht="15.75" customHeight="1" x14ac:dyDescent="0.3">
      <c r="A680" s="36"/>
      <c r="B680" s="36"/>
      <c r="C680" s="6"/>
      <c r="D680" s="36"/>
      <c r="E680" s="36"/>
      <c r="F680" s="36"/>
      <c r="G680" s="6"/>
      <c r="H680" s="36"/>
      <c r="I680" s="36"/>
      <c r="J680" s="37"/>
      <c r="K680" s="60"/>
      <c r="M680" s="61"/>
      <c r="N680" s="61"/>
      <c r="O680" s="61"/>
      <c r="P680" s="61"/>
      <c r="Q680" s="61"/>
      <c r="R680" s="61"/>
      <c r="S680" s="62"/>
      <c r="T680" s="62"/>
      <c r="U680" s="62"/>
    </row>
    <row r="681" spans="1:21" ht="15.75" customHeight="1" x14ac:dyDescent="0.3">
      <c r="A681" s="36"/>
      <c r="B681" s="36"/>
      <c r="C681" s="6"/>
      <c r="D681" s="36"/>
      <c r="E681" s="36"/>
      <c r="F681" s="36"/>
      <c r="G681" s="6"/>
      <c r="H681" s="36"/>
      <c r="I681" s="36"/>
      <c r="J681" s="37"/>
      <c r="K681" s="60"/>
      <c r="M681" s="61"/>
      <c r="N681" s="61"/>
      <c r="O681" s="61"/>
      <c r="P681" s="61"/>
      <c r="Q681" s="61"/>
      <c r="R681" s="61"/>
      <c r="S681" s="62"/>
      <c r="T681" s="62"/>
      <c r="U681" s="62"/>
    </row>
    <row r="682" spans="1:21" ht="15.75" customHeight="1" x14ac:dyDescent="0.3">
      <c r="A682" s="36"/>
      <c r="B682" s="36"/>
      <c r="C682" s="6"/>
      <c r="D682" s="36"/>
      <c r="E682" s="36"/>
      <c r="F682" s="36"/>
      <c r="G682" s="6"/>
      <c r="H682" s="36"/>
      <c r="I682" s="36"/>
      <c r="J682" s="37"/>
      <c r="K682" s="60"/>
      <c r="M682" s="61"/>
      <c r="N682" s="61"/>
      <c r="O682" s="61"/>
      <c r="P682" s="61"/>
      <c r="Q682" s="61"/>
      <c r="R682" s="61"/>
      <c r="S682" s="62"/>
      <c r="T682" s="62"/>
      <c r="U682" s="62"/>
    </row>
    <row r="683" spans="1:21" ht="15.75" customHeight="1" x14ac:dyDescent="0.3">
      <c r="A683" s="36"/>
      <c r="B683" s="36"/>
      <c r="C683" s="6"/>
      <c r="D683" s="36"/>
      <c r="E683" s="36"/>
      <c r="F683" s="36"/>
      <c r="G683" s="6"/>
      <c r="H683" s="36"/>
      <c r="I683" s="36"/>
      <c r="J683" s="37"/>
      <c r="K683" s="60"/>
      <c r="M683" s="61"/>
      <c r="N683" s="61"/>
      <c r="O683" s="61"/>
      <c r="P683" s="61"/>
      <c r="Q683" s="61"/>
      <c r="R683" s="61"/>
      <c r="S683" s="62"/>
      <c r="T683" s="62"/>
      <c r="U683" s="62"/>
    </row>
    <row r="684" spans="1:21" ht="15.75" customHeight="1" x14ac:dyDescent="0.3">
      <c r="A684" s="36"/>
      <c r="B684" s="36"/>
      <c r="C684" s="6"/>
      <c r="D684" s="36"/>
      <c r="E684" s="36"/>
      <c r="F684" s="36"/>
      <c r="G684" s="6"/>
      <c r="H684" s="36"/>
      <c r="I684" s="36"/>
      <c r="J684" s="37"/>
      <c r="K684" s="60"/>
      <c r="M684" s="61"/>
      <c r="N684" s="61"/>
      <c r="O684" s="61"/>
      <c r="P684" s="61"/>
      <c r="Q684" s="61"/>
      <c r="R684" s="61"/>
      <c r="S684" s="62"/>
      <c r="T684" s="62"/>
      <c r="U684" s="62"/>
    </row>
    <row r="685" spans="1:21" ht="15.75" customHeight="1" x14ac:dyDescent="0.3">
      <c r="A685" s="36"/>
      <c r="B685" s="36"/>
      <c r="C685" s="6"/>
      <c r="D685" s="36"/>
      <c r="E685" s="36"/>
      <c r="F685" s="36"/>
      <c r="G685" s="6"/>
      <c r="H685" s="36"/>
      <c r="I685" s="36"/>
      <c r="J685" s="37"/>
      <c r="K685" s="60"/>
      <c r="M685" s="61"/>
      <c r="N685" s="61"/>
      <c r="O685" s="61"/>
      <c r="P685" s="61"/>
      <c r="Q685" s="61"/>
      <c r="R685" s="61"/>
      <c r="S685" s="62"/>
      <c r="T685" s="62"/>
      <c r="U685" s="62"/>
    </row>
    <row r="686" spans="1:21" ht="15.75" customHeight="1" x14ac:dyDescent="0.3">
      <c r="A686" s="36"/>
      <c r="B686" s="36"/>
      <c r="C686" s="6"/>
      <c r="D686" s="36"/>
      <c r="E686" s="36"/>
      <c r="F686" s="36"/>
      <c r="G686" s="6"/>
      <c r="H686" s="36"/>
      <c r="I686" s="36"/>
      <c r="J686" s="37"/>
      <c r="K686" s="60"/>
      <c r="M686" s="61"/>
      <c r="N686" s="61"/>
      <c r="O686" s="61"/>
      <c r="P686" s="61"/>
      <c r="Q686" s="61"/>
      <c r="R686" s="61"/>
      <c r="S686" s="62"/>
      <c r="T686" s="62"/>
      <c r="U686" s="62"/>
    </row>
    <row r="687" spans="1:21" ht="15.75" customHeight="1" x14ac:dyDescent="0.3">
      <c r="A687" s="36"/>
      <c r="B687" s="36"/>
      <c r="C687" s="6"/>
      <c r="D687" s="36"/>
      <c r="E687" s="36"/>
      <c r="F687" s="36"/>
      <c r="G687" s="6"/>
      <c r="H687" s="36"/>
      <c r="I687" s="36"/>
      <c r="J687" s="37"/>
      <c r="K687" s="60"/>
      <c r="M687" s="61"/>
      <c r="N687" s="61"/>
      <c r="O687" s="61"/>
      <c r="P687" s="61"/>
      <c r="Q687" s="61"/>
      <c r="R687" s="61"/>
      <c r="S687" s="62"/>
      <c r="T687" s="62"/>
      <c r="U687" s="62"/>
    </row>
    <row r="688" spans="1:21" ht="15.75" customHeight="1" x14ac:dyDescent="0.3">
      <c r="A688" s="36"/>
      <c r="B688" s="36"/>
      <c r="C688" s="6"/>
      <c r="D688" s="36"/>
      <c r="E688" s="36"/>
      <c r="F688" s="36"/>
      <c r="G688" s="6"/>
      <c r="H688" s="36"/>
      <c r="I688" s="36"/>
      <c r="J688" s="37"/>
      <c r="K688" s="60"/>
      <c r="M688" s="61"/>
      <c r="N688" s="61"/>
      <c r="O688" s="61"/>
      <c r="P688" s="61"/>
      <c r="Q688" s="61"/>
      <c r="R688" s="61"/>
      <c r="S688" s="62"/>
      <c r="T688" s="62"/>
      <c r="U688" s="62"/>
    </row>
    <row r="689" spans="1:21" ht="15.75" customHeight="1" x14ac:dyDescent="0.3">
      <c r="A689" s="36"/>
      <c r="B689" s="36"/>
      <c r="C689" s="6"/>
      <c r="D689" s="36"/>
      <c r="E689" s="36"/>
      <c r="F689" s="36"/>
      <c r="G689" s="6"/>
      <c r="H689" s="36"/>
      <c r="I689" s="36"/>
      <c r="J689" s="37"/>
      <c r="K689" s="60"/>
      <c r="M689" s="61"/>
      <c r="N689" s="61"/>
      <c r="O689" s="61"/>
      <c r="P689" s="61"/>
      <c r="Q689" s="61"/>
      <c r="R689" s="61"/>
      <c r="S689" s="62"/>
      <c r="T689" s="62"/>
      <c r="U689" s="62"/>
    </row>
    <row r="690" spans="1:21" ht="15.75" customHeight="1" x14ac:dyDescent="0.3">
      <c r="A690" s="36"/>
      <c r="B690" s="36"/>
      <c r="C690" s="6"/>
      <c r="D690" s="36"/>
      <c r="E690" s="36"/>
      <c r="F690" s="36"/>
      <c r="G690" s="6"/>
      <c r="H690" s="36"/>
      <c r="I690" s="36"/>
      <c r="J690" s="37"/>
      <c r="K690" s="60"/>
      <c r="M690" s="61"/>
      <c r="N690" s="61"/>
      <c r="O690" s="61"/>
      <c r="P690" s="61"/>
      <c r="Q690" s="61"/>
      <c r="R690" s="61"/>
      <c r="S690" s="62"/>
      <c r="T690" s="62"/>
      <c r="U690" s="62"/>
    </row>
    <row r="691" spans="1:21" ht="15.75" customHeight="1" x14ac:dyDescent="0.3">
      <c r="A691" s="36"/>
      <c r="B691" s="36"/>
      <c r="C691" s="6"/>
      <c r="D691" s="36"/>
      <c r="E691" s="36"/>
      <c r="F691" s="36"/>
      <c r="G691" s="6"/>
      <c r="H691" s="36"/>
      <c r="I691" s="36"/>
      <c r="J691" s="37"/>
      <c r="K691" s="60"/>
      <c r="M691" s="61"/>
      <c r="N691" s="61"/>
      <c r="O691" s="61"/>
      <c r="P691" s="61"/>
      <c r="Q691" s="61"/>
      <c r="R691" s="61"/>
      <c r="S691" s="62"/>
      <c r="T691" s="62"/>
      <c r="U691" s="62"/>
    </row>
    <row r="692" spans="1:21" ht="15.75" customHeight="1" x14ac:dyDescent="0.3">
      <c r="A692" s="36"/>
      <c r="B692" s="36"/>
      <c r="C692" s="6"/>
      <c r="D692" s="36"/>
      <c r="E692" s="36"/>
      <c r="F692" s="36"/>
      <c r="G692" s="6"/>
      <c r="H692" s="36"/>
      <c r="I692" s="36"/>
      <c r="J692" s="37"/>
      <c r="K692" s="60"/>
      <c r="M692" s="61"/>
      <c r="N692" s="61"/>
      <c r="O692" s="61"/>
      <c r="P692" s="61"/>
      <c r="Q692" s="61"/>
      <c r="R692" s="61"/>
      <c r="S692" s="62"/>
      <c r="T692" s="62"/>
      <c r="U692" s="62"/>
    </row>
    <row r="693" spans="1:21" ht="15.75" customHeight="1" x14ac:dyDescent="0.3">
      <c r="A693" s="36"/>
      <c r="B693" s="36"/>
      <c r="C693" s="6"/>
      <c r="D693" s="36"/>
      <c r="E693" s="36"/>
      <c r="F693" s="36"/>
      <c r="G693" s="6"/>
      <c r="H693" s="36"/>
      <c r="I693" s="36"/>
      <c r="J693" s="37"/>
      <c r="K693" s="60"/>
      <c r="M693" s="61"/>
      <c r="N693" s="61"/>
      <c r="O693" s="61"/>
      <c r="P693" s="61"/>
      <c r="Q693" s="61"/>
      <c r="R693" s="61"/>
      <c r="S693" s="62"/>
      <c r="T693" s="62"/>
      <c r="U693" s="62"/>
    </row>
    <row r="694" spans="1:21" ht="15.75" customHeight="1" x14ac:dyDescent="0.3">
      <c r="A694" s="36"/>
      <c r="B694" s="36"/>
      <c r="C694" s="6"/>
      <c r="D694" s="36"/>
      <c r="E694" s="36"/>
      <c r="F694" s="36"/>
      <c r="G694" s="6"/>
      <c r="H694" s="36"/>
      <c r="I694" s="36"/>
      <c r="J694" s="37"/>
      <c r="K694" s="60"/>
      <c r="M694" s="61"/>
      <c r="N694" s="61"/>
      <c r="O694" s="61"/>
      <c r="P694" s="61"/>
      <c r="Q694" s="61"/>
      <c r="R694" s="61"/>
      <c r="S694" s="62"/>
      <c r="T694" s="62"/>
      <c r="U694" s="62"/>
    </row>
    <row r="695" spans="1:21" ht="15.75" customHeight="1" x14ac:dyDescent="0.3">
      <c r="A695" s="36"/>
      <c r="B695" s="36"/>
      <c r="C695" s="6"/>
      <c r="D695" s="36"/>
      <c r="E695" s="36"/>
      <c r="F695" s="36"/>
      <c r="G695" s="6"/>
      <c r="H695" s="36"/>
      <c r="I695" s="36"/>
      <c r="J695" s="37"/>
      <c r="K695" s="60"/>
      <c r="M695" s="61"/>
      <c r="N695" s="61"/>
      <c r="O695" s="61"/>
      <c r="P695" s="61"/>
      <c r="Q695" s="61"/>
      <c r="R695" s="61"/>
      <c r="S695" s="62"/>
      <c r="T695" s="62"/>
      <c r="U695" s="62"/>
    </row>
    <row r="696" spans="1:21" ht="15.75" customHeight="1" x14ac:dyDescent="0.3">
      <c r="A696" s="36"/>
      <c r="B696" s="36"/>
      <c r="C696" s="6"/>
      <c r="D696" s="36"/>
      <c r="E696" s="36"/>
      <c r="F696" s="36"/>
      <c r="G696" s="6"/>
      <c r="H696" s="36"/>
      <c r="I696" s="36"/>
      <c r="J696" s="37"/>
      <c r="K696" s="60"/>
      <c r="M696" s="61"/>
      <c r="N696" s="61"/>
      <c r="O696" s="61"/>
      <c r="P696" s="61"/>
      <c r="Q696" s="61"/>
      <c r="R696" s="61"/>
      <c r="S696" s="62"/>
      <c r="T696" s="62"/>
      <c r="U696" s="62"/>
    </row>
    <row r="697" spans="1:21" ht="15.75" customHeight="1" x14ac:dyDescent="0.3">
      <c r="A697" s="36"/>
      <c r="B697" s="36"/>
      <c r="C697" s="6"/>
      <c r="D697" s="36"/>
      <c r="E697" s="36"/>
      <c r="F697" s="36"/>
      <c r="G697" s="6"/>
      <c r="H697" s="36"/>
      <c r="I697" s="36"/>
      <c r="J697" s="37"/>
      <c r="K697" s="60"/>
      <c r="M697" s="61"/>
      <c r="N697" s="61"/>
      <c r="O697" s="61"/>
      <c r="P697" s="61"/>
      <c r="Q697" s="61"/>
      <c r="R697" s="61"/>
      <c r="S697" s="62"/>
      <c r="T697" s="62"/>
      <c r="U697" s="62"/>
    </row>
    <row r="698" spans="1:21" ht="15.75" customHeight="1" x14ac:dyDescent="0.3">
      <c r="A698" s="36"/>
      <c r="B698" s="36"/>
      <c r="C698" s="6"/>
      <c r="D698" s="36"/>
      <c r="E698" s="36"/>
      <c r="F698" s="36"/>
      <c r="G698" s="6"/>
      <c r="H698" s="36"/>
      <c r="I698" s="36"/>
      <c r="J698" s="37"/>
      <c r="K698" s="60"/>
      <c r="M698" s="61"/>
      <c r="N698" s="61"/>
      <c r="O698" s="61"/>
      <c r="P698" s="61"/>
      <c r="Q698" s="61"/>
      <c r="R698" s="61"/>
      <c r="S698" s="62"/>
      <c r="T698" s="62"/>
      <c r="U698" s="62"/>
    </row>
    <row r="699" spans="1:21" ht="15.75" customHeight="1" x14ac:dyDescent="0.3">
      <c r="A699" s="36"/>
      <c r="B699" s="36"/>
      <c r="C699" s="6"/>
      <c r="D699" s="36"/>
      <c r="E699" s="36"/>
      <c r="F699" s="36"/>
      <c r="G699" s="6"/>
      <c r="H699" s="36"/>
      <c r="I699" s="36"/>
      <c r="J699" s="37"/>
      <c r="K699" s="60"/>
      <c r="M699" s="61"/>
      <c r="N699" s="61"/>
      <c r="O699" s="61"/>
      <c r="P699" s="61"/>
      <c r="Q699" s="61"/>
      <c r="R699" s="61"/>
      <c r="S699" s="62"/>
      <c r="T699" s="62"/>
      <c r="U699" s="62"/>
    </row>
    <row r="700" spans="1:21" ht="15.75" customHeight="1" x14ac:dyDescent="0.3">
      <c r="A700" s="36"/>
      <c r="B700" s="36"/>
      <c r="C700" s="6"/>
      <c r="D700" s="36"/>
      <c r="E700" s="36"/>
      <c r="F700" s="36"/>
      <c r="G700" s="6"/>
      <c r="H700" s="36"/>
      <c r="I700" s="36"/>
      <c r="J700" s="37"/>
      <c r="K700" s="60"/>
      <c r="M700" s="61"/>
      <c r="N700" s="61"/>
      <c r="O700" s="61"/>
      <c r="P700" s="61"/>
      <c r="Q700" s="61"/>
      <c r="R700" s="61"/>
      <c r="S700" s="62"/>
      <c r="T700" s="62"/>
      <c r="U700" s="62"/>
    </row>
    <row r="701" spans="1:21" ht="15.75" customHeight="1" x14ac:dyDescent="0.3">
      <c r="A701" s="36"/>
      <c r="B701" s="36"/>
      <c r="C701" s="6"/>
      <c r="D701" s="36"/>
      <c r="E701" s="36"/>
      <c r="F701" s="36"/>
      <c r="G701" s="6"/>
      <c r="H701" s="36"/>
      <c r="I701" s="36"/>
      <c r="J701" s="37"/>
      <c r="K701" s="60"/>
      <c r="M701" s="61"/>
      <c r="N701" s="61"/>
      <c r="O701" s="61"/>
      <c r="P701" s="61"/>
      <c r="Q701" s="61"/>
      <c r="R701" s="61"/>
      <c r="S701" s="62"/>
      <c r="T701" s="62"/>
      <c r="U701" s="62"/>
    </row>
    <row r="702" spans="1:21" ht="15.75" customHeight="1" x14ac:dyDescent="0.3">
      <c r="A702" s="36"/>
      <c r="B702" s="36"/>
      <c r="C702" s="6"/>
      <c r="D702" s="36"/>
      <c r="E702" s="36"/>
      <c r="F702" s="36"/>
      <c r="G702" s="6"/>
      <c r="H702" s="36"/>
      <c r="I702" s="36"/>
      <c r="J702" s="37"/>
      <c r="K702" s="60"/>
      <c r="M702" s="61"/>
      <c r="N702" s="61"/>
      <c r="O702" s="61"/>
      <c r="P702" s="61"/>
      <c r="Q702" s="61"/>
      <c r="R702" s="61"/>
      <c r="S702" s="62"/>
      <c r="T702" s="62"/>
      <c r="U702" s="62"/>
    </row>
    <row r="703" spans="1:21" ht="15.75" customHeight="1" x14ac:dyDescent="0.3">
      <c r="A703" s="36"/>
      <c r="B703" s="36"/>
      <c r="C703" s="6"/>
      <c r="D703" s="36"/>
      <c r="E703" s="36"/>
      <c r="F703" s="36"/>
      <c r="G703" s="6"/>
      <c r="H703" s="36"/>
      <c r="I703" s="36"/>
      <c r="J703" s="37"/>
      <c r="K703" s="60"/>
      <c r="M703" s="61"/>
      <c r="N703" s="61"/>
      <c r="O703" s="61"/>
      <c r="P703" s="61"/>
      <c r="Q703" s="61"/>
      <c r="R703" s="61"/>
      <c r="S703" s="62"/>
      <c r="T703" s="62"/>
      <c r="U703" s="62"/>
    </row>
    <row r="704" spans="1:21" ht="15.75" customHeight="1" x14ac:dyDescent="0.3">
      <c r="A704" s="36"/>
      <c r="B704" s="36"/>
      <c r="C704" s="6"/>
      <c r="D704" s="36"/>
      <c r="E704" s="36"/>
      <c r="F704" s="36"/>
      <c r="G704" s="6"/>
      <c r="H704" s="36"/>
      <c r="I704" s="36"/>
      <c r="J704" s="37"/>
      <c r="K704" s="60"/>
      <c r="M704" s="61"/>
      <c r="N704" s="61"/>
      <c r="O704" s="61"/>
      <c r="P704" s="61"/>
      <c r="Q704" s="61"/>
      <c r="R704" s="61"/>
      <c r="S704" s="62"/>
      <c r="T704" s="62"/>
      <c r="U704" s="62"/>
    </row>
    <row r="705" spans="1:21" ht="15.75" customHeight="1" x14ac:dyDescent="0.3">
      <c r="A705" s="36"/>
      <c r="B705" s="36"/>
      <c r="C705" s="6"/>
      <c r="D705" s="36"/>
      <c r="E705" s="36"/>
      <c r="F705" s="36"/>
      <c r="G705" s="6"/>
      <c r="H705" s="36"/>
      <c r="I705" s="36"/>
      <c r="J705" s="37"/>
      <c r="K705" s="60"/>
      <c r="M705" s="61"/>
      <c r="N705" s="61"/>
      <c r="O705" s="61"/>
      <c r="P705" s="61"/>
      <c r="Q705" s="61"/>
      <c r="R705" s="61"/>
      <c r="S705" s="62"/>
      <c r="T705" s="62"/>
      <c r="U705" s="62"/>
    </row>
    <row r="706" spans="1:21" ht="15.75" customHeight="1" x14ac:dyDescent="0.3">
      <c r="A706" s="36"/>
      <c r="B706" s="36"/>
      <c r="C706" s="6"/>
      <c r="D706" s="36"/>
      <c r="E706" s="36"/>
      <c r="F706" s="36"/>
      <c r="G706" s="6"/>
      <c r="H706" s="36"/>
      <c r="I706" s="36"/>
      <c r="J706" s="37"/>
      <c r="K706" s="60"/>
      <c r="M706" s="61"/>
      <c r="N706" s="61"/>
      <c r="O706" s="61"/>
      <c r="P706" s="61"/>
      <c r="Q706" s="61"/>
      <c r="R706" s="61"/>
      <c r="S706" s="62"/>
      <c r="T706" s="62"/>
      <c r="U706" s="62"/>
    </row>
    <row r="707" spans="1:21" ht="15.75" customHeight="1" x14ac:dyDescent="0.3">
      <c r="A707" s="36"/>
      <c r="B707" s="36"/>
      <c r="C707" s="6"/>
      <c r="D707" s="36"/>
      <c r="E707" s="36"/>
      <c r="F707" s="36"/>
      <c r="G707" s="6"/>
      <c r="H707" s="36"/>
      <c r="I707" s="36"/>
      <c r="J707" s="37"/>
      <c r="K707" s="60"/>
      <c r="M707" s="61"/>
      <c r="N707" s="61"/>
      <c r="O707" s="61"/>
      <c r="P707" s="61"/>
      <c r="Q707" s="61"/>
      <c r="R707" s="61"/>
      <c r="S707" s="62"/>
      <c r="T707" s="62"/>
      <c r="U707" s="62"/>
    </row>
    <row r="708" spans="1:21" ht="15.75" customHeight="1" x14ac:dyDescent="0.3">
      <c r="A708" s="36"/>
      <c r="B708" s="36"/>
      <c r="C708" s="6"/>
      <c r="D708" s="36"/>
      <c r="E708" s="36"/>
      <c r="F708" s="36"/>
      <c r="G708" s="6"/>
      <c r="H708" s="36"/>
      <c r="I708" s="36"/>
      <c r="J708" s="37"/>
      <c r="K708" s="60"/>
      <c r="M708" s="61"/>
      <c r="N708" s="61"/>
      <c r="O708" s="61"/>
      <c r="P708" s="61"/>
      <c r="Q708" s="61"/>
      <c r="R708" s="61"/>
      <c r="S708" s="62"/>
      <c r="T708" s="62"/>
      <c r="U708" s="62"/>
    </row>
    <row r="709" spans="1:21" ht="15.75" customHeight="1" x14ac:dyDescent="0.3">
      <c r="A709" s="36"/>
      <c r="B709" s="36"/>
      <c r="C709" s="6"/>
      <c r="D709" s="36"/>
      <c r="E709" s="36"/>
      <c r="F709" s="36"/>
      <c r="G709" s="6"/>
      <c r="H709" s="36"/>
      <c r="I709" s="36"/>
      <c r="J709" s="37"/>
      <c r="K709" s="60"/>
      <c r="M709" s="61"/>
      <c r="N709" s="61"/>
      <c r="O709" s="61"/>
      <c r="P709" s="61"/>
      <c r="Q709" s="61"/>
      <c r="R709" s="61"/>
      <c r="S709" s="62"/>
      <c r="T709" s="62"/>
      <c r="U709" s="62"/>
    </row>
    <row r="710" spans="1:21" ht="15.75" customHeight="1" x14ac:dyDescent="0.3">
      <c r="A710" s="36"/>
      <c r="B710" s="36"/>
      <c r="C710" s="6"/>
      <c r="D710" s="36"/>
      <c r="E710" s="36"/>
      <c r="F710" s="36"/>
      <c r="G710" s="6"/>
      <c r="H710" s="36"/>
      <c r="I710" s="36"/>
      <c r="J710" s="37"/>
      <c r="K710" s="60"/>
      <c r="M710" s="61"/>
      <c r="N710" s="61"/>
      <c r="O710" s="61"/>
      <c r="P710" s="61"/>
      <c r="Q710" s="61"/>
      <c r="R710" s="61"/>
      <c r="S710" s="62"/>
      <c r="T710" s="62"/>
      <c r="U710" s="62"/>
    </row>
    <row r="711" spans="1:21" ht="15.75" customHeight="1" x14ac:dyDescent="0.3">
      <c r="A711" s="36"/>
      <c r="B711" s="36"/>
      <c r="C711" s="6"/>
      <c r="D711" s="36"/>
      <c r="E711" s="36"/>
      <c r="F711" s="36"/>
      <c r="G711" s="6"/>
      <c r="H711" s="36"/>
      <c r="I711" s="36"/>
      <c r="J711" s="37"/>
      <c r="K711" s="60"/>
      <c r="M711" s="61"/>
      <c r="N711" s="61"/>
      <c r="O711" s="61"/>
      <c r="P711" s="61"/>
      <c r="Q711" s="61"/>
      <c r="R711" s="61"/>
      <c r="S711" s="62"/>
      <c r="T711" s="62"/>
      <c r="U711" s="62"/>
    </row>
    <row r="712" spans="1:21" ht="15.75" customHeight="1" x14ac:dyDescent="0.3">
      <c r="A712" s="36"/>
      <c r="B712" s="36"/>
      <c r="C712" s="6"/>
      <c r="D712" s="36"/>
      <c r="E712" s="36"/>
      <c r="F712" s="36"/>
      <c r="G712" s="6"/>
      <c r="H712" s="36"/>
      <c r="I712" s="36"/>
      <c r="J712" s="37"/>
      <c r="K712" s="60"/>
      <c r="M712" s="61"/>
      <c r="N712" s="61"/>
      <c r="O712" s="61"/>
      <c r="P712" s="61"/>
      <c r="Q712" s="61"/>
      <c r="R712" s="61"/>
      <c r="S712" s="62"/>
      <c r="T712" s="62"/>
      <c r="U712" s="62"/>
    </row>
    <row r="713" spans="1:21" ht="15.75" customHeight="1" x14ac:dyDescent="0.3">
      <c r="A713" s="36"/>
      <c r="B713" s="36"/>
      <c r="C713" s="6"/>
      <c r="D713" s="36"/>
      <c r="E713" s="36"/>
      <c r="F713" s="36"/>
      <c r="G713" s="6"/>
      <c r="H713" s="36"/>
      <c r="I713" s="36"/>
      <c r="J713" s="37"/>
      <c r="K713" s="60"/>
      <c r="M713" s="61"/>
      <c r="N713" s="61"/>
      <c r="O713" s="61"/>
      <c r="P713" s="61"/>
      <c r="Q713" s="61"/>
      <c r="R713" s="61"/>
      <c r="S713" s="62"/>
      <c r="T713" s="62"/>
      <c r="U713" s="62"/>
    </row>
    <row r="714" spans="1:21" ht="15.75" customHeight="1" x14ac:dyDescent="0.3">
      <c r="A714" s="36"/>
      <c r="B714" s="36"/>
      <c r="C714" s="6"/>
      <c r="D714" s="36"/>
      <c r="E714" s="36"/>
      <c r="F714" s="36"/>
      <c r="G714" s="6"/>
      <c r="H714" s="36"/>
      <c r="I714" s="36"/>
      <c r="J714" s="37"/>
      <c r="K714" s="60"/>
      <c r="M714" s="61"/>
      <c r="N714" s="61"/>
      <c r="O714" s="61"/>
      <c r="P714" s="61"/>
      <c r="Q714" s="61"/>
      <c r="R714" s="61"/>
      <c r="S714" s="62"/>
      <c r="T714" s="62"/>
      <c r="U714" s="62"/>
    </row>
    <row r="715" spans="1:21" ht="15.75" customHeight="1" x14ac:dyDescent="0.3">
      <c r="A715" s="36"/>
      <c r="B715" s="36"/>
      <c r="C715" s="6"/>
      <c r="D715" s="36"/>
      <c r="E715" s="36"/>
      <c r="F715" s="36"/>
      <c r="G715" s="6"/>
      <c r="H715" s="36"/>
      <c r="I715" s="36"/>
      <c r="J715" s="37"/>
      <c r="K715" s="60"/>
      <c r="M715" s="61"/>
      <c r="N715" s="61"/>
      <c r="O715" s="61"/>
      <c r="P715" s="61"/>
      <c r="Q715" s="61"/>
      <c r="R715" s="61"/>
      <c r="S715" s="62"/>
      <c r="T715" s="62"/>
      <c r="U715" s="62"/>
    </row>
    <row r="716" spans="1:21" ht="15.75" customHeight="1" x14ac:dyDescent="0.3">
      <c r="A716" s="36"/>
      <c r="B716" s="36"/>
      <c r="C716" s="6"/>
      <c r="D716" s="36"/>
      <c r="E716" s="36"/>
      <c r="F716" s="36"/>
      <c r="G716" s="6"/>
      <c r="H716" s="36"/>
      <c r="I716" s="36"/>
      <c r="J716" s="37"/>
      <c r="K716" s="60"/>
      <c r="M716" s="61"/>
      <c r="N716" s="61"/>
      <c r="O716" s="61"/>
      <c r="P716" s="61"/>
      <c r="Q716" s="61"/>
      <c r="R716" s="61"/>
      <c r="S716" s="62"/>
      <c r="T716" s="62"/>
      <c r="U716" s="62"/>
    </row>
    <row r="717" spans="1:21" ht="15.75" customHeight="1" x14ac:dyDescent="0.3">
      <c r="A717" s="36"/>
      <c r="B717" s="36"/>
      <c r="C717" s="6"/>
      <c r="D717" s="36"/>
      <c r="E717" s="36"/>
      <c r="F717" s="36"/>
      <c r="G717" s="6"/>
      <c r="H717" s="36"/>
      <c r="I717" s="36"/>
      <c r="J717" s="37"/>
      <c r="K717" s="60"/>
      <c r="M717" s="61"/>
      <c r="N717" s="61"/>
      <c r="O717" s="61"/>
      <c r="P717" s="61"/>
      <c r="Q717" s="61"/>
      <c r="R717" s="61"/>
      <c r="S717" s="62"/>
      <c r="T717" s="62"/>
      <c r="U717" s="62"/>
    </row>
    <row r="718" spans="1:21" ht="15.75" customHeight="1" x14ac:dyDescent="0.3">
      <c r="A718" s="36"/>
      <c r="B718" s="36"/>
      <c r="C718" s="6"/>
      <c r="D718" s="36"/>
      <c r="E718" s="36"/>
      <c r="F718" s="36"/>
      <c r="G718" s="6"/>
      <c r="H718" s="36"/>
      <c r="I718" s="36"/>
      <c r="J718" s="37"/>
      <c r="K718" s="60"/>
      <c r="M718" s="61"/>
      <c r="N718" s="61"/>
      <c r="O718" s="61"/>
      <c r="P718" s="61"/>
      <c r="Q718" s="61"/>
      <c r="R718" s="61"/>
      <c r="S718" s="62"/>
      <c r="T718" s="62"/>
      <c r="U718" s="62"/>
    </row>
    <row r="719" spans="1:21" ht="15.75" customHeight="1" x14ac:dyDescent="0.3">
      <c r="A719" s="36"/>
      <c r="B719" s="36"/>
      <c r="C719" s="6"/>
      <c r="D719" s="36"/>
      <c r="E719" s="36"/>
      <c r="F719" s="36"/>
      <c r="G719" s="6"/>
      <c r="H719" s="36"/>
      <c r="I719" s="36"/>
      <c r="J719" s="37"/>
      <c r="K719" s="60"/>
      <c r="M719" s="61"/>
      <c r="N719" s="61"/>
      <c r="O719" s="61"/>
      <c r="P719" s="61"/>
      <c r="Q719" s="61"/>
      <c r="R719" s="61"/>
      <c r="S719" s="62"/>
      <c r="T719" s="62"/>
      <c r="U719" s="62"/>
    </row>
    <row r="720" spans="1:21" ht="15.75" customHeight="1" x14ac:dyDescent="0.3">
      <c r="A720" s="36"/>
      <c r="B720" s="36"/>
      <c r="C720" s="6"/>
      <c r="D720" s="36"/>
      <c r="E720" s="36"/>
      <c r="F720" s="36"/>
      <c r="G720" s="6"/>
      <c r="H720" s="36"/>
      <c r="I720" s="36"/>
      <c r="J720" s="37"/>
      <c r="K720" s="60"/>
      <c r="M720" s="61"/>
      <c r="N720" s="61"/>
      <c r="O720" s="61"/>
      <c r="P720" s="61"/>
      <c r="Q720" s="61"/>
      <c r="R720" s="61"/>
      <c r="S720" s="62"/>
      <c r="T720" s="62"/>
      <c r="U720" s="62"/>
    </row>
    <row r="721" spans="1:21" ht="15.75" customHeight="1" x14ac:dyDescent="0.3">
      <c r="A721" s="36"/>
      <c r="B721" s="36"/>
      <c r="C721" s="6"/>
      <c r="D721" s="36"/>
      <c r="E721" s="36"/>
      <c r="F721" s="36"/>
      <c r="G721" s="6"/>
      <c r="H721" s="36"/>
      <c r="I721" s="36"/>
      <c r="J721" s="37"/>
      <c r="K721" s="60"/>
      <c r="M721" s="61"/>
      <c r="N721" s="61"/>
      <c r="O721" s="61"/>
      <c r="P721" s="61"/>
      <c r="Q721" s="61"/>
      <c r="R721" s="61"/>
      <c r="S721" s="62"/>
      <c r="T721" s="62"/>
      <c r="U721" s="62"/>
    </row>
    <row r="722" spans="1:21" ht="15.75" customHeight="1" x14ac:dyDescent="0.3">
      <c r="A722" s="36"/>
      <c r="B722" s="36"/>
      <c r="C722" s="6"/>
      <c r="D722" s="36"/>
      <c r="E722" s="36"/>
      <c r="F722" s="36"/>
      <c r="G722" s="6"/>
      <c r="H722" s="36"/>
      <c r="I722" s="36"/>
      <c r="J722" s="37"/>
      <c r="K722" s="60"/>
      <c r="M722" s="61"/>
      <c r="N722" s="61"/>
      <c r="O722" s="61"/>
      <c r="P722" s="61"/>
      <c r="Q722" s="61"/>
      <c r="R722" s="61"/>
      <c r="S722" s="62"/>
      <c r="T722" s="62"/>
      <c r="U722" s="62"/>
    </row>
    <row r="723" spans="1:21" ht="15.75" customHeight="1" x14ac:dyDescent="0.3">
      <c r="A723" s="36"/>
      <c r="B723" s="36"/>
      <c r="C723" s="6"/>
      <c r="D723" s="36"/>
      <c r="E723" s="36"/>
      <c r="F723" s="36"/>
      <c r="G723" s="6"/>
      <c r="H723" s="36"/>
      <c r="I723" s="36"/>
      <c r="J723" s="37"/>
      <c r="K723" s="60"/>
      <c r="M723" s="61"/>
      <c r="N723" s="61"/>
      <c r="O723" s="61"/>
      <c r="P723" s="61"/>
      <c r="Q723" s="61"/>
      <c r="R723" s="61"/>
      <c r="S723" s="62"/>
      <c r="T723" s="62"/>
      <c r="U723" s="62"/>
    </row>
    <row r="724" spans="1:21" ht="15.75" customHeight="1" x14ac:dyDescent="0.3">
      <c r="A724" s="36"/>
      <c r="B724" s="36"/>
      <c r="C724" s="6"/>
      <c r="D724" s="36"/>
      <c r="E724" s="36"/>
      <c r="F724" s="36"/>
      <c r="G724" s="6"/>
      <c r="H724" s="36"/>
      <c r="I724" s="36"/>
      <c r="J724" s="37"/>
      <c r="K724" s="60"/>
      <c r="M724" s="61"/>
      <c r="N724" s="61"/>
      <c r="O724" s="61"/>
      <c r="P724" s="61"/>
      <c r="Q724" s="61"/>
      <c r="R724" s="61"/>
      <c r="S724" s="62"/>
      <c r="T724" s="62"/>
      <c r="U724" s="62"/>
    </row>
    <row r="725" spans="1:21" ht="15.75" customHeight="1" x14ac:dyDescent="0.3">
      <c r="A725" s="36"/>
      <c r="B725" s="36"/>
      <c r="C725" s="6"/>
      <c r="D725" s="36"/>
      <c r="E725" s="36"/>
      <c r="F725" s="36"/>
      <c r="G725" s="6"/>
      <c r="H725" s="36"/>
      <c r="I725" s="36"/>
      <c r="J725" s="37"/>
      <c r="K725" s="60"/>
      <c r="M725" s="61"/>
      <c r="N725" s="61"/>
      <c r="O725" s="61"/>
      <c r="P725" s="61"/>
      <c r="Q725" s="61"/>
      <c r="R725" s="61"/>
      <c r="S725" s="62"/>
      <c r="T725" s="62"/>
      <c r="U725" s="62"/>
    </row>
    <row r="726" spans="1:21" ht="15.75" customHeight="1" x14ac:dyDescent="0.3">
      <c r="A726" s="36"/>
      <c r="B726" s="36"/>
      <c r="C726" s="6"/>
      <c r="D726" s="36"/>
      <c r="E726" s="36"/>
      <c r="F726" s="36"/>
      <c r="G726" s="6"/>
      <c r="H726" s="36"/>
      <c r="I726" s="36"/>
      <c r="J726" s="37"/>
      <c r="K726" s="60"/>
      <c r="M726" s="61"/>
      <c r="N726" s="61"/>
      <c r="O726" s="61"/>
      <c r="P726" s="61"/>
      <c r="Q726" s="61"/>
      <c r="R726" s="61"/>
      <c r="S726" s="62"/>
      <c r="T726" s="62"/>
      <c r="U726" s="62"/>
    </row>
    <row r="727" spans="1:21" ht="15.75" customHeight="1" x14ac:dyDescent="0.3">
      <c r="A727" s="36"/>
      <c r="B727" s="36"/>
      <c r="C727" s="6"/>
      <c r="D727" s="36"/>
      <c r="E727" s="36"/>
      <c r="F727" s="36"/>
      <c r="G727" s="6"/>
      <c r="H727" s="36"/>
      <c r="I727" s="36"/>
      <c r="J727" s="37"/>
      <c r="K727" s="60"/>
      <c r="M727" s="61"/>
      <c r="N727" s="61"/>
      <c r="O727" s="61"/>
      <c r="P727" s="61"/>
      <c r="Q727" s="61"/>
      <c r="R727" s="61"/>
      <c r="S727" s="62"/>
      <c r="T727" s="62"/>
      <c r="U727" s="62"/>
    </row>
    <row r="728" spans="1:21" ht="15.75" customHeight="1" x14ac:dyDescent="0.3">
      <c r="A728" s="36"/>
      <c r="B728" s="36"/>
      <c r="C728" s="6"/>
      <c r="D728" s="36"/>
      <c r="E728" s="36"/>
      <c r="F728" s="36"/>
      <c r="G728" s="6"/>
      <c r="H728" s="36"/>
      <c r="I728" s="36"/>
      <c r="J728" s="37"/>
      <c r="K728" s="60"/>
      <c r="M728" s="61"/>
      <c r="N728" s="61"/>
      <c r="O728" s="61"/>
      <c r="P728" s="61"/>
      <c r="Q728" s="61"/>
      <c r="R728" s="61"/>
      <c r="S728" s="62"/>
      <c r="T728" s="62"/>
      <c r="U728" s="62"/>
    </row>
    <row r="729" spans="1:21" ht="15.75" customHeight="1" x14ac:dyDescent="0.3">
      <c r="A729" s="36"/>
      <c r="B729" s="36"/>
      <c r="C729" s="6"/>
      <c r="D729" s="36"/>
      <c r="E729" s="36"/>
      <c r="F729" s="36"/>
      <c r="G729" s="6"/>
      <c r="H729" s="36"/>
      <c r="I729" s="36"/>
      <c r="J729" s="37"/>
      <c r="K729" s="60"/>
      <c r="M729" s="61"/>
      <c r="N729" s="61"/>
      <c r="O729" s="61"/>
      <c r="P729" s="61"/>
      <c r="Q729" s="61"/>
      <c r="R729" s="61"/>
      <c r="S729" s="62"/>
      <c r="T729" s="62"/>
      <c r="U729" s="62"/>
    </row>
    <row r="730" spans="1:21" ht="15.75" customHeight="1" x14ac:dyDescent="0.3">
      <c r="A730" s="36"/>
      <c r="B730" s="36"/>
      <c r="C730" s="6"/>
      <c r="D730" s="36"/>
      <c r="E730" s="36"/>
      <c r="F730" s="36"/>
      <c r="G730" s="6"/>
      <c r="H730" s="36"/>
      <c r="I730" s="36"/>
      <c r="J730" s="37"/>
      <c r="K730" s="60"/>
      <c r="M730" s="61"/>
      <c r="N730" s="61"/>
      <c r="O730" s="61"/>
      <c r="P730" s="61"/>
      <c r="Q730" s="61"/>
      <c r="R730" s="61"/>
      <c r="S730" s="62"/>
      <c r="T730" s="62"/>
      <c r="U730" s="62"/>
    </row>
    <row r="731" spans="1:21" ht="15.75" customHeight="1" x14ac:dyDescent="0.3">
      <c r="A731" s="36"/>
      <c r="B731" s="36"/>
      <c r="C731" s="6"/>
      <c r="D731" s="36"/>
      <c r="E731" s="36"/>
      <c r="F731" s="36"/>
      <c r="G731" s="6"/>
      <c r="H731" s="36"/>
      <c r="I731" s="36"/>
      <c r="J731" s="37"/>
      <c r="K731" s="60"/>
      <c r="M731" s="61"/>
      <c r="N731" s="61"/>
      <c r="O731" s="61"/>
      <c r="P731" s="61"/>
      <c r="Q731" s="61"/>
      <c r="R731" s="61"/>
      <c r="S731" s="62"/>
      <c r="T731" s="62"/>
      <c r="U731" s="62"/>
    </row>
    <row r="732" spans="1:21" ht="15.75" customHeight="1" x14ac:dyDescent="0.3">
      <c r="A732" s="36"/>
      <c r="B732" s="36"/>
      <c r="C732" s="6"/>
      <c r="D732" s="36"/>
      <c r="E732" s="36"/>
      <c r="F732" s="36"/>
      <c r="G732" s="6"/>
      <c r="H732" s="36"/>
      <c r="I732" s="36"/>
      <c r="J732" s="37"/>
      <c r="K732" s="60"/>
      <c r="M732" s="61"/>
      <c r="N732" s="61"/>
      <c r="O732" s="61"/>
      <c r="P732" s="61"/>
      <c r="Q732" s="61"/>
      <c r="R732" s="61"/>
      <c r="S732" s="62"/>
      <c r="T732" s="62"/>
      <c r="U732" s="62"/>
    </row>
    <row r="733" spans="1:21" ht="15.75" customHeight="1" x14ac:dyDescent="0.3">
      <c r="A733" s="36"/>
      <c r="B733" s="36"/>
      <c r="C733" s="6"/>
      <c r="D733" s="36"/>
      <c r="E733" s="36"/>
      <c r="F733" s="36"/>
      <c r="G733" s="6"/>
      <c r="H733" s="36"/>
      <c r="I733" s="36"/>
      <c r="J733" s="37"/>
      <c r="K733" s="60"/>
      <c r="M733" s="61"/>
      <c r="N733" s="61"/>
      <c r="O733" s="61"/>
      <c r="P733" s="61"/>
      <c r="Q733" s="61"/>
      <c r="R733" s="61"/>
      <c r="S733" s="62"/>
      <c r="T733" s="62"/>
      <c r="U733" s="62"/>
    </row>
    <row r="734" spans="1:21" ht="15.75" customHeight="1" x14ac:dyDescent="0.3">
      <c r="A734" s="36"/>
      <c r="B734" s="36"/>
      <c r="C734" s="6"/>
      <c r="D734" s="36"/>
      <c r="E734" s="36"/>
      <c r="F734" s="36"/>
      <c r="G734" s="6"/>
      <c r="H734" s="36"/>
      <c r="I734" s="36"/>
      <c r="J734" s="37"/>
      <c r="K734" s="60"/>
      <c r="M734" s="61"/>
      <c r="N734" s="61"/>
      <c r="O734" s="61"/>
      <c r="P734" s="61"/>
      <c r="Q734" s="61"/>
      <c r="R734" s="61"/>
      <c r="S734" s="62"/>
      <c r="T734" s="62"/>
      <c r="U734" s="62"/>
    </row>
    <row r="735" spans="1:21" ht="15.75" customHeight="1" x14ac:dyDescent="0.3">
      <c r="A735" s="36"/>
      <c r="B735" s="36"/>
      <c r="C735" s="6"/>
      <c r="D735" s="36"/>
      <c r="E735" s="36"/>
      <c r="F735" s="36"/>
      <c r="G735" s="6"/>
      <c r="H735" s="36"/>
      <c r="I735" s="36"/>
      <c r="J735" s="37"/>
      <c r="K735" s="60"/>
      <c r="M735" s="61"/>
      <c r="N735" s="61"/>
      <c r="O735" s="61"/>
      <c r="P735" s="61"/>
      <c r="Q735" s="61"/>
      <c r="R735" s="61"/>
      <c r="S735" s="62"/>
      <c r="T735" s="62"/>
      <c r="U735" s="62"/>
    </row>
    <row r="736" spans="1:21" ht="15.75" customHeight="1" x14ac:dyDescent="0.3">
      <c r="A736" s="36"/>
      <c r="B736" s="36"/>
      <c r="C736" s="6"/>
      <c r="D736" s="36"/>
      <c r="E736" s="36"/>
      <c r="F736" s="36"/>
      <c r="G736" s="6"/>
      <c r="H736" s="36"/>
      <c r="I736" s="36"/>
      <c r="J736" s="37"/>
      <c r="K736" s="60"/>
      <c r="M736" s="61"/>
      <c r="N736" s="61"/>
      <c r="O736" s="61"/>
      <c r="P736" s="61"/>
      <c r="Q736" s="61"/>
      <c r="R736" s="61"/>
      <c r="S736" s="62"/>
      <c r="T736" s="62"/>
      <c r="U736" s="62"/>
    </row>
    <row r="737" spans="1:21" ht="15.75" customHeight="1" x14ac:dyDescent="0.3">
      <c r="A737" s="36"/>
      <c r="B737" s="36"/>
      <c r="C737" s="6"/>
      <c r="D737" s="36"/>
      <c r="E737" s="36"/>
      <c r="F737" s="36"/>
      <c r="G737" s="6"/>
      <c r="H737" s="36"/>
      <c r="I737" s="36"/>
      <c r="J737" s="37"/>
      <c r="K737" s="60"/>
      <c r="M737" s="61"/>
      <c r="N737" s="61"/>
      <c r="O737" s="61"/>
      <c r="P737" s="61"/>
      <c r="Q737" s="61"/>
      <c r="R737" s="61"/>
      <c r="S737" s="62"/>
      <c r="T737" s="62"/>
      <c r="U737" s="62"/>
    </row>
    <row r="738" spans="1:21" ht="15.75" customHeight="1" x14ac:dyDescent="0.3">
      <c r="A738" s="36"/>
      <c r="B738" s="36"/>
      <c r="C738" s="6"/>
      <c r="D738" s="36"/>
      <c r="E738" s="36"/>
      <c r="F738" s="36"/>
      <c r="G738" s="6"/>
      <c r="H738" s="36"/>
      <c r="I738" s="36"/>
      <c r="J738" s="37"/>
      <c r="K738" s="60"/>
      <c r="M738" s="61"/>
      <c r="N738" s="61"/>
      <c r="O738" s="61"/>
      <c r="P738" s="61"/>
      <c r="Q738" s="61"/>
      <c r="R738" s="61"/>
      <c r="S738" s="62"/>
      <c r="T738" s="62"/>
      <c r="U738" s="62"/>
    </row>
    <row r="739" spans="1:21" ht="15.75" customHeight="1" x14ac:dyDescent="0.3">
      <c r="A739" s="36"/>
      <c r="B739" s="36"/>
      <c r="C739" s="6"/>
      <c r="D739" s="36"/>
      <c r="E739" s="36"/>
      <c r="F739" s="36"/>
      <c r="G739" s="6"/>
      <c r="H739" s="36"/>
      <c r="I739" s="36"/>
      <c r="J739" s="37"/>
      <c r="K739" s="60"/>
      <c r="M739" s="61"/>
      <c r="N739" s="61"/>
      <c r="O739" s="61"/>
      <c r="P739" s="61"/>
      <c r="Q739" s="61"/>
      <c r="R739" s="61"/>
      <c r="S739" s="62"/>
      <c r="T739" s="62"/>
      <c r="U739" s="62"/>
    </row>
    <row r="740" spans="1:21" ht="15.75" customHeight="1" x14ac:dyDescent="0.3">
      <c r="A740" s="36"/>
      <c r="B740" s="36"/>
      <c r="C740" s="6"/>
      <c r="D740" s="36"/>
      <c r="E740" s="36"/>
      <c r="F740" s="36"/>
      <c r="G740" s="6"/>
      <c r="H740" s="36"/>
      <c r="I740" s="36"/>
      <c r="J740" s="37"/>
      <c r="K740" s="60"/>
      <c r="M740" s="61"/>
      <c r="N740" s="61"/>
      <c r="O740" s="61"/>
      <c r="P740" s="61"/>
      <c r="Q740" s="61"/>
      <c r="R740" s="61"/>
      <c r="S740" s="62"/>
      <c r="T740" s="62"/>
      <c r="U740" s="62"/>
    </row>
    <row r="741" spans="1:21" ht="15.75" customHeight="1" x14ac:dyDescent="0.3">
      <c r="A741" s="36"/>
      <c r="B741" s="36"/>
      <c r="C741" s="6"/>
      <c r="D741" s="36"/>
      <c r="E741" s="36"/>
      <c r="F741" s="36"/>
      <c r="G741" s="6"/>
      <c r="H741" s="36"/>
      <c r="I741" s="36"/>
      <c r="J741" s="37"/>
      <c r="K741" s="60"/>
      <c r="M741" s="61"/>
      <c r="N741" s="61"/>
      <c r="O741" s="61"/>
      <c r="P741" s="61"/>
      <c r="Q741" s="61"/>
      <c r="R741" s="61"/>
      <c r="S741" s="62"/>
      <c r="T741" s="62"/>
      <c r="U741" s="62"/>
    </row>
    <row r="742" spans="1:21" ht="15.75" customHeight="1" x14ac:dyDescent="0.3">
      <c r="A742" s="36"/>
      <c r="B742" s="36"/>
      <c r="C742" s="6"/>
      <c r="D742" s="36"/>
      <c r="E742" s="36"/>
      <c r="F742" s="36"/>
      <c r="G742" s="6"/>
      <c r="H742" s="36"/>
      <c r="I742" s="36"/>
      <c r="J742" s="37"/>
      <c r="K742" s="60"/>
      <c r="M742" s="61"/>
      <c r="N742" s="61"/>
      <c r="O742" s="61"/>
      <c r="P742" s="61"/>
      <c r="Q742" s="61"/>
      <c r="R742" s="61"/>
      <c r="S742" s="62"/>
      <c r="T742" s="62"/>
      <c r="U742" s="62"/>
    </row>
    <row r="743" spans="1:21" ht="15.75" customHeight="1" x14ac:dyDescent="0.3">
      <c r="A743" s="36"/>
      <c r="B743" s="36"/>
      <c r="C743" s="6"/>
      <c r="D743" s="36"/>
      <c r="E743" s="36"/>
      <c r="F743" s="36"/>
      <c r="G743" s="6"/>
      <c r="H743" s="36"/>
      <c r="I743" s="36"/>
      <c r="J743" s="37"/>
      <c r="K743" s="60"/>
      <c r="M743" s="61"/>
      <c r="N743" s="61"/>
      <c r="O743" s="61"/>
      <c r="P743" s="61"/>
      <c r="Q743" s="61"/>
      <c r="R743" s="61"/>
      <c r="S743" s="62"/>
      <c r="T743" s="62"/>
      <c r="U743" s="62"/>
    </row>
    <row r="744" spans="1:21" ht="15.75" customHeight="1" x14ac:dyDescent="0.3">
      <c r="A744" s="36"/>
      <c r="B744" s="36"/>
      <c r="C744" s="6"/>
      <c r="D744" s="36"/>
      <c r="E744" s="36"/>
      <c r="F744" s="36"/>
      <c r="G744" s="6"/>
      <c r="H744" s="36"/>
      <c r="I744" s="36"/>
      <c r="J744" s="37"/>
      <c r="K744" s="60"/>
      <c r="M744" s="61"/>
      <c r="N744" s="61"/>
      <c r="O744" s="61"/>
      <c r="P744" s="61"/>
      <c r="Q744" s="61"/>
      <c r="R744" s="61"/>
      <c r="S744" s="62"/>
      <c r="T744" s="62"/>
      <c r="U744" s="62"/>
    </row>
    <row r="745" spans="1:21" ht="15.75" customHeight="1" x14ac:dyDescent="0.3">
      <c r="A745" s="36"/>
      <c r="B745" s="36"/>
      <c r="C745" s="6"/>
      <c r="D745" s="36"/>
      <c r="E745" s="36"/>
      <c r="F745" s="36"/>
      <c r="G745" s="6"/>
      <c r="H745" s="36"/>
      <c r="I745" s="36"/>
      <c r="J745" s="37"/>
      <c r="K745" s="60"/>
      <c r="M745" s="61"/>
      <c r="N745" s="61"/>
      <c r="O745" s="61"/>
      <c r="P745" s="61"/>
      <c r="Q745" s="61"/>
      <c r="R745" s="61"/>
      <c r="S745" s="62"/>
      <c r="T745" s="62"/>
      <c r="U745" s="62"/>
    </row>
    <row r="746" spans="1:21" ht="15.75" customHeight="1" x14ac:dyDescent="0.3">
      <c r="A746" s="36"/>
      <c r="B746" s="36"/>
      <c r="C746" s="6"/>
      <c r="D746" s="36"/>
      <c r="E746" s="36"/>
      <c r="F746" s="36"/>
      <c r="G746" s="6"/>
      <c r="H746" s="36"/>
      <c r="I746" s="36"/>
      <c r="J746" s="37"/>
      <c r="K746" s="60"/>
      <c r="M746" s="61"/>
      <c r="N746" s="61"/>
      <c r="O746" s="61"/>
      <c r="P746" s="61"/>
      <c r="Q746" s="61"/>
      <c r="R746" s="61"/>
      <c r="S746" s="62"/>
      <c r="T746" s="62"/>
      <c r="U746" s="62"/>
    </row>
    <row r="747" spans="1:21" ht="15.75" customHeight="1" x14ac:dyDescent="0.3">
      <c r="A747" s="36"/>
      <c r="B747" s="36"/>
      <c r="C747" s="6"/>
      <c r="D747" s="36"/>
      <c r="E747" s="36"/>
      <c r="F747" s="36"/>
      <c r="G747" s="6"/>
      <c r="H747" s="36"/>
      <c r="I747" s="36"/>
      <c r="J747" s="37"/>
      <c r="K747" s="60"/>
      <c r="M747" s="61"/>
      <c r="N747" s="61"/>
      <c r="O747" s="61"/>
      <c r="P747" s="61"/>
      <c r="Q747" s="61"/>
      <c r="R747" s="61"/>
      <c r="S747" s="62"/>
      <c r="T747" s="62"/>
      <c r="U747" s="62"/>
    </row>
    <row r="748" spans="1:21" ht="15.75" customHeight="1" x14ac:dyDescent="0.3">
      <c r="A748" s="36"/>
      <c r="B748" s="36"/>
      <c r="C748" s="6"/>
      <c r="D748" s="36"/>
      <c r="E748" s="36"/>
      <c r="F748" s="36"/>
      <c r="G748" s="6"/>
      <c r="H748" s="36"/>
      <c r="I748" s="36"/>
      <c r="J748" s="37"/>
      <c r="K748" s="60"/>
      <c r="M748" s="61"/>
      <c r="N748" s="61"/>
      <c r="O748" s="61"/>
      <c r="P748" s="61"/>
      <c r="Q748" s="61"/>
      <c r="R748" s="61"/>
      <c r="S748" s="62"/>
      <c r="T748" s="62"/>
      <c r="U748" s="62"/>
    </row>
    <row r="749" spans="1:21" ht="15.75" customHeight="1" x14ac:dyDescent="0.3">
      <c r="A749" s="36"/>
      <c r="B749" s="36"/>
      <c r="C749" s="6"/>
      <c r="D749" s="36"/>
      <c r="E749" s="36"/>
      <c r="F749" s="36"/>
      <c r="G749" s="6"/>
      <c r="H749" s="36"/>
      <c r="I749" s="36"/>
      <c r="J749" s="37"/>
      <c r="K749" s="60"/>
      <c r="M749" s="61"/>
      <c r="N749" s="61"/>
      <c r="O749" s="61"/>
      <c r="P749" s="61"/>
      <c r="Q749" s="61"/>
      <c r="R749" s="61"/>
      <c r="S749" s="62"/>
      <c r="T749" s="62"/>
      <c r="U749" s="62"/>
    </row>
    <row r="750" spans="1:21" ht="15.75" customHeight="1" x14ac:dyDescent="0.3">
      <c r="A750" s="36"/>
      <c r="B750" s="36"/>
      <c r="C750" s="6"/>
      <c r="D750" s="36"/>
      <c r="E750" s="36"/>
      <c r="F750" s="36"/>
      <c r="G750" s="6"/>
      <c r="H750" s="36"/>
      <c r="I750" s="36"/>
      <c r="J750" s="37"/>
      <c r="K750" s="60"/>
      <c r="M750" s="61"/>
      <c r="N750" s="61"/>
      <c r="O750" s="61"/>
      <c r="P750" s="61"/>
      <c r="Q750" s="61"/>
      <c r="R750" s="61"/>
      <c r="S750" s="62"/>
      <c r="T750" s="62"/>
      <c r="U750" s="62"/>
    </row>
    <row r="751" spans="1:21" ht="15.75" customHeight="1" x14ac:dyDescent="0.3">
      <c r="A751" s="36"/>
      <c r="B751" s="36"/>
      <c r="C751" s="6"/>
      <c r="D751" s="36"/>
      <c r="E751" s="36"/>
      <c r="F751" s="36"/>
      <c r="G751" s="6"/>
      <c r="H751" s="36"/>
      <c r="I751" s="36"/>
      <c r="J751" s="37"/>
      <c r="K751" s="60"/>
      <c r="M751" s="61"/>
      <c r="N751" s="61"/>
      <c r="O751" s="61"/>
      <c r="P751" s="61"/>
      <c r="Q751" s="61"/>
      <c r="R751" s="61"/>
      <c r="S751" s="62"/>
      <c r="T751" s="62"/>
      <c r="U751" s="62"/>
    </row>
    <row r="752" spans="1:21" ht="15.75" customHeight="1" x14ac:dyDescent="0.3">
      <c r="A752" s="36"/>
      <c r="B752" s="36"/>
      <c r="C752" s="6"/>
      <c r="D752" s="36"/>
      <c r="E752" s="36"/>
      <c r="F752" s="36"/>
      <c r="G752" s="6"/>
      <c r="H752" s="36"/>
      <c r="I752" s="36"/>
      <c r="J752" s="37"/>
      <c r="K752" s="60"/>
      <c r="M752" s="61"/>
      <c r="N752" s="61"/>
      <c r="O752" s="61"/>
      <c r="P752" s="61"/>
      <c r="Q752" s="61"/>
      <c r="R752" s="61"/>
      <c r="S752" s="62"/>
      <c r="T752" s="62"/>
      <c r="U752" s="62"/>
    </row>
    <row r="753" spans="1:21" ht="15.75" customHeight="1" x14ac:dyDescent="0.3">
      <c r="A753" s="36"/>
      <c r="B753" s="36"/>
      <c r="C753" s="6"/>
      <c r="D753" s="36"/>
      <c r="E753" s="36"/>
      <c r="F753" s="36"/>
      <c r="G753" s="6"/>
      <c r="H753" s="36"/>
      <c r="I753" s="36"/>
      <c r="J753" s="37"/>
      <c r="K753" s="60"/>
      <c r="M753" s="61"/>
      <c r="N753" s="61"/>
      <c r="O753" s="61"/>
      <c r="P753" s="61"/>
      <c r="Q753" s="61"/>
      <c r="R753" s="61"/>
      <c r="S753" s="62"/>
      <c r="T753" s="62"/>
      <c r="U753" s="62"/>
    </row>
    <row r="754" spans="1:21" ht="15.75" customHeight="1" x14ac:dyDescent="0.3">
      <c r="A754" s="36"/>
      <c r="B754" s="36"/>
      <c r="C754" s="6"/>
      <c r="D754" s="36"/>
      <c r="E754" s="36"/>
      <c r="F754" s="36"/>
      <c r="G754" s="6"/>
      <c r="H754" s="36"/>
      <c r="I754" s="36"/>
      <c r="J754" s="37"/>
      <c r="K754" s="60"/>
      <c r="M754" s="61"/>
      <c r="N754" s="61"/>
      <c r="O754" s="61"/>
      <c r="P754" s="61"/>
      <c r="Q754" s="61"/>
      <c r="R754" s="61"/>
      <c r="S754" s="62"/>
      <c r="T754" s="62"/>
      <c r="U754" s="62"/>
    </row>
    <row r="755" spans="1:21" ht="15.75" customHeight="1" x14ac:dyDescent="0.3">
      <c r="A755" s="36"/>
      <c r="B755" s="36"/>
      <c r="C755" s="6"/>
      <c r="D755" s="36"/>
      <c r="E755" s="36"/>
      <c r="F755" s="36"/>
      <c r="G755" s="6"/>
      <c r="H755" s="36"/>
      <c r="I755" s="36"/>
      <c r="J755" s="37"/>
      <c r="K755" s="60"/>
      <c r="M755" s="61"/>
      <c r="N755" s="61"/>
      <c r="O755" s="61"/>
      <c r="P755" s="61"/>
      <c r="Q755" s="61"/>
      <c r="R755" s="61"/>
      <c r="S755" s="62"/>
      <c r="T755" s="62"/>
      <c r="U755" s="62"/>
    </row>
    <row r="756" spans="1:21" ht="15.75" customHeight="1" x14ac:dyDescent="0.3">
      <c r="A756" s="36"/>
      <c r="B756" s="36"/>
      <c r="C756" s="6"/>
      <c r="D756" s="36"/>
      <c r="E756" s="36"/>
      <c r="F756" s="36"/>
      <c r="G756" s="6"/>
      <c r="H756" s="36"/>
      <c r="I756" s="36"/>
      <c r="J756" s="37"/>
      <c r="K756" s="60"/>
      <c r="M756" s="61"/>
      <c r="N756" s="61"/>
      <c r="O756" s="61"/>
      <c r="P756" s="61"/>
      <c r="Q756" s="61"/>
      <c r="R756" s="61"/>
      <c r="S756" s="62"/>
      <c r="T756" s="62"/>
      <c r="U756" s="62"/>
    </row>
    <row r="757" spans="1:21" ht="15.75" customHeight="1" x14ac:dyDescent="0.3">
      <c r="A757" s="36"/>
      <c r="B757" s="36"/>
      <c r="C757" s="6"/>
      <c r="D757" s="36"/>
      <c r="E757" s="36"/>
      <c r="F757" s="36"/>
      <c r="G757" s="6"/>
      <c r="H757" s="36"/>
      <c r="I757" s="36"/>
      <c r="J757" s="37"/>
      <c r="K757" s="60"/>
      <c r="M757" s="61"/>
      <c r="N757" s="61"/>
      <c r="O757" s="61"/>
      <c r="P757" s="61"/>
      <c r="Q757" s="61"/>
      <c r="R757" s="61"/>
      <c r="S757" s="62"/>
      <c r="T757" s="62"/>
      <c r="U757" s="62"/>
    </row>
    <row r="758" spans="1:21" ht="15.75" customHeight="1" x14ac:dyDescent="0.3">
      <c r="A758" s="36"/>
      <c r="B758" s="36"/>
      <c r="C758" s="6"/>
      <c r="D758" s="36"/>
      <c r="E758" s="36"/>
      <c r="F758" s="36"/>
      <c r="G758" s="6"/>
      <c r="H758" s="36"/>
      <c r="I758" s="36"/>
      <c r="J758" s="37"/>
      <c r="K758" s="60"/>
      <c r="M758" s="61"/>
      <c r="N758" s="61"/>
      <c r="O758" s="61"/>
      <c r="P758" s="61"/>
      <c r="Q758" s="61"/>
      <c r="R758" s="61"/>
      <c r="S758" s="62"/>
      <c r="T758" s="62"/>
      <c r="U758" s="62"/>
    </row>
    <row r="759" spans="1:21" ht="15.75" customHeight="1" x14ac:dyDescent="0.3">
      <c r="A759" s="36"/>
      <c r="B759" s="36"/>
      <c r="C759" s="6"/>
      <c r="D759" s="36"/>
      <c r="E759" s="36"/>
      <c r="F759" s="36"/>
      <c r="G759" s="6"/>
      <c r="H759" s="36"/>
      <c r="I759" s="36"/>
      <c r="J759" s="37"/>
      <c r="K759" s="60"/>
      <c r="M759" s="61"/>
      <c r="N759" s="61"/>
      <c r="O759" s="61"/>
      <c r="P759" s="61"/>
      <c r="Q759" s="61"/>
      <c r="R759" s="61"/>
      <c r="S759" s="62"/>
      <c r="T759" s="62"/>
      <c r="U759" s="62"/>
    </row>
    <row r="760" spans="1:21" ht="15.75" customHeight="1" x14ac:dyDescent="0.3">
      <c r="A760" s="36"/>
      <c r="B760" s="36"/>
      <c r="C760" s="6"/>
      <c r="D760" s="36"/>
      <c r="E760" s="36"/>
      <c r="F760" s="36"/>
      <c r="G760" s="6"/>
      <c r="H760" s="36"/>
      <c r="I760" s="36"/>
      <c r="J760" s="37"/>
      <c r="K760" s="60"/>
      <c r="M760" s="61"/>
      <c r="N760" s="61"/>
      <c r="O760" s="61"/>
      <c r="P760" s="61"/>
      <c r="Q760" s="61"/>
      <c r="R760" s="61"/>
      <c r="S760" s="62"/>
      <c r="T760" s="62"/>
      <c r="U760" s="62"/>
    </row>
    <row r="761" spans="1:21" ht="15.75" customHeight="1" x14ac:dyDescent="0.3">
      <c r="A761" s="36"/>
      <c r="B761" s="36"/>
      <c r="C761" s="6"/>
      <c r="D761" s="36"/>
      <c r="E761" s="36"/>
      <c r="F761" s="36"/>
      <c r="G761" s="6"/>
      <c r="H761" s="36"/>
      <c r="I761" s="36"/>
      <c r="J761" s="37"/>
      <c r="K761" s="60"/>
      <c r="M761" s="61"/>
      <c r="N761" s="61"/>
      <c r="O761" s="61"/>
      <c r="P761" s="61"/>
      <c r="Q761" s="61"/>
      <c r="R761" s="61"/>
      <c r="S761" s="62"/>
      <c r="T761" s="62"/>
      <c r="U761" s="62"/>
    </row>
    <row r="762" spans="1:21" ht="15.75" customHeight="1" x14ac:dyDescent="0.3">
      <c r="A762" s="36"/>
      <c r="B762" s="36"/>
      <c r="C762" s="6"/>
      <c r="D762" s="36"/>
      <c r="E762" s="36"/>
      <c r="F762" s="36"/>
      <c r="G762" s="6"/>
      <c r="H762" s="36"/>
      <c r="I762" s="36"/>
      <c r="J762" s="37"/>
      <c r="K762" s="60"/>
      <c r="M762" s="61"/>
      <c r="N762" s="61"/>
      <c r="O762" s="61"/>
      <c r="P762" s="61"/>
      <c r="Q762" s="61"/>
      <c r="R762" s="61"/>
      <c r="S762" s="62"/>
      <c r="T762" s="62"/>
      <c r="U762" s="62"/>
    </row>
    <row r="763" spans="1:21" ht="15.75" customHeight="1" x14ac:dyDescent="0.3">
      <c r="A763" s="36"/>
      <c r="B763" s="36"/>
      <c r="C763" s="6"/>
      <c r="D763" s="36"/>
      <c r="E763" s="36"/>
      <c r="F763" s="36"/>
      <c r="G763" s="6"/>
      <c r="H763" s="36"/>
      <c r="I763" s="36"/>
      <c r="J763" s="37"/>
      <c r="K763" s="60"/>
      <c r="M763" s="61"/>
      <c r="N763" s="61"/>
      <c r="O763" s="61"/>
      <c r="P763" s="61"/>
      <c r="Q763" s="61"/>
      <c r="R763" s="61"/>
      <c r="S763" s="62"/>
      <c r="T763" s="62"/>
      <c r="U763" s="62"/>
    </row>
    <row r="764" spans="1:21" ht="15.75" customHeight="1" x14ac:dyDescent="0.3">
      <c r="A764" s="36"/>
      <c r="B764" s="36"/>
      <c r="C764" s="6"/>
      <c r="D764" s="36"/>
      <c r="E764" s="36"/>
      <c r="F764" s="36"/>
      <c r="G764" s="6"/>
      <c r="H764" s="36"/>
      <c r="I764" s="36"/>
      <c r="J764" s="37"/>
      <c r="K764" s="60"/>
      <c r="M764" s="61"/>
      <c r="N764" s="61"/>
      <c r="O764" s="61"/>
      <c r="P764" s="61"/>
      <c r="Q764" s="61"/>
      <c r="R764" s="61"/>
      <c r="S764" s="62"/>
      <c r="T764" s="62"/>
      <c r="U764" s="62"/>
    </row>
    <row r="765" spans="1:21" ht="15.75" customHeight="1" x14ac:dyDescent="0.3">
      <c r="A765" s="36"/>
      <c r="B765" s="36"/>
      <c r="C765" s="6"/>
      <c r="D765" s="36"/>
      <c r="E765" s="36"/>
      <c r="F765" s="36"/>
      <c r="G765" s="6"/>
      <c r="H765" s="36"/>
      <c r="I765" s="36"/>
      <c r="J765" s="37"/>
      <c r="K765" s="60"/>
      <c r="M765" s="61"/>
      <c r="N765" s="61"/>
      <c r="O765" s="61"/>
      <c r="P765" s="61"/>
      <c r="Q765" s="61"/>
      <c r="R765" s="61"/>
      <c r="S765" s="62"/>
      <c r="T765" s="62"/>
      <c r="U765" s="62"/>
    </row>
    <row r="766" spans="1:21" ht="15.75" customHeight="1" x14ac:dyDescent="0.3">
      <c r="A766" s="36"/>
      <c r="B766" s="36"/>
      <c r="C766" s="6"/>
      <c r="D766" s="36"/>
      <c r="E766" s="36"/>
      <c r="F766" s="36"/>
      <c r="G766" s="6"/>
      <c r="H766" s="36"/>
      <c r="I766" s="36"/>
      <c r="J766" s="37"/>
      <c r="K766" s="60"/>
      <c r="M766" s="61"/>
      <c r="N766" s="61"/>
      <c r="O766" s="61"/>
      <c r="P766" s="61"/>
      <c r="Q766" s="61"/>
      <c r="R766" s="61"/>
      <c r="S766" s="62"/>
      <c r="T766" s="62"/>
      <c r="U766" s="62"/>
    </row>
    <row r="767" spans="1:21" ht="15.75" customHeight="1" x14ac:dyDescent="0.3">
      <c r="A767" s="36"/>
      <c r="B767" s="36"/>
      <c r="C767" s="6"/>
      <c r="D767" s="36"/>
      <c r="E767" s="36"/>
      <c r="F767" s="36"/>
      <c r="G767" s="6"/>
      <c r="H767" s="36"/>
      <c r="I767" s="36"/>
      <c r="J767" s="37"/>
      <c r="K767" s="60"/>
      <c r="M767" s="61"/>
      <c r="N767" s="61"/>
      <c r="O767" s="61"/>
      <c r="P767" s="61"/>
      <c r="Q767" s="61"/>
      <c r="R767" s="61"/>
      <c r="S767" s="62"/>
      <c r="T767" s="62"/>
      <c r="U767" s="62"/>
    </row>
    <row r="768" spans="1:21" ht="15.75" customHeight="1" x14ac:dyDescent="0.3">
      <c r="A768" s="36"/>
      <c r="B768" s="36"/>
      <c r="C768" s="6"/>
      <c r="D768" s="36"/>
      <c r="E768" s="36"/>
      <c r="F768" s="36"/>
      <c r="G768" s="6"/>
      <c r="H768" s="36"/>
      <c r="I768" s="36"/>
      <c r="J768" s="37"/>
      <c r="K768" s="60"/>
      <c r="M768" s="61"/>
      <c r="N768" s="61"/>
      <c r="O768" s="61"/>
      <c r="P768" s="61"/>
      <c r="Q768" s="61"/>
      <c r="R768" s="61"/>
      <c r="S768" s="62"/>
      <c r="T768" s="62"/>
      <c r="U768" s="62"/>
    </row>
    <row r="769" spans="1:21" ht="15.75" customHeight="1" x14ac:dyDescent="0.3">
      <c r="A769" s="36"/>
      <c r="B769" s="36"/>
      <c r="C769" s="6"/>
      <c r="D769" s="36"/>
      <c r="E769" s="36"/>
      <c r="F769" s="36"/>
      <c r="G769" s="6"/>
      <c r="H769" s="36"/>
      <c r="I769" s="36"/>
      <c r="J769" s="37"/>
      <c r="K769" s="60"/>
      <c r="M769" s="61"/>
      <c r="N769" s="61"/>
      <c r="O769" s="61"/>
      <c r="P769" s="61"/>
      <c r="Q769" s="61"/>
      <c r="R769" s="61"/>
      <c r="S769" s="62"/>
      <c r="T769" s="62"/>
      <c r="U769" s="62"/>
    </row>
    <row r="770" spans="1:21" ht="15.75" customHeight="1" x14ac:dyDescent="0.3">
      <c r="A770" s="36"/>
      <c r="B770" s="36"/>
      <c r="C770" s="6"/>
      <c r="D770" s="36"/>
      <c r="E770" s="36"/>
      <c r="F770" s="36"/>
      <c r="G770" s="6"/>
      <c r="H770" s="36"/>
      <c r="I770" s="36"/>
      <c r="J770" s="37"/>
      <c r="K770" s="60"/>
      <c r="M770" s="61"/>
      <c r="N770" s="61"/>
      <c r="O770" s="61"/>
      <c r="P770" s="61"/>
      <c r="Q770" s="61"/>
      <c r="R770" s="61"/>
      <c r="S770" s="62"/>
      <c r="T770" s="62"/>
      <c r="U770" s="62"/>
    </row>
    <row r="771" spans="1:21" ht="15.75" customHeight="1" x14ac:dyDescent="0.3">
      <c r="A771" s="36"/>
      <c r="B771" s="36"/>
      <c r="C771" s="6"/>
      <c r="D771" s="36"/>
      <c r="E771" s="36"/>
      <c r="F771" s="36"/>
      <c r="G771" s="6"/>
      <c r="H771" s="36"/>
      <c r="I771" s="36"/>
      <c r="J771" s="37"/>
      <c r="K771" s="60"/>
      <c r="M771" s="61"/>
      <c r="N771" s="61"/>
      <c r="O771" s="61"/>
      <c r="P771" s="61"/>
      <c r="Q771" s="61"/>
      <c r="R771" s="61"/>
      <c r="S771" s="62"/>
      <c r="T771" s="62"/>
      <c r="U771" s="62"/>
    </row>
    <row r="772" spans="1:21" ht="15.75" customHeight="1" x14ac:dyDescent="0.3">
      <c r="A772" s="36"/>
      <c r="B772" s="36"/>
      <c r="C772" s="6"/>
      <c r="D772" s="36"/>
      <c r="E772" s="36"/>
      <c r="F772" s="36"/>
      <c r="G772" s="6"/>
      <c r="H772" s="36"/>
      <c r="I772" s="36"/>
      <c r="J772" s="37"/>
      <c r="K772" s="60"/>
      <c r="M772" s="61"/>
      <c r="N772" s="61"/>
      <c r="O772" s="61"/>
      <c r="P772" s="61"/>
      <c r="Q772" s="61"/>
      <c r="R772" s="61"/>
      <c r="S772" s="62"/>
      <c r="T772" s="62"/>
      <c r="U772" s="62"/>
    </row>
    <row r="773" spans="1:21" ht="15.75" customHeight="1" x14ac:dyDescent="0.3">
      <c r="A773" s="36"/>
      <c r="B773" s="36"/>
      <c r="C773" s="6"/>
      <c r="D773" s="36"/>
      <c r="E773" s="36"/>
      <c r="F773" s="36"/>
      <c r="G773" s="6"/>
      <c r="H773" s="36"/>
      <c r="I773" s="36"/>
      <c r="J773" s="37"/>
      <c r="K773" s="60"/>
      <c r="M773" s="61"/>
      <c r="N773" s="61"/>
      <c r="O773" s="61"/>
      <c r="P773" s="61"/>
      <c r="Q773" s="61"/>
      <c r="R773" s="61"/>
      <c r="S773" s="62"/>
      <c r="T773" s="62"/>
      <c r="U773" s="62"/>
    </row>
    <row r="774" spans="1:21" ht="15.75" customHeight="1" x14ac:dyDescent="0.3">
      <c r="A774" s="36"/>
      <c r="B774" s="36"/>
      <c r="C774" s="6"/>
      <c r="D774" s="36"/>
      <c r="E774" s="36"/>
      <c r="F774" s="36"/>
      <c r="G774" s="6"/>
      <c r="H774" s="36"/>
      <c r="I774" s="36"/>
      <c r="J774" s="37"/>
      <c r="K774" s="60"/>
      <c r="M774" s="61"/>
      <c r="N774" s="61"/>
      <c r="O774" s="61"/>
      <c r="P774" s="61"/>
      <c r="Q774" s="61"/>
      <c r="R774" s="61"/>
      <c r="S774" s="62"/>
      <c r="T774" s="62"/>
      <c r="U774" s="62"/>
    </row>
    <row r="775" spans="1:21" ht="15.75" customHeight="1" x14ac:dyDescent="0.3">
      <c r="A775" s="36"/>
      <c r="B775" s="36"/>
      <c r="C775" s="6"/>
      <c r="D775" s="36"/>
      <c r="E775" s="36"/>
      <c r="F775" s="36"/>
      <c r="G775" s="6"/>
      <c r="H775" s="36"/>
      <c r="I775" s="36"/>
      <c r="J775" s="37"/>
      <c r="K775" s="60"/>
      <c r="M775" s="61"/>
      <c r="N775" s="61"/>
      <c r="O775" s="61"/>
      <c r="P775" s="61"/>
      <c r="Q775" s="61"/>
      <c r="R775" s="61"/>
      <c r="S775" s="62"/>
      <c r="T775" s="62"/>
      <c r="U775" s="62"/>
    </row>
    <row r="776" spans="1:21" ht="15.75" customHeight="1" x14ac:dyDescent="0.3">
      <c r="A776" s="36"/>
      <c r="B776" s="36"/>
      <c r="C776" s="6"/>
      <c r="D776" s="36"/>
      <c r="E776" s="36"/>
      <c r="F776" s="36"/>
      <c r="G776" s="6"/>
      <c r="H776" s="36"/>
      <c r="I776" s="36"/>
      <c r="J776" s="37"/>
      <c r="K776" s="60"/>
      <c r="M776" s="61"/>
      <c r="N776" s="61"/>
      <c r="O776" s="61"/>
      <c r="P776" s="61"/>
      <c r="Q776" s="61"/>
      <c r="R776" s="61"/>
      <c r="S776" s="62"/>
      <c r="T776" s="62"/>
      <c r="U776" s="62"/>
    </row>
    <row r="777" spans="1:21" ht="15.75" customHeight="1" x14ac:dyDescent="0.3">
      <c r="A777" s="36"/>
      <c r="B777" s="36"/>
      <c r="C777" s="6"/>
      <c r="D777" s="36"/>
      <c r="E777" s="36"/>
      <c r="F777" s="36"/>
      <c r="G777" s="6"/>
      <c r="H777" s="36"/>
      <c r="I777" s="36"/>
      <c r="J777" s="37"/>
      <c r="K777" s="60"/>
      <c r="M777" s="61"/>
      <c r="N777" s="61"/>
      <c r="O777" s="61"/>
      <c r="P777" s="61"/>
      <c r="Q777" s="61"/>
      <c r="R777" s="61"/>
      <c r="S777" s="62"/>
      <c r="T777" s="62"/>
      <c r="U777" s="62"/>
    </row>
    <row r="778" spans="1:21" ht="15.75" customHeight="1" x14ac:dyDescent="0.3">
      <c r="A778" s="36"/>
      <c r="B778" s="36"/>
      <c r="C778" s="6"/>
      <c r="D778" s="36"/>
      <c r="E778" s="36"/>
      <c r="F778" s="36"/>
      <c r="G778" s="6"/>
      <c r="H778" s="36"/>
      <c r="I778" s="36"/>
      <c r="J778" s="37"/>
      <c r="K778" s="60"/>
      <c r="M778" s="61"/>
      <c r="N778" s="61"/>
      <c r="O778" s="61"/>
      <c r="P778" s="61"/>
      <c r="Q778" s="61"/>
      <c r="R778" s="61"/>
      <c r="S778" s="62"/>
      <c r="T778" s="62"/>
      <c r="U778" s="62"/>
    </row>
    <row r="779" spans="1:21" ht="15.75" customHeight="1" x14ac:dyDescent="0.3">
      <c r="A779" s="36"/>
      <c r="B779" s="36"/>
      <c r="C779" s="6"/>
      <c r="D779" s="36"/>
      <c r="E779" s="36"/>
      <c r="F779" s="36"/>
      <c r="G779" s="6"/>
      <c r="H779" s="36"/>
      <c r="I779" s="36"/>
      <c r="J779" s="37"/>
      <c r="K779" s="60"/>
      <c r="M779" s="61"/>
      <c r="N779" s="61"/>
      <c r="O779" s="61"/>
      <c r="P779" s="61"/>
      <c r="Q779" s="61"/>
      <c r="R779" s="61"/>
      <c r="S779" s="62"/>
      <c r="T779" s="62"/>
      <c r="U779" s="62"/>
    </row>
    <row r="780" spans="1:21" ht="15.75" customHeight="1" x14ac:dyDescent="0.3">
      <c r="A780" s="36"/>
      <c r="B780" s="36"/>
      <c r="C780" s="6"/>
      <c r="D780" s="36"/>
      <c r="E780" s="36"/>
      <c r="F780" s="36"/>
      <c r="G780" s="6"/>
      <c r="H780" s="36"/>
      <c r="I780" s="36"/>
      <c r="J780" s="37"/>
      <c r="K780" s="60"/>
      <c r="M780" s="61"/>
      <c r="N780" s="61"/>
      <c r="O780" s="61"/>
      <c r="P780" s="61"/>
      <c r="Q780" s="61"/>
      <c r="R780" s="61"/>
      <c r="S780" s="62"/>
      <c r="T780" s="62"/>
      <c r="U780" s="62"/>
    </row>
    <row r="781" spans="1:21" ht="15.75" customHeight="1" x14ac:dyDescent="0.3">
      <c r="A781" s="36"/>
      <c r="B781" s="36"/>
      <c r="C781" s="6"/>
      <c r="D781" s="36"/>
      <c r="E781" s="36"/>
      <c r="F781" s="36"/>
      <c r="G781" s="6"/>
      <c r="H781" s="36"/>
      <c r="I781" s="36"/>
      <c r="J781" s="37"/>
      <c r="K781" s="60"/>
      <c r="M781" s="61"/>
      <c r="N781" s="61"/>
      <c r="O781" s="61"/>
      <c r="P781" s="61"/>
      <c r="Q781" s="61"/>
      <c r="R781" s="61"/>
      <c r="S781" s="62"/>
      <c r="T781" s="62"/>
      <c r="U781" s="62"/>
    </row>
    <row r="782" spans="1:21" ht="15.75" customHeight="1" x14ac:dyDescent="0.3">
      <c r="A782" s="36"/>
      <c r="B782" s="36"/>
      <c r="C782" s="6"/>
      <c r="D782" s="36"/>
      <c r="E782" s="36"/>
      <c r="F782" s="36"/>
      <c r="G782" s="6"/>
      <c r="H782" s="36"/>
      <c r="I782" s="36"/>
      <c r="J782" s="37"/>
      <c r="K782" s="60"/>
      <c r="M782" s="61"/>
      <c r="N782" s="61"/>
      <c r="O782" s="61"/>
      <c r="P782" s="61"/>
      <c r="Q782" s="61"/>
      <c r="R782" s="61"/>
      <c r="S782" s="62"/>
      <c r="T782" s="62"/>
      <c r="U782" s="62"/>
    </row>
    <row r="783" spans="1:21" ht="15.75" customHeight="1" x14ac:dyDescent="0.3">
      <c r="A783" s="36"/>
      <c r="B783" s="36"/>
      <c r="C783" s="6"/>
      <c r="D783" s="36"/>
      <c r="E783" s="36"/>
      <c r="F783" s="36"/>
      <c r="G783" s="6"/>
      <c r="H783" s="36"/>
      <c r="I783" s="36"/>
      <c r="J783" s="37"/>
      <c r="K783" s="60"/>
      <c r="M783" s="61"/>
      <c r="N783" s="61"/>
      <c r="O783" s="61"/>
      <c r="P783" s="61"/>
      <c r="Q783" s="61"/>
      <c r="R783" s="61"/>
      <c r="S783" s="62"/>
      <c r="T783" s="62"/>
      <c r="U783" s="62"/>
    </row>
    <row r="784" spans="1:21" ht="15.75" customHeight="1" x14ac:dyDescent="0.3">
      <c r="A784" s="36"/>
      <c r="B784" s="36"/>
      <c r="C784" s="6"/>
      <c r="D784" s="36"/>
      <c r="E784" s="36"/>
      <c r="F784" s="36"/>
      <c r="G784" s="6"/>
      <c r="H784" s="36"/>
      <c r="I784" s="36"/>
      <c r="J784" s="37"/>
      <c r="K784" s="60"/>
      <c r="M784" s="61"/>
      <c r="N784" s="61"/>
      <c r="O784" s="61"/>
      <c r="P784" s="61"/>
      <c r="Q784" s="61"/>
      <c r="R784" s="61"/>
      <c r="S784" s="62"/>
      <c r="T784" s="62"/>
      <c r="U784" s="62"/>
    </row>
    <row r="785" spans="1:21" ht="15.75" customHeight="1" x14ac:dyDescent="0.3">
      <c r="A785" s="36"/>
      <c r="B785" s="36"/>
      <c r="C785" s="6"/>
      <c r="D785" s="36"/>
      <c r="E785" s="36"/>
      <c r="F785" s="36"/>
      <c r="G785" s="6"/>
      <c r="H785" s="36"/>
      <c r="I785" s="36"/>
      <c r="J785" s="37"/>
      <c r="K785" s="60"/>
      <c r="M785" s="61"/>
      <c r="N785" s="61"/>
      <c r="O785" s="61"/>
      <c r="P785" s="61"/>
      <c r="Q785" s="61"/>
      <c r="R785" s="61"/>
      <c r="S785" s="62"/>
      <c r="T785" s="62"/>
      <c r="U785" s="62"/>
    </row>
    <row r="786" spans="1:21" ht="15.75" customHeight="1" x14ac:dyDescent="0.3">
      <c r="A786" s="36"/>
      <c r="B786" s="36"/>
      <c r="C786" s="6"/>
      <c r="D786" s="36"/>
      <c r="E786" s="36"/>
      <c r="F786" s="36"/>
      <c r="G786" s="6"/>
      <c r="H786" s="36"/>
      <c r="I786" s="36"/>
      <c r="J786" s="37"/>
      <c r="K786" s="60"/>
      <c r="M786" s="61"/>
      <c r="N786" s="61"/>
      <c r="O786" s="61"/>
      <c r="P786" s="61"/>
      <c r="Q786" s="61"/>
      <c r="R786" s="61"/>
      <c r="S786" s="62"/>
      <c r="T786" s="62"/>
      <c r="U786" s="62"/>
    </row>
    <row r="787" spans="1:21" ht="15.75" customHeight="1" x14ac:dyDescent="0.3">
      <c r="A787" s="36"/>
      <c r="B787" s="36"/>
      <c r="C787" s="6"/>
      <c r="D787" s="36"/>
      <c r="E787" s="36"/>
      <c r="F787" s="36"/>
      <c r="G787" s="6"/>
      <c r="H787" s="36"/>
      <c r="I787" s="36"/>
      <c r="J787" s="37"/>
      <c r="K787" s="60"/>
      <c r="M787" s="61"/>
      <c r="N787" s="61"/>
      <c r="O787" s="61"/>
      <c r="P787" s="61"/>
      <c r="Q787" s="61"/>
      <c r="R787" s="61"/>
      <c r="S787" s="62"/>
      <c r="T787" s="62"/>
      <c r="U787" s="62"/>
    </row>
    <row r="788" spans="1:21" ht="15.75" customHeight="1" x14ac:dyDescent="0.3">
      <c r="A788" s="36"/>
      <c r="B788" s="36"/>
      <c r="C788" s="6"/>
      <c r="D788" s="36"/>
      <c r="E788" s="36"/>
      <c r="F788" s="36"/>
      <c r="G788" s="6"/>
      <c r="H788" s="36"/>
      <c r="I788" s="36"/>
      <c r="J788" s="37"/>
      <c r="K788" s="60"/>
      <c r="M788" s="61"/>
      <c r="N788" s="61"/>
      <c r="O788" s="61"/>
      <c r="P788" s="61"/>
      <c r="Q788" s="61"/>
      <c r="R788" s="61"/>
      <c r="S788" s="62"/>
      <c r="T788" s="62"/>
      <c r="U788" s="62"/>
    </row>
    <row r="789" spans="1:21" ht="15.75" customHeight="1" x14ac:dyDescent="0.3">
      <c r="A789" s="36"/>
      <c r="B789" s="36"/>
      <c r="C789" s="6"/>
      <c r="D789" s="36"/>
      <c r="E789" s="36"/>
      <c r="F789" s="36"/>
      <c r="G789" s="6"/>
      <c r="H789" s="36"/>
      <c r="I789" s="36"/>
      <c r="J789" s="37"/>
      <c r="K789" s="60"/>
      <c r="M789" s="61"/>
      <c r="N789" s="61"/>
      <c r="O789" s="61"/>
      <c r="P789" s="61"/>
      <c r="Q789" s="61"/>
      <c r="R789" s="61"/>
      <c r="S789" s="62"/>
      <c r="T789" s="62"/>
      <c r="U789" s="62"/>
    </row>
    <row r="790" spans="1:21" ht="15.75" customHeight="1" x14ac:dyDescent="0.3">
      <c r="A790" s="36"/>
      <c r="B790" s="36"/>
      <c r="C790" s="6"/>
      <c r="D790" s="36"/>
      <c r="E790" s="36"/>
      <c r="F790" s="36"/>
      <c r="G790" s="6"/>
      <c r="H790" s="36"/>
      <c r="I790" s="36"/>
      <c r="J790" s="37"/>
      <c r="K790" s="60"/>
      <c r="M790" s="61"/>
      <c r="N790" s="61"/>
      <c r="O790" s="61"/>
      <c r="P790" s="61"/>
      <c r="Q790" s="61"/>
      <c r="R790" s="61"/>
      <c r="S790" s="62"/>
      <c r="T790" s="62"/>
      <c r="U790" s="62"/>
    </row>
    <row r="791" spans="1:21" ht="15.75" customHeight="1" x14ac:dyDescent="0.3">
      <c r="A791" s="36"/>
      <c r="B791" s="36"/>
      <c r="C791" s="6"/>
      <c r="D791" s="36"/>
      <c r="E791" s="36"/>
      <c r="F791" s="36"/>
      <c r="G791" s="6"/>
      <c r="H791" s="36"/>
      <c r="I791" s="36"/>
      <c r="J791" s="37"/>
      <c r="K791" s="60"/>
      <c r="M791" s="61"/>
      <c r="N791" s="61"/>
      <c r="O791" s="61"/>
      <c r="P791" s="61"/>
      <c r="Q791" s="61"/>
      <c r="R791" s="61"/>
      <c r="S791" s="62"/>
      <c r="T791" s="62"/>
      <c r="U791" s="62"/>
    </row>
    <row r="792" spans="1:21" ht="15.75" customHeight="1" x14ac:dyDescent="0.3">
      <c r="A792" s="36"/>
      <c r="B792" s="36"/>
      <c r="C792" s="6"/>
      <c r="D792" s="36"/>
      <c r="E792" s="36"/>
      <c r="F792" s="36"/>
      <c r="G792" s="6"/>
      <c r="H792" s="36"/>
      <c r="I792" s="36"/>
      <c r="J792" s="37"/>
      <c r="K792" s="60"/>
      <c r="M792" s="61"/>
      <c r="N792" s="61"/>
      <c r="O792" s="61"/>
      <c r="P792" s="61"/>
      <c r="Q792" s="61"/>
      <c r="R792" s="61"/>
      <c r="S792" s="62"/>
      <c r="T792" s="62"/>
      <c r="U792" s="62"/>
    </row>
    <row r="793" spans="1:21" ht="15.75" customHeight="1" x14ac:dyDescent="0.3">
      <c r="A793" s="36"/>
      <c r="B793" s="36"/>
      <c r="C793" s="6"/>
      <c r="D793" s="36"/>
      <c r="E793" s="36"/>
      <c r="F793" s="36"/>
      <c r="G793" s="6"/>
      <c r="H793" s="36"/>
      <c r="I793" s="36"/>
      <c r="J793" s="37"/>
      <c r="K793" s="60"/>
      <c r="M793" s="61"/>
      <c r="N793" s="61"/>
      <c r="O793" s="61"/>
      <c r="P793" s="61"/>
      <c r="Q793" s="61"/>
      <c r="R793" s="61"/>
      <c r="S793" s="62"/>
      <c r="T793" s="62"/>
      <c r="U793" s="62"/>
    </row>
    <row r="794" spans="1:21" ht="15.75" customHeight="1" x14ac:dyDescent="0.3">
      <c r="A794" s="36"/>
      <c r="B794" s="36"/>
      <c r="C794" s="6"/>
      <c r="D794" s="36"/>
      <c r="E794" s="36"/>
      <c r="F794" s="36"/>
      <c r="G794" s="6"/>
      <c r="H794" s="36"/>
      <c r="I794" s="36"/>
      <c r="J794" s="37"/>
      <c r="K794" s="60"/>
      <c r="M794" s="61"/>
      <c r="N794" s="61"/>
      <c r="O794" s="61"/>
      <c r="P794" s="61"/>
      <c r="Q794" s="61"/>
      <c r="R794" s="61"/>
      <c r="S794" s="62"/>
      <c r="T794" s="62"/>
      <c r="U794" s="62"/>
    </row>
    <row r="795" spans="1:21" ht="15.75" customHeight="1" x14ac:dyDescent="0.3">
      <c r="A795" s="36"/>
      <c r="B795" s="36"/>
      <c r="C795" s="6"/>
      <c r="D795" s="36"/>
      <c r="E795" s="36"/>
      <c r="F795" s="36"/>
      <c r="G795" s="6"/>
      <c r="H795" s="36"/>
      <c r="I795" s="36"/>
      <c r="J795" s="37"/>
      <c r="K795" s="60"/>
      <c r="M795" s="61"/>
      <c r="N795" s="61"/>
      <c r="O795" s="61"/>
      <c r="P795" s="61"/>
      <c r="Q795" s="61"/>
      <c r="R795" s="61"/>
      <c r="S795" s="62"/>
      <c r="T795" s="62"/>
      <c r="U795" s="62"/>
    </row>
    <row r="796" spans="1:21" ht="15.75" customHeight="1" x14ac:dyDescent="0.3">
      <c r="A796" s="36"/>
      <c r="B796" s="36"/>
      <c r="C796" s="6"/>
      <c r="D796" s="36"/>
      <c r="E796" s="36"/>
      <c r="F796" s="36"/>
      <c r="G796" s="6"/>
      <c r="H796" s="36"/>
      <c r="I796" s="36"/>
      <c r="J796" s="37"/>
      <c r="K796" s="60"/>
      <c r="M796" s="61"/>
      <c r="N796" s="61"/>
      <c r="O796" s="61"/>
      <c r="P796" s="61"/>
      <c r="Q796" s="61"/>
      <c r="R796" s="61"/>
      <c r="S796" s="62"/>
      <c r="T796" s="62"/>
      <c r="U796" s="62"/>
    </row>
    <row r="797" spans="1:21" ht="15.75" customHeight="1" x14ac:dyDescent="0.3">
      <c r="A797" s="36"/>
      <c r="B797" s="36"/>
      <c r="C797" s="6"/>
      <c r="D797" s="36"/>
      <c r="E797" s="36"/>
      <c r="F797" s="36"/>
      <c r="G797" s="6"/>
      <c r="H797" s="36"/>
      <c r="I797" s="36"/>
      <c r="J797" s="37"/>
      <c r="K797" s="60"/>
      <c r="M797" s="61"/>
      <c r="N797" s="61"/>
      <c r="O797" s="61"/>
      <c r="P797" s="61"/>
      <c r="Q797" s="61"/>
      <c r="R797" s="61"/>
      <c r="S797" s="62"/>
      <c r="T797" s="62"/>
      <c r="U797" s="62"/>
    </row>
    <row r="798" spans="1:21" ht="15.75" customHeight="1" x14ac:dyDescent="0.3">
      <c r="A798" s="36"/>
      <c r="B798" s="36"/>
      <c r="C798" s="6"/>
      <c r="D798" s="36"/>
      <c r="E798" s="36"/>
      <c r="F798" s="36"/>
      <c r="G798" s="6"/>
      <c r="H798" s="36"/>
      <c r="I798" s="36"/>
      <c r="J798" s="37"/>
      <c r="K798" s="60"/>
      <c r="M798" s="61"/>
      <c r="N798" s="61"/>
      <c r="O798" s="61"/>
      <c r="P798" s="61"/>
      <c r="Q798" s="61"/>
      <c r="R798" s="61"/>
      <c r="S798" s="62"/>
      <c r="T798" s="62"/>
      <c r="U798" s="62"/>
    </row>
    <row r="799" spans="1:21" ht="15.75" customHeight="1" x14ac:dyDescent="0.3">
      <c r="A799" s="36"/>
      <c r="B799" s="36"/>
      <c r="C799" s="6"/>
      <c r="D799" s="36"/>
      <c r="E799" s="36"/>
      <c r="F799" s="36"/>
      <c r="G799" s="6"/>
      <c r="H799" s="36"/>
      <c r="I799" s="36"/>
      <c r="J799" s="37"/>
      <c r="K799" s="60"/>
      <c r="M799" s="61"/>
      <c r="N799" s="61"/>
      <c r="O799" s="61"/>
      <c r="P799" s="61"/>
      <c r="Q799" s="61"/>
      <c r="R799" s="61"/>
      <c r="S799" s="62"/>
      <c r="T799" s="62"/>
      <c r="U799" s="62"/>
    </row>
    <row r="800" spans="1:21" ht="15.75" customHeight="1" x14ac:dyDescent="0.3">
      <c r="A800" s="36"/>
      <c r="B800" s="36"/>
      <c r="C800" s="6"/>
      <c r="D800" s="36"/>
      <c r="E800" s="36"/>
      <c r="F800" s="36"/>
      <c r="G800" s="6"/>
      <c r="H800" s="36"/>
      <c r="I800" s="36"/>
      <c r="J800" s="37"/>
      <c r="K800" s="60"/>
      <c r="M800" s="61"/>
      <c r="N800" s="61"/>
      <c r="O800" s="61"/>
      <c r="P800" s="61"/>
      <c r="Q800" s="61"/>
      <c r="R800" s="61"/>
      <c r="S800" s="62"/>
      <c r="T800" s="62"/>
      <c r="U800" s="62"/>
    </row>
    <row r="801" spans="1:21" ht="15.75" customHeight="1" x14ac:dyDescent="0.3">
      <c r="A801" s="36"/>
      <c r="B801" s="36"/>
      <c r="C801" s="6"/>
      <c r="D801" s="36"/>
      <c r="E801" s="36"/>
      <c r="F801" s="36"/>
      <c r="G801" s="6"/>
      <c r="H801" s="36"/>
      <c r="I801" s="36"/>
      <c r="J801" s="37"/>
      <c r="K801" s="60"/>
      <c r="M801" s="61"/>
      <c r="N801" s="61"/>
      <c r="O801" s="61"/>
      <c r="P801" s="61"/>
      <c r="Q801" s="61"/>
      <c r="R801" s="61"/>
      <c r="S801" s="62"/>
      <c r="T801" s="62"/>
      <c r="U801" s="62"/>
    </row>
    <row r="802" spans="1:21" ht="15.75" customHeight="1" x14ac:dyDescent="0.3">
      <c r="A802" s="36"/>
      <c r="B802" s="36"/>
      <c r="C802" s="6"/>
      <c r="D802" s="36"/>
      <c r="E802" s="36"/>
      <c r="F802" s="36"/>
      <c r="G802" s="6"/>
      <c r="H802" s="36"/>
      <c r="I802" s="36"/>
      <c r="J802" s="37"/>
      <c r="K802" s="60"/>
      <c r="M802" s="61"/>
      <c r="N802" s="61"/>
      <c r="O802" s="61"/>
      <c r="P802" s="61"/>
      <c r="Q802" s="61"/>
      <c r="R802" s="61"/>
      <c r="S802" s="62"/>
      <c r="T802" s="62"/>
      <c r="U802" s="62"/>
    </row>
    <row r="803" spans="1:21" ht="15.75" customHeight="1" x14ac:dyDescent="0.3">
      <c r="A803" s="36"/>
      <c r="B803" s="36"/>
      <c r="C803" s="6"/>
      <c r="D803" s="36"/>
      <c r="E803" s="36"/>
      <c r="F803" s="36"/>
      <c r="G803" s="6"/>
      <c r="H803" s="36"/>
      <c r="I803" s="36"/>
      <c r="J803" s="37"/>
      <c r="K803" s="60"/>
      <c r="M803" s="61"/>
      <c r="N803" s="61"/>
      <c r="O803" s="61"/>
      <c r="P803" s="61"/>
      <c r="Q803" s="61"/>
      <c r="R803" s="61"/>
      <c r="S803" s="62"/>
      <c r="T803" s="62"/>
      <c r="U803" s="62"/>
    </row>
    <row r="804" spans="1:21" ht="15.75" customHeight="1" x14ac:dyDescent="0.3">
      <c r="A804" s="36"/>
      <c r="B804" s="36"/>
      <c r="C804" s="6"/>
      <c r="D804" s="36"/>
      <c r="E804" s="36"/>
      <c r="F804" s="36"/>
      <c r="G804" s="6"/>
      <c r="H804" s="36"/>
      <c r="I804" s="36"/>
      <c r="J804" s="37"/>
      <c r="K804" s="60"/>
      <c r="M804" s="61"/>
      <c r="N804" s="61"/>
      <c r="O804" s="61"/>
      <c r="P804" s="61"/>
      <c r="Q804" s="61"/>
      <c r="R804" s="61"/>
      <c r="S804" s="62"/>
      <c r="T804" s="62"/>
      <c r="U804" s="62"/>
    </row>
    <row r="805" spans="1:21" ht="15.75" customHeight="1" x14ac:dyDescent="0.3">
      <c r="A805" s="36"/>
      <c r="B805" s="36"/>
      <c r="C805" s="6"/>
      <c r="D805" s="36"/>
      <c r="E805" s="36"/>
      <c r="F805" s="36"/>
      <c r="G805" s="6"/>
      <c r="H805" s="36"/>
      <c r="I805" s="36"/>
      <c r="J805" s="37"/>
      <c r="K805" s="60"/>
      <c r="M805" s="61"/>
      <c r="N805" s="61"/>
      <c r="O805" s="61"/>
      <c r="P805" s="61"/>
      <c r="Q805" s="61"/>
      <c r="R805" s="61"/>
      <c r="S805" s="62"/>
      <c r="T805" s="62"/>
      <c r="U805" s="62"/>
    </row>
    <row r="806" spans="1:21" ht="15.75" customHeight="1" x14ac:dyDescent="0.3">
      <c r="A806" s="36"/>
      <c r="B806" s="36"/>
      <c r="C806" s="6"/>
      <c r="D806" s="36"/>
      <c r="E806" s="36"/>
      <c r="F806" s="36"/>
      <c r="G806" s="6"/>
      <c r="H806" s="36"/>
      <c r="I806" s="36"/>
      <c r="J806" s="37"/>
      <c r="K806" s="60"/>
      <c r="M806" s="61"/>
      <c r="N806" s="61"/>
      <c r="O806" s="61"/>
      <c r="P806" s="61"/>
      <c r="Q806" s="61"/>
      <c r="R806" s="61"/>
      <c r="S806" s="62"/>
      <c r="T806" s="62"/>
      <c r="U806" s="62"/>
    </row>
    <row r="807" spans="1:21" ht="15.75" customHeight="1" x14ac:dyDescent="0.3">
      <c r="A807" s="36"/>
      <c r="B807" s="36"/>
      <c r="C807" s="6"/>
      <c r="D807" s="36"/>
      <c r="E807" s="36"/>
      <c r="F807" s="36"/>
      <c r="G807" s="6"/>
      <c r="H807" s="36"/>
      <c r="I807" s="36"/>
      <c r="J807" s="37"/>
      <c r="K807" s="60"/>
      <c r="M807" s="61"/>
      <c r="N807" s="61"/>
      <c r="O807" s="61"/>
      <c r="P807" s="61"/>
      <c r="Q807" s="61"/>
      <c r="R807" s="61"/>
      <c r="S807" s="62"/>
      <c r="T807" s="62"/>
      <c r="U807" s="62"/>
    </row>
    <row r="808" spans="1:21" ht="15.75" customHeight="1" x14ac:dyDescent="0.3">
      <c r="A808" s="36"/>
      <c r="B808" s="36"/>
      <c r="C808" s="6"/>
      <c r="D808" s="36"/>
      <c r="E808" s="36"/>
      <c r="F808" s="36"/>
      <c r="G808" s="6"/>
      <c r="H808" s="36"/>
      <c r="I808" s="36"/>
      <c r="J808" s="37"/>
      <c r="K808" s="60"/>
      <c r="M808" s="61"/>
      <c r="N808" s="61"/>
      <c r="O808" s="61"/>
      <c r="P808" s="61"/>
      <c r="Q808" s="61"/>
      <c r="R808" s="61"/>
      <c r="S808" s="62"/>
      <c r="T808" s="62"/>
      <c r="U808" s="62"/>
    </row>
    <row r="809" spans="1:21" ht="15.75" customHeight="1" x14ac:dyDescent="0.3">
      <c r="A809" s="36"/>
      <c r="B809" s="36"/>
      <c r="C809" s="6"/>
      <c r="D809" s="36"/>
      <c r="E809" s="36"/>
      <c r="F809" s="36"/>
      <c r="G809" s="6"/>
      <c r="H809" s="36"/>
      <c r="I809" s="36"/>
      <c r="J809" s="37"/>
      <c r="K809" s="60"/>
      <c r="M809" s="61"/>
      <c r="N809" s="61"/>
      <c r="O809" s="61"/>
      <c r="P809" s="61"/>
      <c r="Q809" s="61"/>
      <c r="R809" s="61"/>
      <c r="S809" s="62"/>
      <c r="T809" s="62"/>
      <c r="U809" s="62"/>
    </row>
    <row r="810" spans="1:21" ht="15.75" customHeight="1" x14ac:dyDescent="0.3">
      <c r="A810" s="36"/>
      <c r="B810" s="36"/>
      <c r="C810" s="6"/>
      <c r="D810" s="36"/>
      <c r="E810" s="36"/>
      <c r="F810" s="36"/>
      <c r="G810" s="6"/>
      <c r="H810" s="36"/>
      <c r="I810" s="36"/>
      <c r="J810" s="37"/>
      <c r="K810" s="60"/>
      <c r="M810" s="61"/>
      <c r="N810" s="61"/>
      <c r="O810" s="61"/>
      <c r="P810" s="61"/>
      <c r="Q810" s="61"/>
      <c r="R810" s="61"/>
      <c r="S810" s="62"/>
      <c r="T810" s="62"/>
      <c r="U810" s="62"/>
    </row>
    <row r="811" spans="1:21" ht="15.75" customHeight="1" x14ac:dyDescent="0.3">
      <c r="A811" s="36"/>
      <c r="B811" s="36"/>
      <c r="C811" s="6"/>
      <c r="D811" s="36"/>
      <c r="E811" s="36"/>
      <c r="F811" s="36"/>
      <c r="G811" s="6"/>
      <c r="H811" s="36"/>
      <c r="I811" s="36"/>
      <c r="J811" s="37"/>
      <c r="K811" s="60"/>
      <c r="M811" s="61"/>
      <c r="N811" s="61"/>
      <c r="O811" s="61"/>
      <c r="P811" s="61"/>
      <c r="Q811" s="61"/>
      <c r="R811" s="61"/>
      <c r="S811" s="62"/>
      <c r="T811" s="62"/>
      <c r="U811" s="62"/>
    </row>
    <row r="812" spans="1:21" ht="15.75" customHeight="1" x14ac:dyDescent="0.3">
      <c r="A812" s="36"/>
      <c r="B812" s="36"/>
      <c r="C812" s="6"/>
      <c r="D812" s="36"/>
      <c r="E812" s="36"/>
      <c r="F812" s="36"/>
      <c r="G812" s="6"/>
      <c r="H812" s="36"/>
      <c r="I812" s="36"/>
      <c r="J812" s="37"/>
      <c r="K812" s="60"/>
      <c r="M812" s="61"/>
      <c r="N812" s="61"/>
      <c r="O812" s="61"/>
      <c r="P812" s="61"/>
      <c r="Q812" s="61"/>
      <c r="R812" s="61"/>
      <c r="S812" s="62"/>
      <c r="T812" s="62"/>
      <c r="U812" s="62"/>
    </row>
    <row r="813" spans="1:21" ht="15.75" customHeight="1" x14ac:dyDescent="0.3">
      <c r="A813" s="36"/>
      <c r="B813" s="36"/>
      <c r="C813" s="6"/>
      <c r="D813" s="36"/>
      <c r="E813" s="36"/>
      <c r="F813" s="36"/>
      <c r="G813" s="6"/>
      <c r="H813" s="36"/>
      <c r="I813" s="36"/>
      <c r="J813" s="37"/>
      <c r="K813" s="60"/>
      <c r="M813" s="61"/>
      <c r="N813" s="61"/>
      <c r="O813" s="61"/>
      <c r="P813" s="61"/>
      <c r="Q813" s="61"/>
      <c r="R813" s="61"/>
      <c r="S813" s="62"/>
      <c r="T813" s="62"/>
      <c r="U813" s="62"/>
    </row>
    <row r="814" spans="1:21" ht="15.75" customHeight="1" x14ac:dyDescent="0.3">
      <c r="A814" s="36"/>
      <c r="B814" s="36"/>
      <c r="C814" s="6"/>
      <c r="D814" s="36"/>
      <c r="E814" s="36"/>
      <c r="F814" s="36"/>
      <c r="G814" s="6"/>
      <c r="H814" s="36"/>
      <c r="I814" s="36"/>
      <c r="J814" s="37"/>
      <c r="K814" s="60"/>
      <c r="M814" s="61"/>
      <c r="N814" s="61"/>
      <c r="O814" s="61"/>
      <c r="P814" s="61"/>
      <c r="Q814" s="61"/>
      <c r="R814" s="61"/>
      <c r="S814" s="62"/>
      <c r="T814" s="62"/>
      <c r="U814" s="62"/>
    </row>
    <row r="815" spans="1:21" ht="15.75" customHeight="1" x14ac:dyDescent="0.3">
      <c r="A815" s="36"/>
      <c r="B815" s="36"/>
      <c r="C815" s="6"/>
      <c r="D815" s="36"/>
      <c r="E815" s="36"/>
      <c r="F815" s="36"/>
      <c r="G815" s="6"/>
      <c r="H815" s="36"/>
      <c r="I815" s="36"/>
      <c r="J815" s="37"/>
      <c r="K815" s="60"/>
      <c r="M815" s="61"/>
      <c r="N815" s="61"/>
      <c r="O815" s="61"/>
      <c r="P815" s="61"/>
      <c r="Q815" s="61"/>
      <c r="R815" s="61"/>
      <c r="S815" s="62"/>
      <c r="T815" s="62"/>
      <c r="U815" s="62"/>
    </row>
    <row r="816" spans="1:21" ht="15.75" customHeight="1" x14ac:dyDescent="0.3">
      <c r="A816" s="36"/>
      <c r="B816" s="36"/>
      <c r="C816" s="6"/>
      <c r="D816" s="36"/>
      <c r="E816" s="36"/>
      <c r="F816" s="36"/>
      <c r="G816" s="6"/>
      <c r="H816" s="36"/>
      <c r="I816" s="36"/>
      <c r="J816" s="37"/>
      <c r="K816" s="60"/>
      <c r="M816" s="61"/>
      <c r="N816" s="61"/>
      <c r="O816" s="61"/>
      <c r="P816" s="61"/>
      <c r="Q816" s="61"/>
      <c r="R816" s="61"/>
      <c r="S816" s="62"/>
      <c r="T816" s="62"/>
      <c r="U816" s="62"/>
    </row>
    <row r="817" spans="1:21" ht="15.75" customHeight="1" x14ac:dyDescent="0.3">
      <c r="A817" s="36"/>
      <c r="B817" s="36"/>
      <c r="C817" s="6"/>
      <c r="D817" s="36"/>
      <c r="E817" s="36"/>
      <c r="F817" s="36"/>
      <c r="G817" s="6"/>
      <c r="H817" s="36"/>
      <c r="I817" s="36"/>
      <c r="J817" s="37"/>
      <c r="K817" s="60"/>
      <c r="M817" s="61"/>
      <c r="N817" s="61"/>
      <c r="O817" s="61"/>
      <c r="P817" s="61"/>
      <c r="Q817" s="61"/>
      <c r="R817" s="61"/>
      <c r="S817" s="62"/>
      <c r="T817" s="62"/>
      <c r="U817" s="62"/>
    </row>
    <row r="818" spans="1:21" ht="15.75" customHeight="1" x14ac:dyDescent="0.3">
      <c r="A818" s="36"/>
      <c r="B818" s="36"/>
      <c r="C818" s="6"/>
      <c r="D818" s="36"/>
      <c r="E818" s="36"/>
      <c r="F818" s="36"/>
      <c r="G818" s="6"/>
      <c r="H818" s="36"/>
      <c r="I818" s="36"/>
      <c r="J818" s="37"/>
      <c r="K818" s="60"/>
      <c r="M818" s="61"/>
      <c r="N818" s="61"/>
      <c r="O818" s="61"/>
      <c r="P818" s="61"/>
      <c r="Q818" s="61"/>
      <c r="R818" s="61"/>
      <c r="S818" s="62"/>
      <c r="T818" s="62"/>
      <c r="U818" s="62"/>
    </row>
    <row r="819" spans="1:21" ht="15.75" customHeight="1" x14ac:dyDescent="0.3">
      <c r="A819" s="36"/>
      <c r="B819" s="36"/>
      <c r="C819" s="6"/>
      <c r="D819" s="36"/>
      <c r="E819" s="36"/>
      <c r="F819" s="36"/>
      <c r="G819" s="6"/>
      <c r="H819" s="36"/>
      <c r="I819" s="36"/>
      <c r="J819" s="37"/>
      <c r="K819" s="60"/>
      <c r="M819" s="61"/>
      <c r="N819" s="61"/>
      <c r="O819" s="61"/>
      <c r="P819" s="61"/>
      <c r="Q819" s="61"/>
      <c r="R819" s="61"/>
      <c r="S819" s="62"/>
      <c r="T819" s="62"/>
      <c r="U819" s="62"/>
    </row>
    <row r="820" spans="1:21" ht="15.75" customHeight="1" x14ac:dyDescent="0.3">
      <c r="A820" s="36"/>
      <c r="B820" s="36"/>
      <c r="C820" s="6"/>
      <c r="D820" s="36"/>
      <c r="E820" s="36"/>
      <c r="F820" s="36"/>
      <c r="G820" s="6"/>
      <c r="H820" s="36"/>
      <c r="I820" s="36"/>
      <c r="J820" s="37"/>
      <c r="K820" s="60"/>
      <c r="M820" s="61"/>
      <c r="N820" s="61"/>
      <c r="O820" s="61"/>
      <c r="P820" s="61"/>
      <c r="Q820" s="61"/>
      <c r="R820" s="61"/>
      <c r="S820" s="62"/>
      <c r="T820" s="62"/>
      <c r="U820" s="62"/>
    </row>
    <row r="821" spans="1:21" ht="15.75" customHeight="1" x14ac:dyDescent="0.3">
      <c r="A821" s="36"/>
      <c r="B821" s="36"/>
      <c r="C821" s="6"/>
      <c r="D821" s="36"/>
      <c r="E821" s="36"/>
      <c r="F821" s="36"/>
      <c r="G821" s="6"/>
      <c r="H821" s="36"/>
      <c r="I821" s="36"/>
      <c r="J821" s="37"/>
      <c r="K821" s="60"/>
      <c r="M821" s="61"/>
      <c r="N821" s="61"/>
      <c r="O821" s="61"/>
      <c r="P821" s="61"/>
      <c r="Q821" s="61"/>
      <c r="R821" s="61"/>
      <c r="S821" s="62"/>
      <c r="T821" s="62"/>
      <c r="U821" s="62"/>
    </row>
    <row r="822" spans="1:21" ht="15.75" customHeight="1" x14ac:dyDescent="0.3">
      <c r="A822" s="36"/>
      <c r="B822" s="36"/>
      <c r="C822" s="6"/>
      <c r="D822" s="36"/>
      <c r="E822" s="36"/>
      <c r="F822" s="36"/>
      <c r="G822" s="6"/>
      <c r="H822" s="36"/>
      <c r="I822" s="36"/>
      <c r="J822" s="37"/>
      <c r="K822" s="60"/>
      <c r="M822" s="61"/>
      <c r="N822" s="61"/>
      <c r="O822" s="61"/>
      <c r="P822" s="61"/>
      <c r="Q822" s="61"/>
      <c r="R822" s="61"/>
      <c r="S822" s="62"/>
      <c r="T822" s="62"/>
      <c r="U822" s="62"/>
    </row>
    <row r="823" spans="1:21" ht="15.75" customHeight="1" x14ac:dyDescent="0.3">
      <c r="A823" s="36"/>
      <c r="B823" s="36"/>
      <c r="C823" s="6"/>
      <c r="D823" s="36"/>
      <c r="E823" s="36"/>
      <c r="F823" s="36"/>
      <c r="G823" s="6"/>
      <c r="H823" s="36"/>
      <c r="I823" s="36"/>
      <c r="J823" s="37"/>
      <c r="K823" s="60"/>
      <c r="M823" s="61"/>
      <c r="N823" s="61"/>
      <c r="O823" s="61"/>
      <c r="P823" s="61"/>
      <c r="Q823" s="61"/>
      <c r="R823" s="61"/>
      <c r="S823" s="62"/>
      <c r="T823" s="62"/>
      <c r="U823" s="62"/>
    </row>
    <row r="824" spans="1:21" ht="15.75" customHeight="1" x14ac:dyDescent="0.3">
      <c r="A824" s="36"/>
      <c r="B824" s="36"/>
      <c r="C824" s="6"/>
      <c r="D824" s="36"/>
      <c r="E824" s="36"/>
      <c r="F824" s="36"/>
      <c r="G824" s="6"/>
      <c r="H824" s="36"/>
      <c r="I824" s="36"/>
      <c r="J824" s="37"/>
      <c r="K824" s="60"/>
      <c r="M824" s="61"/>
      <c r="N824" s="61"/>
      <c r="O824" s="61"/>
      <c r="P824" s="61"/>
      <c r="Q824" s="61"/>
      <c r="R824" s="61"/>
      <c r="S824" s="62"/>
      <c r="T824" s="62"/>
      <c r="U824" s="62"/>
    </row>
    <row r="825" spans="1:21" ht="15.75" customHeight="1" x14ac:dyDescent="0.3">
      <c r="A825" s="36"/>
      <c r="B825" s="36"/>
      <c r="C825" s="6"/>
      <c r="D825" s="36"/>
      <c r="E825" s="36"/>
      <c r="F825" s="36"/>
      <c r="G825" s="6"/>
      <c r="H825" s="36"/>
      <c r="I825" s="36"/>
      <c r="J825" s="37"/>
      <c r="K825" s="60"/>
      <c r="M825" s="61"/>
      <c r="N825" s="61"/>
      <c r="O825" s="61"/>
      <c r="P825" s="61"/>
      <c r="Q825" s="61"/>
      <c r="R825" s="61"/>
      <c r="S825" s="62"/>
      <c r="T825" s="62"/>
      <c r="U825" s="62"/>
    </row>
    <row r="826" spans="1:21" ht="15.75" customHeight="1" x14ac:dyDescent="0.3">
      <c r="A826" s="36"/>
      <c r="B826" s="36"/>
      <c r="C826" s="6"/>
      <c r="D826" s="36"/>
      <c r="E826" s="36"/>
      <c r="F826" s="36"/>
      <c r="G826" s="6"/>
      <c r="H826" s="36"/>
      <c r="I826" s="36"/>
      <c r="J826" s="37"/>
      <c r="K826" s="60"/>
      <c r="M826" s="61"/>
      <c r="N826" s="61"/>
      <c r="O826" s="61"/>
      <c r="P826" s="61"/>
      <c r="Q826" s="61"/>
      <c r="R826" s="61"/>
      <c r="S826" s="62"/>
      <c r="T826" s="62"/>
      <c r="U826" s="62"/>
    </row>
    <row r="827" spans="1:21" ht="15.75" customHeight="1" x14ac:dyDescent="0.3">
      <c r="A827" s="36"/>
      <c r="B827" s="36"/>
      <c r="C827" s="6"/>
      <c r="D827" s="36"/>
      <c r="E827" s="36"/>
      <c r="F827" s="36"/>
      <c r="G827" s="6"/>
      <c r="H827" s="36"/>
      <c r="I827" s="36"/>
      <c r="J827" s="37"/>
      <c r="K827" s="60"/>
      <c r="M827" s="61"/>
      <c r="N827" s="61"/>
      <c r="O827" s="61"/>
      <c r="P827" s="61"/>
      <c r="Q827" s="61"/>
      <c r="R827" s="61"/>
      <c r="S827" s="62"/>
      <c r="T827" s="62"/>
      <c r="U827" s="62"/>
    </row>
    <row r="828" spans="1:21" ht="15.75" customHeight="1" x14ac:dyDescent="0.3">
      <c r="A828" s="36"/>
      <c r="B828" s="36"/>
      <c r="C828" s="6"/>
      <c r="D828" s="36"/>
      <c r="E828" s="36"/>
      <c r="F828" s="36"/>
      <c r="G828" s="6"/>
      <c r="H828" s="36"/>
      <c r="I828" s="36"/>
      <c r="J828" s="37"/>
      <c r="K828" s="60"/>
      <c r="M828" s="61"/>
      <c r="N828" s="61"/>
      <c r="O828" s="61"/>
      <c r="P828" s="61"/>
      <c r="Q828" s="61"/>
      <c r="R828" s="61"/>
      <c r="S828" s="62"/>
      <c r="T828" s="62"/>
      <c r="U828" s="62"/>
    </row>
    <row r="829" spans="1:21" ht="15.75" customHeight="1" x14ac:dyDescent="0.3">
      <c r="A829" s="36"/>
      <c r="B829" s="36"/>
      <c r="C829" s="6"/>
      <c r="D829" s="36"/>
      <c r="E829" s="36"/>
      <c r="F829" s="36"/>
      <c r="G829" s="6"/>
      <c r="H829" s="36"/>
      <c r="I829" s="36"/>
      <c r="J829" s="37"/>
      <c r="K829" s="60"/>
      <c r="M829" s="61"/>
      <c r="N829" s="61"/>
      <c r="O829" s="61"/>
      <c r="P829" s="61"/>
      <c r="Q829" s="61"/>
      <c r="R829" s="61"/>
      <c r="S829" s="62"/>
      <c r="T829" s="62"/>
      <c r="U829" s="62"/>
    </row>
    <row r="830" spans="1:21" ht="15.75" customHeight="1" x14ac:dyDescent="0.3">
      <c r="A830" s="36"/>
      <c r="B830" s="36"/>
      <c r="C830" s="6"/>
      <c r="D830" s="36"/>
      <c r="E830" s="36"/>
      <c r="F830" s="36"/>
      <c r="G830" s="6"/>
      <c r="H830" s="36"/>
      <c r="I830" s="36"/>
      <c r="J830" s="37"/>
      <c r="K830" s="60"/>
      <c r="M830" s="61"/>
      <c r="N830" s="61"/>
      <c r="O830" s="61"/>
      <c r="P830" s="61"/>
      <c r="Q830" s="61"/>
      <c r="R830" s="61"/>
      <c r="S830" s="62"/>
      <c r="T830" s="62"/>
      <c r="U830" s="62"/>
    </row>
    <row r="831" spans="1:21" ht="15.75" customHeight="1" x14ac:dyDescent="0.3">
      <c r="A831" s="36"/>
      <c r="B831" s="36"/>
      <c r="C831" s="6"/>
      <c r="D831" s="36"/>
      <c r="E831" s="36"/>
      <c r="F831" s="36"/>
      <c r="G831" s="6"/>
      <c r="H831" s="36"/>
      <c r="I831" s="36"/>
      <c r="J831" s="37"/>
      <c r="K831" s="60"/>
      <c r="M831" s="61"/>
      <c r="N831" s="61"/>
      <c r="O831" s="61"/>
      <c r="P831" s="61"/>
      <c r="Q831" s="61"/>
      <c r="R831" s="61"/>
      <c r="S831" s="62"/>
      <c r="T831" s="62"/>
      <c r="U831" s="62"/>
    </row>
    <row r="832" spans="1:21" ht="15.75" customHeight="1" x14ac:dyDescent="0.3">
      <c r="A832" s="36"/>
      <c r="B832" s="36"/>
      <c r="C832" s="6"/>
      <c r="D832" s="36"/>
      <c r="E832" s="36"/>
      <c r="F832" s="36"/>
      <c r="G832" s="6"/>
      <c r="H832" s="36"/>
      <c r="I832" s="36"/>
      <c r="J832" s="37"/>
      <c r="K832" s="60"/>
      <c r="M832" s="61"/>
      <c r="N832" s="61"/>
      <c r="O832" s="61"/>
      <c r="P832" s="61"/>
      <c r="Q832" s="61"/>
      <c r="R832" s="61"/>
      <c r="S832" s="62"/>
      <c r="T832" s="62"/>
      <c r="U832" s="62"/>
    </row>
    <row r="833" spans="1:21" ht="15.75" customHeight="1" x14ac:dyDescent="0.3">
      <c r="A833" s="36"/>
      <c r="B833" s="36"/>
      <c r="C833" s="6"/>
      <c r="D833" s="36"/>
      <c r="E833" s="36"/>
      <c r="F833" s="36"/>
      <c r="G833" s="6"/>
      <c r="H833" s="36"/>
      <c r="I833" s="36"/>
      <c r="J833" s="37"/>
      <c r="K833" s="60"/>
      <c r="M833" s="61"/>
      <c r="N833" s="61"/>
      <c r="O833" s="61"/>
      <c r="P833" s="61"/>
      <c r="Q833" s="61"/>
      <c r="R833" s="61"/>
      <c r="S833" s="62"/>
      <c r="T833" s="62"/>
      <c r="U833" s="62"/>
    </row>
    <row r="834" spans="1:21" ht="15.75" customHeight="1" x14ac:dyDescent="0.3">
      <c r="A834" s="36"/>
      <c r="B834" s="36"/>
      <c r="C834" s="6"/>
      <c r="D834" s="36"/>
      <c r="E834" s="36"/>
      <c r="F834" s="36"/>
      <c r="G834" s="6"/>
      <c r="H834" s="36"/>
      <c r="I834" s="36"/>
      <c r="J834" s="37"/>
      <c r="K834" s="60"/>
      <c r="M834" s="61"/>
      <c r="N834" s="61"/>
      <c r="O834" s="61"/>
      <c r="P834" s="61"/>
      <c r="Q834" s="61"/>
      <c r="R834" s="61"/>
      <c r="S834" s="62"/>
      <c r="T834" s="62"/>
      <c r="U834" s="62"/>
    </row>
    <row r="835" spans="1:21" ht="15.75" customHeight="1" x14ac:dyDescent="0.3">
      <c r="A835" s="36"/>
      <c r="B835" s="36"/>
      <c r="C835" s="6"/>
      <c r="D835" s="36"/>
      <c r="E835" s="36"/>
      <c r="F835" s="36"/>
      <c r="G835" s="6"/>
      <c r="H835" s="36"/>
      <c r="I835" s="36"/>
      <c r="J835" s="37"/>
      <c r="K835" s="60"/>
      <c r="M835" s="61"/>
      <c r="N835" s="61"/>
      <c r="O835" s="61"/>
      <c r="P835" s="61"/>
      <c r="Q835" s="61"/>
      <c r="R835" s="61"/>
      <c r="S835" s="62"/>
      <c r="T835" s="62"/>
      <c r="U835" s="62"/>
    </row>
    <row r="836" spans="1:21" ht="15.75" customHeight="1" x14ac:dyDescent="0.3">
      <c r="A836" s="36"/>
      <c r="B836" s="36"/>
      <c r="C836" s="6"/>
      <c r="D836" s="36"/>
      <c r="E836" s="36"/>
      <c r="F836" s="36"/>
      <c r="G836" s="6"/>
      <c r="H836" s="36"/>
      <c r="I836" s="36"/>
      <c r="J836" s="37"/>
      <c r="K836" s="60"/>
      <c r="M836" s="61"/>
      <c r="N836" s="61"/>
      <c r="O836" s="61"/>
      <c r="P836" s="61"/>
      <c r="Q836" s="61"/>
      <c r="R836" s="61"/>
      <c r="S836" s="62"/>
      <c r="T836" s="62"/>
      <c r="U836" s="62"/>
    </row>
    <row r="837" spans="1:21" ht="15.75" customHeight="1" x14ac:dyDescent="0.3">
      <c r="A837" s="36"/>
      <c r="B837" s="36"/>
      <c r="C837" s="6"/>
      <c r="D837" s="36"/>
      <c r="E837" s="36"/>
      <c r="F837" s="36"/>
      <c r="G837" s="6"/>
      <c r="H837" s="36"/>
      <c r="I837" s="36"/>
      <c r="J837" s="37"/>
      <c r="K837" s="60"/>
      <c r="M837" s="61"/>
      <c r="N837" s="61"/>
      <c r="O837" s="61"/>
      <c r="P837" s="61"/>
      <c r="Q837" s="61"/>
      <c r="R837" s="61"/>
      <c r="S837" s="62"/>
      <c r="T837" s="62"/>
      <c r="U837" s="62"/>
    </row>
    <row r="838" spans="1:21" ht="15.75" customHeight="1" x14ac:dyDescent="0.3">
      <c r="A838" s="36"/>
      <c r="B838" s="36"/>
      <c r="C838" s="6"/>
      <c r="D838" s="36"/>
      <c r="E838" s="36"/>
      <c r="F838" s="36"/>
      <c r="G838" s="6"/>
      <c r="H838" s="36"/>
      <c r="I838" s="36"/>
      <c r="J838" s="37"/>
      <c r="K838" s="60"/>
      <c r="M838" s="61"/>
      <c r="N838" s="61"/>
      <c r="O838" s="61"/>
      <c r="P838" s="61"/>
      <c r="Q838" s="61"/>
      <c r="R838" s="61"/>
      <c r="S838" s="62"/>
      <c r="T838" s="62"/>
      <c r="U838" s="62"/>
    </row>
    <row r="839" spans="1:21" ht="15.75" customHeight="1" x14ac:dyDescent="0.3">
      <c r="A839" s="36"/>
      <c r="B839" s="36"/>
      <c r="C839" s="6"/>
      <c r="D839" s="36"/>
      <c r="E839" s="36"/>
      <c r="F839" s="36"/>
      <c r="G839" s="6"/>
      <c r="H839" s="36"/>
      <c r="I839" s="36"/>
      <c r="J839" s="37"/>
      <c r="K839" s="60"/>
      <c r="M839" s="61"/>
      <c r="N839" s="61"/>
      <c r="O839" s="61"/>
      <c r="P839" s="61"/>
      <c r="Q839" s="61"/>
      <c r="R839" s="61"/>
      <c r="S839" s="62"/>
      <c r="T839" s="62"/>
      <c r="U839" s="62"/>
    </row>
    <row r="840" spans="1:21" ht="15.75" customHeight="1" x14ac:dyDescent="0.3">
      <c r="A840" s="36"/>
      <c r="B840" s="36"/>
      <c r="C840" s="6"/>
      <c r="D840" s="36"/>
      <c r="E840" s="36"/>
      <c r="F840" s="36"/>
      <c r="G840" s="6"/>
      <c r="H840" s="36"/>
      <c r="I840" s="36"/>
      <c r="J840" s="37"/>
      <c r="K840" s="60"/>
      <c r="M840" s="61"/>
      <c r="N840" s="61"/>
      <c r="O840" s="61"/>
      <c r="P840" s="61"/>
      <c r="Q840" s="61"/>
      <c r="R840" s="61"/>
      <c r="S840" s="62"/>
      <c r="T840" s="62"/>
      <c r="U840" s="62"/>
    </row>
    <row r="841" spans="1:21" ht="15.75" customHeight="1" x14ac:dyDescent="0.3">
      <c r="A841" s="36"/>
      <c r="B841" s="36"/>
      <c r="C841" s="6"/>
      <c r="D841" s="36"/>
      <c r="E841" s="36"/>
      <c r="F841" s="36"/>
      <c r="G841" s="6"/>
      <c r="H841" s="36"/>
      <c r="I841" s="36"/>
      <c r="J841" s="37"/>
      <c r="K841" s="60"/>
      <c r="M841" s="61"/>
      <c r="N841" s="61"/>
      <c r="O841" s="61"/>
      <c r="P841" s="61"/>
      <c r="Q841" s="61"/>
      <c r="R841" s="61"/>
      <c r="S841" s="62"/>
      <c r="T841" s="62"/>
      <c r="U841" s="62"/>
    </row>
    <row r="842" spans="1:21" ht="15.75" customHeight="1" x14ac:dyDescent="0.3">
      <c r="A842" s="36"/>
      <c r="B842" s="36"/>
      <c r="C842" s="6"/>
      <c r="D842" s="36"/>
      <c r="E842" s="36"/>
      <c r="F842" s="36"/>
      <c r="G842" s="6"/>
      <c r="H842" s="36"/>
      <c r="I842" s="36"/>
      <c r="J842" s="37"/>
      <c r="K842" s="60"/>
      <c r="M842" s="61"/>
      <c r="N842" s="61"/>
      <c r="O842" s="61"/>
      <c r="P842" s="61"/>
      <c r="Q842" s="61"/>
      <c r="R842" s="61"/>
      <c r="S842" s="62"/>
      <c r="T842" s="62"/>
      <c r="U842" s="62"/>
    </row>
    <row r="843" spans="1:21" ht="15.75" customHeight="1" x14ac:dyDescent="0.3">
      <c r="A843" s="36"/>
      <c r="B843" s="36"/>
      <c r="C843" s="6"/>
      <c r="D843" s="36"/>
      <c r="E843" s="36"/>
      <c r="F843" s="36"/>
      <c r="G843" s="6"/>
      <c r="H843" s="36"/>
      <c r="I843" s="36"/>
      <c r="J843" s="37"/>
      <c r="K843" s="60"/>
      <c r="M843" s="61"/>
      <c r="N843" s="61"/>
      <c r="O843" s="61"/>
      <c r="P843" s="61"/>
      <c r="Q843" s="61"/>
      <c r="R843" s="61"/>
      <c r="S843" s="62"/>
      <c r="T843" s="62"/>
      <c r="U843" s="62"/>
    </row>
    <row r="844" spans="1:21" ht="15.75" customHeight="1" x14ac:dyDescent="0.3">
      <c r="A844" s="36"/>
      <c r="B844" s="36"/>
      <c r="C844" s="6"/>
      <c r="D844" s="36"/>
      <c r="E844" s="36"/>
      <c r="F844" s="36"/>
      <c r="G844" s="6"/>
      <c r="H844" s="36"/>
      <c r="I844" s="36"/>
      <c r="J844" s="37"/>
      <c r="K844" s="60"/>
      <c r="M844" s="61"/>
      <c r="N844" s="61"/>
      <c r="O844" s="61"/>
      <c r="P844" s="61"/>
      <c r="Q844" s="61"/>
      <c r="R844" s="61"/>
      <c r="S844" s="62"/>
      <c r="T844" s="62"/>
      <c r="U844" s="62"/>
    </row>
    <row r="845" spans="1:21" ht="15.75" customHeight="1" x14ac:dyDescent="0.3">
      <c r="A845" s="36"/>
      <c r="B845" s="36"/>
      <c r="C845" s="6"/>
      <c r="D845" s="36"/>
      <c r="E845" s="36"/>
      <c r="F845" s="36"/>
      <c r="G845" s="6"/>
      <c r="H845" s="36"/>
      <c r="I845" s="36"/>
      <c r="J845" s="37"/>
      <c r="K845" s="60"/>
      <c r="M845" s="61"/>
      <c r="N845" s="61"/>
      <c r="O845" s="61"/>
      <c r="P845" s="61"/>
      <c r="Q845" s="61"/>
      <c r="R845" s="61"/>
      <c r="S845" s="62"/>
      <c r="T845" s="62"/>
      <c r="U845" s="62"/>
    </row>
    <row r="846" spans="1:21" ht="15.75" customHeight="1" x14ac:dyDescent="0.3">
      <c r="A846" s="36"/>
      <c r="B846" s="36"/>
      <c r="C846" s="6"/>
      <c r="D846" s="36"/>
      <c r="E846" s="36"/>
      <c r="F846" s="36"/>
      <c r="G846" s="6"/>
      <c r="H846" s="36"/>
      <c r="I846" s="36"/>
      <c r="J846" s="37"/>
      <c r="K846" s="60"/>
      <c r="M846" s="61"/>
      <c r="N846" s="61"/>
      <c r="O846" s="61"/>
      <c r="P846" s="61"/>
      <c r="Q846" s="61"/>
      <c r="R846" s="61"/>
      <c r="S846" s="62"/>
      <c r="T846" s="62"/>
      <c r="U846" s="62"/>
    </row>
    <row r="847" spans="1:21" ht="15.75" customHeight="1" x14ac:dyDescent="0.3">
      <c r="A847" s="36"/>
      <c r="B847" s="36"/>
      <c r="C847" s="6"/>
      <c r="D847" s="36"/>
      <c r="E847" s="36"/>
      <c r="F847" s="36"/>
      <c r="G847" s="6"/>
      <c r="H847" s="36"/>
      <c r="I847" s="36"/>
      <c r="J847" s="37"/>
      <c r="K847" s="60"/>
      <c r="M847" s="61"/>
      <c r="N847" s="61"/>
      <c r="O847" s="61"/>
      <c r="P847" s="61"/>
      <c r="Q847" s="61"/>
      <c r="R847" s="61"/>
      <c r="S847" s="62"/>
      <c r="T847" s="62"/>
      <c r="U847" s="62"/>
    </row>
    <row r="848" spans="1:21" ht="15.75" customHeight="1" x14ac:dyDescent="0.3">
      <c r="A848" s="36"/>
      <c r="B848" s="36"/>
      <c r="C848" s="6"/>
      <c r="D848" s="36"/>
      <c r="E848" s="36"/>
      <c r="F848" s="36"/>
      <c r="G848" s="6"/>
      <c r="H848" s="36"/>
      <c r="I848" s="36"/>
      <c r="J848" s="37"/>
      <c r="K848" s="60"/>
      <c r="M848" s="61"/>
      <c r="N848" s="61"/>
      <c r="O848" s="61"/>
      <c r="P848" s="61"/>
      <c r="Q848" s="61"/>
      <c r="R848" s="61"/>
      <c r="S848" s="62"/>
      <c r="T848" s="62"/>
      <c r="U848" s="62"/>
    </row>
    <row r="849" spans="1:21" ht="15.75" customHeight="1" x14ac:dyDescent="0.3">
      <c r="A849" s="36"/>
      <c r="B849" s="36"/>
      <c r="C849" s="6"/>
      <c r="D849" s="36"/>
      <c r="E849" s="36"/>
      <c r="F849" s="36"/>
      <c r="G849" s="6"/>
      <c r="H849" s="36"/>
      <c r="I849" s="36"/>
      <c r="J849" s="37"/>
      <c r="K849" s="60"/>
      <c r="M849" s="61"/>
      <c r="N849" s="61"/>
      <c r="O849" s="61"/>
      <c r="P849" s="61"/>
      <c r="Q849" s="61"/>
      <c r="R849" s="61"/>
      <c r="S849" s="62"/>
      <c r="T849" s="62"/>
      <c r="U849" s="62"/>
    </row>
    <row r="850" spans="1:21" ht="15.75" customHeight="1" x14ac:dyDescent="0.3">
      <c r="A850" s="36"/>
      <c r="B850" s="36"/>
      <c r="C850" s="6"/>
      <c r="D850" s="36"/>
      <c r="E850" s="36"/>
      <c r="F850" s="36"/>
      <c r="G850" s="6"/>
      <c r="H850" s="36"/>
      <c r="I850" s="36"/>
      <c r="J850" s="37"/>
      <c r="K850" s="60"/>
      <c r="M850" s="61"/>
      <c r="N850" s="61"/>
      <c r="O850" s="61"/>
      <c r="P850" s="61"/>
      <c r="Q850" s="61"/>
      <c r="R850" s="61"/>
      <c r="S850" s="62"/>
      <c r="T850" s="62"/>
      <c r="U850" s="62"/>
    </row>
    <row r="851" spans="1:21" ht="15.75" customHeight="1" x14ac:dyDescent="0.3">
      <c r="A851" s="36"/>
      <c r="B851" s="36"/>
      <c r="C851" s="6"/>
      <c r="D851" s="36"/>
      <c r="E851" s="36"/>
      <c r="F851" s="36"/>
      <c r="G851" s="6"/>
      <c r="H851" s="36"/>
      <c r="I851" s="36"/>
      <c r="J851" s="37"/>
      <c r="K851" s="60"/>
      <c r="M851" s="61"/>
      <c r="N851" s="61"/>
      <c r="O851" s="61"/>
      <c r="P851" s="61"/>
      <c r="Q851" s="61"/>
      <c r="R851" s="61"/>
      <c r="S851" s="62"/>
      <c r="T851" s="62"/>
      <c r="U851" s="62"/>
    </row>
    <row r="852" spans="1:21" ht="15.75" customHeight="1" x14ac:dyDescent="0.3">
      <c r="A852" s="36"/>
      <c r="B852" s="36"/>
      <c r="C852" s="6"/>
      <c r="D852" s="36"/>
      <c r="E852" s="36"/>
      <c r="F852" s="36"/>
      <c r="G852" s="6"/>
      <c r="H852" s="36"/>
      <c r="I852" s="36"/>
      <c r="J852" s="37"/>
      <c r="K852" s="60"/>
      <c r="M852" s="61"/>
      <c r="N852" s="61"/>
      <c r="O852" s="61"/>
      <c r="P852" s="61"/>
      <c r="Q852" s="61"/>
      <c r="R852" s="61"/>
      <c r="S852" s="62"/>
      <c r="T852" s="62"/>
      <c r="U852" s="62"/>
    </row>
    <row r="853" spans="1:21" ht="15.75" customHeight="1" x14ac:dyDescent="0.3">
      <c r="A853" s="36"/>
      <c r="B853" s="36"/>
      <c r="C853" s="6"/>
      <c r="D853" s="36"/>
      <c r="E853" s="36"/>
      <c r="F853" s="36"/>
      <c r="G853" s="6"/>
      <c r="H853" s="36"/>
      <c r="I853" s="36"/>
      <c r="J853" s="37"/>
      <c r="K853" s="60"/>
      <c r="M853" s="61"/>
      <c r="N853" s="61"/>
      <c r="O853" s="61"/>
      <c r="P853" s="61"/>
      <c r="Q853" s="61"/>
      <c r="R853" s="61"/>
      <c r="S853" s="62"/>
      <c r="T853" s="62"/>
      <c r="U853" s="62"/>
    </row>
    <row r="854" spans="1:21" ht="15.75" customHeight="1" x14ac:dyDescent="0.3">
      <c r="A854" s="36"/>
      <c r="B854" s="36"/>
      <c r="C854" s="6"/>
      <c r="D854" s="36"/>
      <c r="E854" s="36"/>
      <c r="F854" s="36"/>
      <c r="G854" s="6"/>
      <c r="H854" s="36"/>
      <c r="I854" s="36"/>
      <c r="J854" s="37"/>
      <c r="K854" s="60"/>
      <c r="M854" s="61"/>
      <c r="N854" s="61"/>
      <c r="O854" s="61"/>
      <c r="P854" s="61"/>
      <c r="Q854" s="61"/>
      <c r="R854" s="61"/>
      <c r="S854" s="62"/>
      <c r="T854" s="62"/>
      <c r="U854" s="62"/>
    </row>
    <row r="855" spans="1:21" ht="15.75" customHeight="1" x14ac:dyDescent="0.3">
      <c r="A855" s="36"/>
      <c r="B855" s="36"/>
      <c r="C855" s="6"/>
      <c r="D855" s="36"/>
      <c r="E855" s="36"/>
      <c r="F855" s="36"/>
      <c r="G855" s="6"/>
      <c r="H855" s="36"/>
      <c r="I855" s="36"/>
      <c r="J855" s="37"/>
      <c r="K855" s="60"/>
      <c r="M855" s="61"/>
      <c r="N855" s="61"/>
      <c r="O855" s="61"/>
      <c r="P855" s="61"/>
      <c r="Q855" s="61"/>
      <c r="R855" s="61"/>
      <c r="S855" s="62"/>
      <c r="T855" s="62"/>
      <c r="U855" s="62"/>
    </row>
    <row r="856" spans="1:21" ht="15.75" customHeight="1" x14ac:dyDescent="0.3">
      <c r="A856" s="36"/>
      <c r="B856" s="36"/>
      <c r="C856" s="6"/>
      <c r="D856" s="36"/>
      <c r="E856" s="36"/>
      <c r="F856" s="36"/>
      <c r="G856" s="6"/>
      <c r="H856" s="36"/>
      <c r="I856" s="36"/>
      <c r="J856" s="37"/>
      <c r="K856" s="60"/>
      <c r="M856" s="61"/>
      <c r="N856" s="61"/>
      <c r="O856" s="61"/>
      <c r="P856" s="61"/>
      <c r="Q856" s="61"/>
      <c r="R856" s="61"/>
      <c r="S856" s="62"/>
      <c r="T856" s="62"/>
      <c r="U856" s="62"/>
    </row>
    <row r="857" spans="1:21" ht="15.75" customHeight="1" x14ac:dyDescent="0.3">
      <c r="A857" s="36"/>
      <c r="B857" s="36"/>
      <c r="C857" s="6"/>
      <c r="D857" s="36"/>
      <c r="E857" s="36"/>
      <c r="F857" s="36"/>
      <c r="G857" s="6"/>
      <c r="H857" s="36"/>
      <c r="I857" s="36"/>
      <c r="J857" s="37"/>
      <c r="K857" s="60"/>
      <c r="M857" s="61"/>
      <c r="N857" s="61"/>
      <c r="O857" s="61"/>
      <c r="P857" s="61"/>
      <c r="Q857" s="61"/>
      <c r="R857" s="61"/>
      <c r="S857" s="62"/>
      <c r="T857" s="62"/>
      <c r="U857" s="62"/>
    </row>
    <row r="858" spans="1:21" ht="15.75" customHeight="1" x14ac:dyDescent="0.3">
      <c r="A858" s="36"/>
      <c r="B858" s="36"/>
      <c r="C858" s="6"/>
      <c r="D858" s="36"/>
      <c r="E858" s="36"/>
      <c r="F858" s="36"/>
      <c r="G858" s="6"/>
      <c r="H858" s="36"/>
      <c r="I858" s="36"/>
      <c r="J858" s="37"/>
      <c r="K858" s="60"/>
      <c r="M858" s="61"/>
      <c r="N858" s="61"/>
      <c r="O858" s="61"/>
      <c r="P858" s="61"/>
      <c r="Q858" s="61"/>
      <c r="R858" s="61"/>
      <c r="S858" s="62"/>
      <c r="T858" s="62"/>
      <c r="U858" s="62"/>
    </row>
    <row r="859" spans="1:21" ht="15.75" customHeight="1" x14ac:dyDescent="0.3">
      <c r="A859" s="36"/>
      <c r="B859" s="36"/>
      <c r="C859" s="6"/>
      <c r="D859" s="36"/>
      <c r="E859" s="36"/>
      <c r="F859" s="36"/>
      <c r="G859" s="6"/>
      <c r="H859" s="36"/>
      <c r="I859" s="36"/>
      <c r="J859" s="37"/>
      <c r="K859" s="60"/>
      <c r="M859" s="61"/>
      <c r="N859" s="61"/>
      <c r="O859" s="61"/>
      <c r="P859" s="61"/>
      <c r="Q859" s="61"/>
      <c r="R859" s="61"/>
      <c r="S859" s="62"/>
      <c r="T859" s="62"/>
      <c r="U859" s="62"/>
    </row>
    <row r="860" spans="1:21" ht="15.75" customHeight="1" x14ac:dyDescent="0.3">
      <c r="A860" s="36"/>
      <c r="B860" s="36"/>
      <c r="C860" s="6"/>
      <c r="D860" s="36"/>
      <c r="E860" s="36"/>
      <c r="F860" s="36"/>
      <c r="G860" s="6"/>
      <c r="H860" s="36"/>
      <c r="I860" s="36"/>
      <c r="J860" s="37"/>
      <c r="K860" s="60"/>
      <c r="M860" s="61"/>
      <c r="N860" s="61"/>
      <c r="O860" s="61"/>
      <c r="P860" s="61"/>
      <c r="Q860" s="61"/>
      <c r="R860" s="61"/>
      <c r="S860" s="62"/>
      <c r="T860" s="62"/>
      <c r="U860" s="62"/>
    </row>
    <row r="861" spans="1:21" ht="15.75" customHeight="1" x14ac:dyDescent="0.3">
      <c r="A861" s="36"/>
      <c r="B861" s="36"/>
      <c r="C861" s="6"/>
      <c r="D861" s="36"/>
      <c r="E861" s="36"/>
      <c r="F861" s="36"/>
      <c r="G861" s="6"/>
      <c r="H861" s="36"/>
      <c r="I861" s="36"/>
      <c r="J861" s="37"/>
      <c r="K861" s="60"/>
      <c r="M861" s="61"/>
      <c r="N861" s="61"/>
      <c r="O861" s="61"/>
      <c r="P861" s="61"/>
      <c r="Q861" s="61"/>
      <c r="R861" s="61"/>
      <c r="S861" s="62"/>
      <c r="T861" s="62"/>
      <c r="U861" s="62"/>
    </row>
    <row r="862" spans="1:21" ht="15.75" customHeight="1" x14ac:dyDescent="0.3">
      <c r="A862" s="36"/>
      <c r="B862" s="36"/>
      <c r="C862" s="6"/>
      <c r="D862" s="36"/>
      <c r="E862" s="36"/>
      <c r="F862" s="36"/>
      <c r="G862" s="6"/>
      <c r="H862" s="36"/>
      <c r="I862" s="36"/>
      <c r="J862" s="37"/>
      <c r="K862" s="60"/>
      <c r="M862" s="61"/>
      <c r="N862" s="61"/>
      <c r="O862" s="61"/>
      <c r="P862" s="61"/>
      <c r="Q862" s="61"/>
      <c r="R862" s="61"/>
      <c r="S862" s="62"/>
      <c r="T862" s="62"/>
      <c r="U862" s="62"/>
    </row>
    <row r="863" spans="1:21" ht="15.75" customHeight="1" x14ac:dyDescent="0.3">
      <c r="A863" s="36"/>
      <c r="B863" s="36"/>
      <c r="C863" s="6"/>
      <c r="D863" s="36"/>
      <c r="E863" s="36"/>
      <c r="F863" s="36"/>
      <c r="G863" s="6"/>
      <c r="H863" s="36"/>
      <c r="I863" s="36"/>
      <c r="J863" s="37"/>
      <c r="K863" s="60"/>
      <c r="M863" s="61"/>
      <c r="N863" s="61"/>
      <c r="O863" s="61"/>
      <c r="P863" s="61"/>
      <c r="Q863" s="61"/>
      <c r="R863" s="61"/>
      <c r="S863" s="62"/>
      <c r="T863" s="62"/>
      <c r="U863" s="62"/>
    </row>
    <row r="864" spans="1:21" ht="15.75" customHeight="1" x14ac:dyDescent="0.3">
      <c r="A864" s="36"/>
      <c r="B864" s="36"/>
      <c r="C864" s="6"/>
      <c r="D864" s="36"/>
      <c r="E864" s="36"/>
      <c r="F864" s="36"/>
      <c r="G864" s="6"/>
      <c r="H864" s="36"/>
      <c r="I864" s="36"/>
      <c r="J864" s="37"/>
      <c r="K864" s="60"/>
      <c r="M864" s="61"/>
      <c r="N864" s="61"/>
      <c r="O864" s="61"/>
      <c r="P864" s="61"/>
      <c r="Q864" s="61"/>
      <c r="R864" s="61"/>
      <c r="S864" s="62"/>
      <c r="T864" s="62"/>
      <c r="U864" s="62"/>
    </row>
    <row r="865" spans="1:21" ht="15.75" customHeight="1" x14ac:dyDescent="0.3">
      <c r="A865" s="36"/>
      <c r="B865" s="36"/>
      <c r="C865" s="6"/>
      <c r="D865" s="36"/>
      <c r="E865" s="36"/>
      <c r="F865" s="36"/>
      <c r="G865" s="6"/>
      <c r="H865" s="36"/>
      <c r="I865" s="36"/>
      <c r="J865" s="37"/>
      <c r="K865" s="60"/>
      <c r="M865" s="61"/>
      <c r="N865" s="61"/>
      <c r="O865" s="61"/>
      <c r="P865" s="61"/>
      <c r="Q865" s="61"/>
      <c r="R865" s="61"/>
      <c r="S865" s="62"/>
      <c r="T865" s="62"/>
      <c r="U865" s="62"/>
    </row>
    <row r="866" spans="1:21" ht="15.75" customHeight="1" x14ac:dyDescent="0.3">
      <c r="A866" s="36"/>
      <c r="B866" s="36"/>
      <c r="C866" s="6"/>
      <c r="D866" s="36"/>
      <c r="E866" s="36"/>
      <c r="F866" s="36"/>
      <c r="G866" s="6"/>
      <c r="H866" s="36"/>
      <c r="I866" s="36"/>
      <c r="J866" s="37"/>
      <c r="K866" s="60"/>
      <c r="M866" s="61"/>
      <c r="N866" s="61"/>
      <c r="O866" s="61"/>
      <c r="P866" s="61"/>
      <c r="Q866" s="61"/>
      <c r="R866" s="61"/>
      <c r="S866" s="62"/>
      <c r="T866" s="62"/>
      <c r="U866" s="62"/>
    </row>
    <row r="867" spans="1:21" ht="15.75" customHeight="1" x14ac:dyDescent="0.3">
      <c r="A867" s="36"/>
      <c r="B867" s="36"/>
      <c r="C867" s="6"/>
      <c r="D867" s="36"/>
      <c r="E867" s="36"/>
      <c r="F867" s="36"/>
      <c r="G867" s="6"/>
      <c r="H867" s="36"/>
      <c r="I867" s="36"/>
      <c r="J867" s="37"/>
      <c r="K867" s="60"/>
      <c r="M867" s="61"/>
      <c r="N867" s="61"/>
      <c r="O867" s="61"/>
      <c r="P867" s="61"/>
      <c r="Q867" s="61"/>
      <c r="R867" s="61"/>
      <c r="S867" s="62"/>
      <c r="T867" s="62"/>
      <c r="U867" s="62"/>
    </row>
    <row r="868" spans="1:21" ht="15.75" customHeight="1" x14ac:dyDescent="0.3">
      <c r="A868" s="36"/>
      <c r="B868" s="36"/>
      <c r="C868" s="6"/>
      <c r="D868" s="36"/>
      <c r="E868" s="36"/>
      <c r="F868" s="36"/>
      <c r="G868" s="6"/>
      <c r="H868" s="36"/>
      <c r="I868" s="36"/>
      <c r="J868" s="37"/>
      <c r="K868" s="60"/>
      <c r="M868" s="61"/>
      <c r="N868" s="61"/>
      <c r="O868" s="61"/>
      <c r="P868" s="61"/>
      <c r="Q868" s="61"/>
      <c r="R868" s="61"/>
      <c r="S868" s="62"/>
      <c r="T868" s="62"/>
      <c r="U868" s="62"/>
    </row>
    <row r="869" spans="1:21" ht="15.75" customHeight="1" x14ac:dyDescent="0.3">
      <c r="A869" s="36"/>
      <c r="B869" s="36"/>
      <c r="C869" s="6"/>
      <c r="D869" s="36"/>
      <c r="E869" s="36"/>
      <c r="F869" s="36"/>
      <c r="G869" s="6"/>
      <c r="H869" s="36"/>
      <c r="I869" s="36"/>
      <c r="J869" s="37"/>
      <c r="K869" s="60"/>
      <c r="M869" s="61"/>
      <c r="N869" s="61"/>
      <c r="O869" s="61"/>
      <c r="P869" s="61"/>
      <c r="Q869" s="61"/>
      <c r="R869" s="61"/>
      <c r="S869" s="62"/>
      <c r="T869" s="62"/>
      <c r="U869" s="62"/>
    </row>
    <row r="870" spans="1:21" ht="15.75" customHeight="1" x14ac:dyDescent="0.3">
      <c r="A870" s="36"/>
      <c r="B870" s="36"/>
      <c r="C870" s="6"/>
      <c r="D870" s="36"/>
      <c r="E870" s="36"/>
      <c r="F870" s="36"/>
      <c r="G870" s="6"/>
      <c r="H870" s="36"/>
      <c r="I870" s="36"/>
      <c r="J870" s="37"/>
      <c r="K870" s="60"/>
      <c r="M870" s="61"/>
      <c r="N870" s="61"/>
      <c r="O870" s="61"/>
      <c r="P870" s="61"/>
      <c r="Q870" s="61"/>
      <c r="R870" s="61"/>
      <c r="S870" s="62"/>
      <c r="T870" s="62"/>
      <c r="U870" s="62"/>
    </row>
    <row r="871" spans="1:21" ht="15.75" customHeight="1" x14ac:dyDescent="0.3">
      <c r="A871" s="36"/>
      <c r="B871" s="36"/>
      <c r="C871" s="6"/>
      <c r="D871" s="36"/>
      <c r="E871" s="36"/>
      <c r="F871" s="36"/>
      <c r="G871" s="6"/>
      <c r="H871" s="36"/>
      <c r="I871" s="36"/>
      <c r="J871" s="37"/>
      <c r="K871" s="60"/>
      <c r="M871" s="61"/>
      <c r="N871" s="61"/>
      <c r="O871" s="61"/>
      <c r="P871" s="61"/>
      <c r="Q871" s="61"/>
      <c r="R871" s="61"/>
      <c r="S871" s="62"/>
      <c r="T871" s="62"/>
      <c r="U871" s="62"/>
    </row>
    <row r="872" spans="1:21" ht="15.75" customHeight="1" x14ac:dyDescent="0.3">
      <c r="A872" s="36"/>
      <c r="B872" s="36"/>
      <c r="C872" s="6"/>
      <c r="D872" s="36"/>
      <c r="E872" s="36"/>
      <c r="F872" s="36"/>
      <c r="G872" s="6"/>
      <c r="H872" s="36"/>
      <c r="I872" s="36"/>
      <c r="J872" s="37"/>
      <c r="K872" s="60"/>
      <c r="M872" s="61"/>
      <c r="N872" s="61"/>
      <c r="O872" s="61"/>
      <c r="P872" s="61"/>
      <c r="Q872" s="61"/>
      <c r="R872" s="61"/>
      <c r="S872" s="62"/>
      <c r="T872" s="62"/>
      <c r="U872" s="62"/>
    </row>
    <row r="873" spans="1:21" ht="15.75" customHeight="1" x14ac:dyDescent="0.3">
      <c r="A873" s="36"/>
      <c r="B873" s="36"/>
      <c r="C873" s="6"/>
      <c r="D873" s="36"/>
      <c r="E873" s="36"/>
      <c r="F873" s="36"/>
      <c r="G873" s="6"/>
      <c r="H873" s="36"/>
      <c r="I873" s="36"/>
      <c r="J873" s="37"/>
      <c r="K873" s="60"/>
      <c r="M873" s="61"/>
      <c r="N873" s="61"/>
      <c r="O873" s="61"/>
      <c r="P873" s="61"/>
      <c r="Q873" s="61"/>
      <c r="R873" s="61"/>
      <c r="S873" s="62"/>
      <c r="T873" s="62"/>
      <c r="U873" s="62"/>
    </row>
    <row r="874" spans="1:21" ht="15.75" customHeight="1" x14ac:dyDescent="0.3">
      <c r="A874" s="36"/>
      <c r="B874" s="36"/>
      <c r="C874" s="6"/>
      <c r="D874" s="36"/>
      <c r="E874" s="36"/>
      <c r="F874" s="36"/>
      <c r="G874" s="6"/>
      <c r="H874" s="36"/>
      <c r="I874" s="36"/>
      <c r="J874" s="37"/>
      <c r="K874" s="60"/>
      <c r="M874" s="61"/>
      <c r="N874" s="61"/>
      <c r="O874" s="61"/>
      <c r="P874" s="61"/>
      <c r="Q874" s="61"/>
      <c r="R874" s="61"/>
      <c r="S874" s="62"/>
      <c r="T874" s="62"/>
      <c r="U874" s="62"/>
    </row>
    <row r="875" spans="1:21" ht="15.75" customHeight="1" x14ac:dyDescent="0.3">
      <c r="A875" s="36"/>
      <c r="B875" s="36"/>
      <c r="C875" s="6"/>
      <c r="D875" s="36"/>
      <c r="E875" s="36"/>
      <c r="F875" s="36"/>
      <c r="G875" s="6"/>
      <c r="H875" s="36"/>
      <c r="I875" s="36"/>
      <c r="J875" s="37"/>
      <c r="K875" s="60"/>
      <c r="M875" s="61"/>
      <c r="N875" s="61"/>
      <c r="O875" s="61"/>
      <c r="P875" s="61"/>
      <c r="Q875" s="61"/>
      <c r="R875" s="61"/>
      <c r="S875" s="62"/>
      <c r="T875" s="62"/>
      <c r="U875" s="62"/>
    </row>
    <row r="876" spans="1:21" ht="15.75" customHeight="1" x14ac:dyDescent="0.3">
      <c r="A876" s="36"/>
      <c r="B876" s="36"/>
      <c r="C876" s="6"/>
      <c r="D876" s="36"/>
      <c r="E876" s="36"/>
      <c r="F876" s="36"/>
      <c r="G876" s="6"/>
      <c r="H876" s="36"/>
      <c r="I876" s="36"/>
      <c r="J876" s="37"/>
      <c r="K876" s="60"/>
      <c r="M876" s="61"/>
      <c r="N876" s="61"/>
      <c r="O876" s="61"/>
      <c r="P876" s="61"/>
      <c r="Q876" s="61"/>
      <c r="R876" s="61"/>
      <c r="S876" s="62"/>
      <c r="T876" s="62"/>
      <c r="U876" s="62"/>
    </row>
    <row r="877" spans="1:21" ht="15.75" customHeight="1" x14ac:dyDescent="0.3">
      <c r="A877" s="36"/>
      <c r="B877" s="36"/>
      <c r="C877" s="6"/>
      <c r="D877" s="36"/>
      <c r="E877" s="36"/>
      <c r="F877" s="36"/>
      <c r="G877" s="6"/>
      <c r="H877" s="36"/>
      <c r="I877" s="36"/>
      <c r="J877" s="37"/>
      <c r="K877" s="60"/>
      <c r="M877" s="61"/>
      <c r="N877" s="61"/>
      <c r="O877" s="61"/>
      <c r="P877" s="61"/>
      <c r="Q877" s="61"/>
      <c r="R877" s="61"/>
      <c r="S877" s="62"/>
      <c r="T877" s="62"/>
      <c r="U877" s="62"/>
    </row>
    <row r="878" spans="1:21" ht="15.75" customHeight="1" x14ac:dyDescent="0.3">
      <c r="A878" s="36"/>
      <c r="B878" s="36"/>
      <c r="C878" s="6"/>
      <c r="D878" s="36"/>
      <c r="E878" s="36"/>
      <c r="F878" s="36"/>
      <c r="G878" s="6"/>
      <c r="H878" s="36"/>
      <c r="I878" s="36"/>
      <c r="J878" s="37"/>
      <c r="K878" s="60"/>
      <c r="M878" s="61"/>
      <c r="N878" s="61"/>
      <c r="O878" s="61"/>
      <c r="P878" s="61"/>
      <c r="Q878" s="61"/>
      <c r="R878" s="61"/>
      <c r="S878" s="62"/>
      <c r="T878" s="62"/>
      <c r="U878" s="62"/>
    </row>
    <row r="879" spans="1:21" ht="15.75" customHeight="1" x14ac:dyDescent="0.3">
      <c r="A879" s="36"/>
      <c r="B879" s="36"/>
      <c r="C879" s="6"/>
      <c r="D879" s="36"/>
      <c r="E879" s="36"/>
      <c r="F879" s="36"/>
      <c r="G879" s="6"/>
      <c r="H879" s="36"/>
      <c r="I879" s="36"/>
      <c r="J879" s="37"/>
      <c r="K879" s="60"/>
      <c r="M879" s="61"/>
      <c r="N879" s="61"/>
      <c r="O879" s="61"/>
      <c r="P879" s="61"/>
      <c r="Q879" s="61"/>
      <c r="R879" s="61"/>
      <c r="S879" s="62"/>
      <c r="T879" s="62"/>
      <c r="U879" s="62"/>
    </row>
    <row r="880" spans="1:21" ht="15.75" customHeight="1" x14ac:dyDescent="0.3">
      <c r="A880" s="36"/>
      <c r="B880" s="36"/>
      <c r="C880" s="6"/>
      <c r="D880" s="36"/>
      <c r="E880" s="36"/>
      <c r="F880" s="36"/>
      <c r="G880" s="6"/>
      <c r="H880" s="36"/>
      <c r="I880" s="36"/>
      <c r="J880" s="37"/>
      <c r="K880" s="60"/>
      <c r="M880" s="61"/>
      <c r="N880" s="61"/>
      <c r="O880" s="61"/>
      <c r="P880" s="61"/>
      <c r="Q880" s="61"/>
      <c r="R880" s="61"/>
      <c r="S880" s="62"/>
      <c r="T880" s="62"/>
      <c r="U880" s="62"/>
    </row>
    <row r="881" spans="1:21" ht="15.75" customHeight="1" x14ac:dyDescent="0.3">
      <c r="A881" s="36"/>
      <c r="B881" s="36"/>
      <c r="C881" s="6"/>
      <c r="D881" s="36"/>
      <c r="E881" s="36"/>
      <c r="F881" s="36"/>
      <c r="G881" s="6"/>
      <c r="H881" s="36"/>
      <c r="I881" s="36"/>
      <c r="J881" s="37"/>
      <c r="K881" s="60"/>
      <c r="M881" s="61"/>
      <c r="N881" s="61"/>
      <c r="O881" s="61"/>
      <c r="P881" s="61"/>
      <c r="Q881" s="61"/>
      <c r="R881" s="61"/>
      <c r="S881" s="62"/>
      <c r="T881" s="62"/>
      <c r="U881" s="62"/>
    </row>
    <row r="882" spans="1:21" ht="15.75" customHeight="1" x14ac:dyDescent="0.3">
      <c r="A882" s="36"/>
      <c r="B882" s="36"/>
      <c r="C882" s="6"/>
      <c r="D882" s="36"/>
      <c r="E882" s="36"/>
      <c r="F882" s="36"/>
      <c r="G882" s="6"/>
      <c r="H882" s="36"/>
      <c r="I882" s="36"/>
      <c r="J882" s="37"/>
      <c r="K882" s="60"/>
      <c r="M882" s="61"/>
      <c r="N882" s="61"/>
      <c r="O882" s="61"/>
      <c r="P882" s="61"/>
      <c r="Q882" s="61"/>
      <c r="R882" s="61"/>
      <c r="S882" s="62"/>
      <c r="T882" s="62"/>
      <c r="U882" s="62"/>
    </row>
    <row r="883" spans="1:21" ht="15.75" customHeight="1" x14ac:dyDescent="0.3">
      <c r="A883" s="36"/>
      <c r="B883" s="36"/>
      <c r="C883" s="6"/>
      <c r="D883" s="36"/>
      <c r="E883" s="36"/>
      <c r="F883" s="36"/>
      <c r="G883" s="6"/>
      <c r="H883" s="36"/>
      <c r="I883" s="36"/>
      <c r="J883" s="37"/>
      <c r="K883" s="60"/>
      <c r="M883" s="61"/>
      <c r="N883" s="61"/>
      <c r="O883" s="61"/>
      <c r="P883" s="61"/>
      <c r="Q883" s="61"/>
      <c r="R883" s="61"/>
      <c r="S883" s="62"/>
      <c r="T883" s="62"/>
      <c r="U883" s="62"/>
    </row>
    <row r="884" spans="1:21" ht="15.75" customHeight="1" x14ac:dyDescent="0.3">
      <c r="A884" s="36"/>
      <c r="B884" s="36"/>
      <c r="C884" s="6"/>
      <c r="D884" s="36"/>
      <c r="E884" s="36"/>
      <c r="F884" s="36"/>
      <c r="G884" s="6"/>
      <c r="H884" s="36"/>
      <c r="I884" s="36"/>
      <c r="J884" s="37"/>
      <c r="K884" s="60"/>
      <c r="M884" s="61"/>
      <c r="N884" s="61"/>
      <c r="O884" s="61"/>
      <c r="P884" s="61"/>
      <c r="Q884" s="61"/>
      <c r="R884" s="61"/>
      <c r="S884" s="62"/>
      <c r="T884" s="62"/>
      <c r="U884" s="62"/>
    </row>
    <row r="885" spans="1:21" ht="15.75" customHeight="1" x14ac:dyDescent="0.3">
      <c r="A885" s="36"/>
      <c r="B885" s="36"/>
      <c r="C885" s="6"/>
      <c r="D885" s="36"/>
      <c r="E885" s="36"/>
      <c r="F885" s="36"/>
      <c r="G885" s="6"/>
      <c r="H885" s="36"/>
      <c r="I885" s="36"/>
      <c r="J885" s="37"/>
      <c r="K885" s="60"/>
      <c r="M885" s="61"/>
      <c r="N885" s="61"/>
      <c r="O885" s="61"/>
      <c r="P885" s="61"/>
      <c r="Q885" s="61"/>
      <c r="R885" s="61"/>
      <c r="S885" s="62"/>
      <c r="T885" s="62"/>
      <c r="U885" s="62"/>
    </row>
    <row r="886" spans="1:21" ht="15.75" customHeight="1" x14ac:dyDescent="0.3">
      <c r="A886" s="36"/>
      <c r="B886" s="36"/>
      <c r="C886" s="6"/>
      <c r="D886" s="36"/>
      <c r="E886" s="36"/>
      <c r="F886" s="36"/>
      <c r="G886" s="6"/>
      <c r="H886" s="36"/>
      <c r="I886" s="36"/>
      <c r="J886" s="37"/>
      <c r="K886" s="60"/>
      <c r="M886" s="61"/>
      <c r="N886" s="61"/>
      <c r="O886" s="61"/>
      <c r="P886" s="61"/>
      <c r="Q886" s="61"/>
      <c r="R886" s="61"/>
      <c r="S886" s="62"/>
      <c r="T886" s="62"/>
      <c r="U886" s="62"/>
    </row>
    <row r="887" spans="1:21" ht="15.75" customHeight="1" x14ac:dyDescent="0.3">
      <c r="A887" s="36"/>
      <c r="B887" s="36"/>
      <c r="C887" s="6"/>
      <c r="D887" s="36"/>
      <c r="E887" s="36"/>
      <c r="F887" s="36"/>
      <c r="G887" s="6"/>
      <c r="H887" s="36"/>
      <c r="I887" s="36"/>
      <c r="J887" s="37"/>
      <c r="K887" s="60"/>
      <c r="M887" s="61"/>
      <c r="N887" s="61"/>
      <c r="O887" s="61"/>
      <c r="P887" s="61"/>
      <c r="Q887" s="61"/>
      <c r="R887" s="61"/>
      <c r="S887" s="62"/>
      <c r="T887" s="62"/>
      <c r="U887" s="62"/>
    </row>
    <row r="888" spans="1:21" ht="15.75" customHeight="1" x14ac:dyDescent="0.3">
      <c r="A888" s="36"/>
      <c r="B888" s="36"/>
      <c r="C888" s="6"/>
      <c r="D888" s="36"/>
      <c r="E888" s="36"/>
      <c r="F888" s="36"/>
      <c r="G888" s="6"/>
      <c r="H888" s="36"/>
      <c r="I888" s="36"/>
      <c r="J888" s="37"/>
      <c r="K888" s="60"/>
      <c r="M888" s="61"/>
      <c r="N888" s="61"/>
      <c r="O888" s="61"/>
      <c r="P888" s="61"/>
      <c r="Q888" s="61"/>
      <c r="R888" s="61"/>
      <c r="S888" s="62"/>
      <c r="T888" s="62"/>
      <c r="U888" s="62"/>
    </row>
    <row r="889" spans="1:21" ht="15.75" customHeight="1" x14ac:dyDescent="0.3">
      <c r="A889" s="36"/>
      <c r="B889" s="36"/>
      <c r="C889" s="6"/>
      <c r="D889" s="36"/>
      <c r="E889" s="36"/>
      <c r="F889" s="36"/>
      <c r="G889" s="6"/>
      <c r="H889" s="36"/>
      <c r="I889" s="36"/>
      <c r="J889" s="37"/>
      <c r="K889" s="60"/>
      <c r="M889" s="61"/>
      <c r="N889" s="61"/>
      <c r="O889" s="61"/>
      <c r="P889" s="61"/>
      <c r="Q889" s="61"/>
      <c r="R889" s="61"/>
      <c r="S889" s="62"/>
      <c r="T889" s="62"/>
      <c r="U889" s="62"/>
    </row>
    <row r="890" spans="1:21" ht="15.75" customHeight="1" x14ac:dyDescent="0.3">
      <c r="A890" s="36"/>
      <c r="B890" s="36"/>
      <c r="C890" s="6"/>
      <c r="D890" s="36"/>
      <c r="E890" s="36"/>
      <c r="F890" s="36"/>
      <c r="G890" s="6"/>
      <c r="H890" s="36"/>
      <c r="I890" s="36"/>
      <c r="J890" s="37"/>
      <c r="K890" s="60"/>
      <c r="M890" s="61"/>
      <c r="N890" s="61"/>
      <c r="O890" s="61"/>
      <c r="P890" s="61"/>
      <c r="Q890" s="61"/>
      <c r="R890" s="61"/>
      <c r="S890" s="62"/>
      <c r="T890" s="62"/>
      <c r="U890" s="62"/>
    </row>
    <row r="891" spans="1:21" ht="15.75" customHeight="1" x14ac:dyDescent="0.3">
      <c r="A891" s="36"/>
      <c r="B891" s="36"/>
      <c r="C891" s="6"/>
      <c r="D891" s="36"/>
      <c r="E891" s="36"/>
      <c r="F891" s="36"/>
      <c r="G891" s="6"/>
      <c r="H891" s="36"/>
      <c r="I891" s="36"/>
      <c r="J891" s="37"/>
      <c r="K891" s="60"/>
      <c r="M891" s="61"/>
      <c r="N891" s="61"/>
      <c r="O891" s="61"/>
      <c r="P891" s="61"/>
      <c r="Q891" s="61"/>
      <c r="R891" s="61"/>
      <c r="S891" s="62"/>
      <c r="T891" s="62"/>
      <c r="U891" s="62"/>
    </row>
    <row r="892" spans="1:21" ht="15.75" customHeight="1" x14ac:dyDescent="0.3">
      <c r="A892" s="36"/>
      <c r="B892" s="36"/>
      <c r="C892" s="6"/>
      <c r="D892" s="36"/>
      <c r="E892" s="36"/>
      <c r="F892" s="36"/>
      <c r="G892" s="6"/>
      <c r="H892" s="36"/>
      <c r="I892" s="36"/>
      <c r="J892" s="37"/>
      <c r="K892" s="60"/>
      <c r="M892" s="61"/>
      <c r="N892" s="61"/>
      <c r="O892" s="61"/>
      <c r="P892" s="61"/>
      <c r="Q892" s="61"/>
      <c r="R892" s="61"/>
      <c r="S892" s="62"/>
      <c r="T892" s="62"/>
      <c r="U892" s="62"/>
    </row>
    <row r="893" spans="1:21" ht="15.75" customHeight="1" x14ac:dyDescent="0.3">
      <c r="A893" s="36"/>
      <c r="B893" s="36"/>
      <c r="C893" s="6"/>
      <c r="D893" s="36"/>
      <c r="E893" s="36"/>
      <c r="F893" s="36"/>
      <c r="G893" s="6"/>
      <c r="H893" s="36"/>
      <c r="I893" s="36"/>
      <c r="J893" s="37"/>
      <c r="K893" s="60"/>
      <c r="M893" s="61"/>
      <c r="N893" s="61"/>
      <c r="O893" s="61"/>
      <c r="P893" s="61"/>
      <c r="Q893" s="61"/>
      <c r="R893" s="61"/>
      <c r="S893" s="62"/>
      <c r="T893" s="62"/>
      <c r="U893" s="62"/>
    </row>
    <row r="894" spans="1:21" ht="15.75" customHeight="1" x14ac:dyDescent="0.3">
      <c r="A894" s="36"/>
      <c r="B894" s="36"/>
      <c r="C894" s="6"/>
      <c r="D894" s="36"/>
      <c r="E894" s="36"/>
      <c r="F894" s="36"/>
      <c r="G894" s="6"/>
      <c r="H894" s="36"/>
      <c r="I894" s="36"/>
      <c r="J894" s="37"/>
      <c r="K894" s="60"/>
      <c r="M894" s="61"/>
      <c r="N894" s="61"/>
      <c r="O894" s="61"/>
      <c r="P894" s="61"/>
      <c r="Q894" s="61"/>
      <c r="R894" s="61"/>
      <c r="S894" s="62"/>
      <c r="T894" s="62"/>
      <c r="U894" s="62"/>
    </row>
    <row r="895" spans="1:21" ht="15.75" customHeight="1" x14ac:dyDescent="0.3">
      <c r="A895" s="36"/>
      <c r="B895" s="36"/>
      <c r="C895" s="6"/>
      <c r="D895" s="36"/>
      <c r="E895" s="36"/>
      <c r="F895" s="36"/>
      <c r="G895" s="6"/>
      <c r="H895" s="36"/>
      <c r="I895" s="36"/>
      <c r="J895" s="37"/>
      <c r="K895" s="60"/>
      <c r="M895" s="61"/>
      <c r="N895" s="61"/>
      <c r="O895" s="61"/>
      <c r="P895" s="61"/>
      <c r="Q895" s="61"/>
      <c r="R895" s="61"/>
      <c r="S895" s="62"/>
      <c r="T895" s="62"/>
      <c r="U895" s="62"/>
    </row>
    <row r="896" spans="1:21" ht="15.75" customHeight="1" x14ac:dyDescent="0.3">
      <c r="A896" s="36"/>
      <c r="B896" s="36"/>
      <c r="C896" s="6"/>
      <c r="D896" s="36"/>
      <c r="E896" s="36"/>
      <c r="F896" s="36"/>
      <c r="G896" s="6"/>
      <c r="H896" s="36"/>
      <c r="I896" s="36"/>
      <c r="J896" s="37"/>
      <c r="K896" s="60"/>
      <c r="M896" s="61"/>
      <c r="N896" s="61"/>
      <c r="O896" s="61"/>
      <c r="P896" s="61"/>
      <c r="Q896" s="61"/>
      <c r="R896" s="61"/>
      <c r="S896" s="62"/>
      <c r="T896" s="62"/>
      <c r="U896" s="62"/>
    </row>
    <row r="897" spans="1:21" ht="15.75" customHeight="1" x14ac:dyDescent="0.3">
      <c r="A897" s="36"/>
      <c r="B897" s="36"/>
      <c r="C897" s="6"/>
      <c r="D897" s="36"/>
      <c r="E897" s="36"/>
      <c r="F897" s="36"/>
      <c r="G897" s="6"/>
      <c r="H897" s="36"/>
      <c r="I897" s="36"/>
      <c r="J897" s="37"/>
      <c r="K897" s="60"/>
      <c r="M897" s="61"/>
      <c r="N897" s="61"/>
      <c r="O897" s="61"/>
      <c r="P897" s="61"/>
      <c r="Q897" s="61"/>
      <c r="R897" s="61"/>
      <c r="S897" s="62"/>
      <c r="T897" s="62"/>
      <c r="U897" s="62"/>
    </row>
    <row r="898" spans="1:21" ht="15.75" customHeight="1" x14ac:dyDescent="0.3">
      <c r="A898" s="36"/>
      <c r="B898" s="36"/>
      <c r="C898" s="6"/>
      <c r="D898" s="36"/>
      <c r="E898" s="36"/>
      <c r="F898" s="36"/>
      <c r="G898" s="6"/>
      <c r="H898" s="36"/>
      <c r="I898" s="36"/>
      <c r="J898" s="37"/>
      <c r="K898" s="60"/>
      <c r="M898" s="61"/>
      <c r="N898" s="61"/>
      <c r="O898" s="61"/>
      <c r="P898" s="61"/>
      <c r="Q898" s="61"/>
      <c r="R898" s="61"/>
      <c r="S898" s="62"/>
      <c r="T898" s="62"/>
      <c r="U898" s="62"/>
    </row>
    <row r="899" spans="1:21" ht="15.75" customHeight="1" x14ac:dyDescent="0.3">
      <c r="A899" s="36"/>
      <c r="B899" s="36"/>
      <c r="C899" s="6"/>
      <c r="D899" s="36"/>
      <c r="E899" s="36"/>
      <c r="F899" s="36"/>
      <c r="G899" s="6"/>
      <c r="H899" s="36"/>
      <c r="I899" s="36"/>
      <c r="J899" s="37"/>
      <c r="K899" s="60"/>
      <c r="M899" s="61"/>
      <c r="N899" s="61"/>
      <c r="O899" s="61"/>
      <c r="P899" s="61"/>
      <c r="Q899" s="61"/>
      <c r="R899" s="61"/>
      <c r="S899" s="62"/>
      <c r="T899" s="62"/>
      <c r="U899" s="62"/>
    </row>
    <row r="900" spans="1:21" ht="15.75" customHeight="1" x14ac:dyDescent="0.3">
      <c r="A900" s="36"/>
      <c r="B900" s="36"/>
      <c r="C900" s="6"/>
      <c r="D900" s="36"/>
      <c r="E900" s="36"/>
      <c r="F900" s="36"/>
      <c r="G900" s="6"/>
      <c r="H900" s="36"/>
      <c r="I900" s="36"/>
      <c r="J900" s="37"/>
      <c r="K900" s="60"/>
      <c r="M900" s="61"/>
      <c r="N900" s="61"/>
      <c r="O900" s="61"/>
      <c r="P900" s="61"/>
      <c r="Q900" s="61"/>
      <c r="R900" s="61"/>
      <c r="S900" s="62"/>
      <c r="T900" s="62"/>
      <c r="U900" s="62"/>
    </row>
    <row r="901" spans="1:21" ht="15.75" customHeight="1" x14ac:dyDescent="0.3">
      <c r="A901" s="36"/>
      <c r="B901" s="36"/>
      <c r="C901" s="6"/>
      <c r="D901" s="36"/>
      <c r="E901" s="36"/>
      <c r="F901" s="36"/>
      <c r="G901" s="6"/>
      <c r="H901" s="36"/>
      <c r="I901" s="36"/>
      <c r="J901" s="37"/>
      <c r="K901" s="60"/>
      <c r="M901" s="61"/>
      <c r="N901" s="61"/>
      <c r="O901" s="61"/>
      <c r="P901" s="61"/>
      <c r="Q901" s="61"/>
      <c r="R901" s="61"/>
      <c r="S901" s="62"/>
      <c r="T901" s="62"/>
      <c r="U901" s="62"/>
    </row>
    <row r="902" spans="1:21" ht="15.75" customHeight="1" x14ac:dyDescent="0.3">
      <c r="A902" s="36"/>
      <c r="B902" s="36"/>
      <c r="C902" s="6"/>
      <c r="D902" s="36"/>
      <c r="E902" s="36"/>
      <c r="F902" s="36"/>
      <c r="G902" s="6"/>
      <c r="H902" s="36"/>
      <c r="I902" s="36"/>
      <c r="J902" s="37"/>
      <c r="K902" s="60"/>
      <c r="M902" s="61"/>
      <c r="N902" s="61"/>
      <c r="O902" s="61"/>
      <c r="P902" s="61"/>
      <c r="Q902" s="61"/>
      <c r="R902" s="61"/>
      <c r="S902" s="62"/>
      <c r="T902" s="62"/>
      <c r="U902" s="62"/>
    </row>
    <row r="903" spans="1:21" ht="15.75" customHeight="1" x14ac:dyDescent="0.3">
      <c r="A903" s="36"/>
      <c r="B903" s="36"/>
      <c r="C903" s="6"/>
      <c r="D903" s="36"/>
      <c r="E903" s="36"/>
      <c r="F903" s="36"/>
      <c r="G903" s="6"/>
      <c r="H903" s="36"/>
      <c r="I903" s="36"/>
      <c r="J903" s="37"/>
      <c r="K903" s="60"/>
      <c r="M903" s="61"/>
      <c r="N903" s="61"/>
      <c r="O903" s="61"/>
      <c r="P903" s="61"/>
      <c r="Q903" s="61"/>
      <c r="R903" s="61"/>
      <c r="S903" s="62"/>
      <c r="T903" s="62"/>
      <c r="U903" s="62"/>
    </row>
    <row r="904" spans="1:21" ht="15.75" customHeight="1" x14ac:dyDescent="0.3">
      <c r="A904" s="36"/>
      <c r="B904" s="36"/>
      <c r="C904" s="6"/>
      <c r="D904" s="36"/>
      <c r="E904" s="36"/>
      <c r="F904" s="36"/>
      <c r="G904" s="6"/>
      <c r="H904" s="36"/>
      <c r="I904" s="36"/>
      <c r="J904" s="37"/>
      <c r="K904" s="60"/>
      <c r="M904" s="61"/>
      <c r="N904" s="61"/>
      <c r="O904" s="61"/>
      <c r="P904" s="61"/>
      <c r="Q904" s="61"/>
      <c r="R904" s="61"/>
      <c r="S904" s="62"/>
      <c r="T904" s="62"/>
      <c r="U904" s="62"/>
    </row>
    <row r="905" spans="1:21" ht="15.75" customHeight="1" x14ac:dyDescent="0.3">
      <c r="A905" s="36"/>
      <c r="B905" s="36"/>
      <c r="C905" s="6"/>
      <c r="D905" s="36"/>
      <c r="E905" s="36"/>
      <c r="F905" s="36"/>
      <c r="G905" s="6"/>
      <c r="H905" s="36"/>
      <c r="I905" s="36"/>
      <c r="J905" s="37"/>
      <c r="K905" s="60"/>
      <c r="M905" s="61"/>
      <c r="N905" s="61"/>
      <c r="O905" s="61"/>
      <c r="P905" s="61"/>
      <c r="Q905" s="61"/>
      <c r="R905" s="61"/>
      <c r="S905" s="62"/>
      <c r="T905" s="62"/>
      <c r="U905" s="62"/>
    </row>
    <row r="906" spans="1:21" ht="15.75" customHeight="1" x14ac:dyDescent="0.3">
      <c r="A906" s="36"/>
      <c r="B906" s="36"/>
      <c r="C906" s="6"/>
      <c r="D906" s="36"/>
      <c r="E906" s="36"/>
      <c r="F906" s="36"/>
      <c r="G906" s="6"/>
      <c r="H906" s="36"/>
      <c r="I906" s="36"/>
      <c r="J906" s="37"/>
      <c r="K906" s="60"/>
      <c r="M906" s="61"/>
      <c r="N906" s="61"/>
      <c r="O906" s="61"/>
      <c r="P906" s="61"/>
      <c r="Q906" s="61"/>
      <c r="R906" s="61"/>
      <c r="S906" s="62"/>
      <c r="T906" s="62"/>
      <c r="U906" s="62"/>
    </row>
    <row r="907" spans="1:21" ht="15.75" customHeight="1" x14ac:dyDescent="0.3">
      <c r="A907" s="36"/>
      <c r="B907" s="36"/>
      <c r="C907" s="6"/>
      <c r="D907" s="36"/>
      <c r="E907" s="36"/>
      <c r="F907" s="36"/>
      <c r="G907" s="6"/>
      <c r="H907" s="36"/>
      <c r="I907" s="36"/>
      <c r="J907" s="37"/>
      <c r="K907" s="60"/>
      <c r="M907" s="61"/>
      <c r="N907" s="61"/>
      <c r="O907" s="61"/>
      <c r="P907" s="61"/>
      <c r="Q907" s="61"/>
      <c r="R907" s="61"/>
      <c r="S907" s="62"/>
      <c r="T907" s="62"/>
      <c r="U907" s="62"/>
    </row>
    <row r="908" spans="1:21" ht="15.75" customHeight="1" x14ac:dyDescent="0.3">
      <c r="A908" s="36"/>
      <c r="B908" s="36"/>
      <c r="C908" s="6"/>
      <c r="D908" s="36"/>
      <c r="E908" s="36"/>
      <c r="F908" s="36"/>
      <c r="G908" s="6"/>
      <c r="H908" s="36"/>
      <c r="I908" s="36"/>
      <c r="J908" s="37"/>
      <c r="K908" s="60"/>
      <c r="M908" s="61"/>
      <c r="N908" s="61"/>
      <c r="O908" s="61"/>
      <c r="P908" s="61"/>
      <c r="Q908" s="61"/>
      <c r="R908" s="61"/>
      <c r="S908" s="62"/>
      <c r="T908" s="62"/>
      <c r="U908" s="62"/>
    </row>
    <row r="909" spans="1:21" ht="15.75" customHeight="1" x14ac:dyDescent="0.3">
      <c r="A909" s="36"/>
      <c r="B909" s="36"/>
      <c r="C909" s="6"/>
      <c r="D909" s="36"/>
      <c r="E909" s="36"/>
      <c r="F909" s="36"/>
      <c r="G909" s="6"/>
      <c r="H909" s="36"/>
      <c r="I909" s="36"/>
      <c r="J909" s="37"/>
      <c r="K909" s="60"/>
      <c r="M909" s="61"/>
      <c r="N909" s="61"/>
      <c r="O909" s="61"/>
      <c r="P909" s="61"/>
      <c r="Q909" s="61"/>
      <c r="R909" s="61"/>
      <c r="S909" s="62"/>
      <c r="T909" s="62"/>
      <c r="U909" s="62"/>
    </row>
    <row r="910" spans="1:21" ht="15.75" customHeight="1" x14ac:dyDescent="0.3">
      <c r="A910" s="36"/>
      <c r="B910" s="36"/>
      <c r="C910" s="6"/>
      <c r="D910" s="36"/>
      <c r="E910" s="36"/>
      <c r="F910" s="36"/>
      <c r="G910" s="6"/>
      <c r="H910" s="36"/>
      <c r="I910" s="36"/>
      <c r="J910" s="37"/>
      <c r="K910" s="60"/>
      <c r="M910" s="61"/>
      <c r="N910" s="61"/>
      <c r="O910" s="61"/>
      <c r="P910" s="61"/>
      <c r="Q910" s="61"/>
      <c r="R910" s="61"/>
      <c r="S910" s="62"/>
      <c r="T910" s="62"/>
      <c r="U910" s="62"/>
    </row>
    <row r="911" spans="1:21" ht="15.75" customHeight="1" x14ac:dyDescent="0.3">
      <c r="A911" s="36"/>
      <c r="B911" s="36"/>
      <c r="C911" s="6"/>
      <c r="D911" s="36"/>
      <c r="E911" s="36"/>
      <c r="F911" s="36"/>
      <c r="G911" s="6"/>
      <c r="H911" s="36"/>
      <c r="I911" s="36"/>
      <c r="J911" s="37"/>
      <c r="K911" s="60"/>
      <c r="M911" s="61"/>
      <c r="N911" s="61"/>
      <c r="O911" s="61"/>
      <c r="P911" s="61"/>
      <c r="Q911" s="61"/>
      <c r="R911" s="61"/>
      <c r="S911" s="62"/>
      <c r="T911" s="62"/>
      <c r="U911" s="62"/>
    </row>
    <row r="912" spans="1:21" ht="15.75" customHeight="1" x14ac:dyDescent="0.3">
      <c r="A912" s="36"/>
      <c r="B912" s="36"/>
      <c r="C912" s="6"/>
      <c r="D912" s="36"/>
      <c r="E912" s="36"/>
      <c r="F912" s="36"/>
      <c r="G912" s="6"/>
      <c r="H912" s="36"/>
      <c r="I912" s="36"/>
      <c r="J912" s="37"/>
      <c r="K912" s="60"/>
      <c r="M912" s="61"/>
      <c r="N912" s="61"/>
      <c r="O912" s="61"/>
      <c r="P912" s="61"/>
      <c r="Q912" s="61"/>
      <c r="R912" s="61"/>
      <c r="S912" s="62"/>
      <c r="T912" s="62"/>
      <c r="U912" s="62"/>
    </row>
    <row r="913" spans="1:21" ht="15.75" customHeight="1" x14ac:dyDescent="0.3">
      <c r="A913" s="36"/>
      <c r="B913" s="36"/>
      <c r="C913" s="6"/>
      <c r="D913" s="36"/>
      <c r="E913" s="36"/>
      <c r="F913" s="36"/>
      <c r="G913" s="6"/>
      <c r="H913" s="36"/>
      <c r="I913" s="36"/>
      <c r="J913" s="37"/>
      <c r="K913" s="60"/>
      <c r="M913" s="61"/>
      <c r="N913" s="61"/>
      <c r="O913" s="61"/>
      <c r="P913" s="61"/>
      <c r="Q913" s="61"/>
      <c r="R913" s="61"/>
      <c r="S913" s="62"/>
      <c r="T913" s="62"/>
      <c r="U913" s="62"/>
    </row>
    <row r="914" spans="1:21" ht="15.75" customHeight="1" x14ac:dyDescent="0.3">
      <c r="A914" s="36"/>
      <c r="B914" s="36"/>
      <c r="C914" s="6"/>
      <c r="D914" s="36"/>
      <c r="E914" s="36"/>
      <c r="F914" s="36"/>
      <c r="G914" s="6"/>
      <c r="H914" s="36"/>
      <c r="I914" s="36"/>
      <c r="J914" s="37"/>
      <c r="K914" s="60"/>
      <c r="M914" s="61"/>
      <c r="N914" s="61"/>
      <c r="O914" s="61"/>
      <c r="P914" s="61"/>
      <c r="Q914" s="61"/>
      <c r="R914" s="61"/>
      <c r="S914" s="62"/>
      <c r="T914" s="62"/>
      <c r="U914" s="62"/>
    </row>
    <row r="915" spans="1:21" ht="15.75" customHeight="1" x14ac:dyDescent="0.3">
      <c r="A915" s="36"/>
      <c r="B915" s="36"/>
      <c r="C915" s="6"/>
      <c r="D915" s="36"/>
      <c r="E915" s="36"/>
      <c r="F915" s="36"/>
      <c r="G915" s="6"/>
      <c r="H915" s="36"/>
      <c r="I915" s="36"/>
      <c r="J915" s="37"/>
      <c r="K915" s="60"/>
      <c r="M915" s="61"/>
      <c r="N915" s="61"/>
      <c r="O915" s="61"/>
      <c r="P915" s="61"/>
      <c r="Q915" s="61"/>
      <c r="R915" s="61"/>
      <c r="S915" s="62"/>
      <c r="T915" s="62"/>
      <c r="U915" s="62"/>
    </row>
    <row r="916" spans="1:21" ht="15.75" customHeight="1" x14ac:dyDescent="0.3">
      <c r="A916" s="36"/>
      <c r="B916" s="36"/>
      <c r="C916" s="6"/>
      <c r="D916" s="36"/>
      <c r="E916" s="36"/>
      <c r="F916" s="36"/>
      <c r="G916" s="6"/>
      <c r="H916" s="36"/>
      <c r="I916" s="36"/>
      <c r="J916" s="37"/>
      <c r="K916" s="60"/>
      <c r="M916" s="61"/>
      <c r="N916" s="61"/>
      <c r="O916" s="61"/>
      <c r="P916" s="61"/>
      <c r="Q916" s="61"/>
      <c r="R916" s="61"/>
      <c r="S916" s="62"/>
      <c r="T916" s="62"/>
      <c r="U916" s="62"/>
    </row>
    <row r="917" spans="1:21" ht="15.75" customHeight="1" x14ac:dyDescent="0.3">
      <c r="A917" s="36"/>
      <c r="B917" s="36"/>
      <c r="C917" s="6"/>
      <c r="D917" s="36"/>
      <c r="E917" s="36"/>
      <c r="F917" s="36"/>
      <c r="G917" s="6"/>
      <c r="H917" s="36"/>
      <c r="I917" s="36"/>
      <c r="J917" s="37"/>
      <c r="K917" s="60"/>
      <c r="M917" s="61"/>
      <c r="N917" s="61"/>
      <c r="O917" s="61"/>
      <c r="P917" s="61"/>
      <c r="Q917" s="61"/>
      <c r="R917" s="61"/>
      <c r="S917" s="62"/>
      <c r="T917" s="62"/>
      <c r="U917" s="62"/>
    </row>
    <row r="918" spans="1:21" ht="15.75" customHeight="1" x14ac:dyDescent="0.3">
      <c r="A918" s="36"/>
      <c r="B918" s="36"/>
      <c r="C918" s="6"/>
      <c r="D918" s="36"/>
      <c r="E918" s="36"/>
      <c r="F918" s="36"/>
      <c r="G918" s="6"/>
      <c r="H918" s="36"/>
      <c r="I918" s="36"/>
      <c r="J918" s="37"/>
      <c r="K918" s="60"/>
      <c r="M918" s="61"/>
      <c r="N918" s="61"/>
      <c r="O918" s="61"/>
      <c r="P918" s="61"/>
      <c r="Q918" s="61"/>
      <c r="R918" s="61"/>
      <c r="S918" s="62"/>
      <c r="T918" s="62"/>
      <c r="U918" s="62"/>
    </row>
    <row r="919" spans="1:21" ht="15.75" customHeight="1" x14ac:dyDescent="0.3">
      <c r="A919" s="36"/>
      <c r="B919" s="36"/>
      <c r="C919" s="6"/>
      <c r="D919" s="36"/>
      <c r="E919" s="36"/>
      <c r="F919" s="36"/>
      <c r="G919" s="6"/>
      <c r="H919" s="36"/>
      <c r="I919" s="36"/>
      <c r="J919" s="37"/>
      <c r="K919" s="60"/>
      <c r="M919" s="61"/>
      <c r="N919" s="61"/>
      <c r="O919" s="61"/>
      <c r="P919" s="61"/>
      <c r="Q919" s="61"/>
      <c r="R919" s="61"/>
      <c r="S919" s="62"/>
      <c r="T919" s="62"/>
      <c r="U919" s="62"/>
    </row>
    <row r="920" spans="1:21" ht="15.75" customHeight="1" x14ac:dyDescent="0.3">
      <c r="A920" s="36"/>
      <c r="B920" s="36"/>
      <c r="C920" s="6"/>
      <c r="D920" s="36"/>
      <c r="E920" s="36"/>
      <c r="F920" s="36"/>
      <c r="G920" s="6"/>
      <c r="H920" s="36"/>
      <c r="I920" s="36"/>
      <c r="J920" s="37"/>
      <c r="K920" s="60"/>
      <c r="M920" s="61"/>
      <c r="N920" s="61"/>
      <c r="O920" s="61"/>
      <c r="P920" s="61"/>
      <c r="Q920" s="61"/>
      <c r="R920" s="61"/>
      <c r="S920" s="62"/>
      <c r="T920" s="62"/>
      <c r="U920" s="62"/>
    </row>
    <row r="921" spans="1:21" ht="15.75" customHeight="1" x14ac:dyDescent="0.3">
      <c r="A921" s="36"/>
      <c r="B921" s="36"/>
      <c r="C921" s="6"/>
      <c r="D921" s="36"/>
      <c r="E921" s="36"/>
      <c r="F921" s="36"/>
      <c r="G921" s="6"/>
      <c r="H921" s="36"/>
      <c r="I921" s="36"/>
      <c r="J921" s="37"/>
      <c r="K921" s="60"/>
      <c r="M921" s="61"/>
      <c r="N921" s="61"/>
      <c r="O921" s="61"/>
      <c r="P921" s="61"/>
      <c r="Q921" s="61"/>
      <c r="R921" s="61"/>
      <c r="S921" s="62"/>
      <c r="T921" s="62"/>
      <c r="U921" s="62"/>
    </row>
    <row r="922" spans="1:21" ht="15.75" customHeight="1" x14ac:dyDescent="0.3">
      <c r="A922" s="36"/>
      <c r="B922" s="36"/>
      <c r="C922" s="6"/>
      <c r="D922" s="36"/>
      <c r="E922" s="36"/>
      <c r="F922" s="36"/>
      <c r="G922" s="6"/>
      <c r="H922" s="36"/>
      <c r="I922" s="36"/>
      <c r="J922" s="37"/>
      <c r="K922" s="60"/>
      <c r="M922" s="61"/>
      <c r="N922" s="61"/>
      <c r="O922" s="61"/>
      <c r="P922" s="61"/>
      <c r="Q922" s="61"/>
      <c r="R922" s="61"/>
      <c r="S922" s="62"/>
      <c r="T922" s="62"/>
      <c r="U922" s="62"/>
    </row>
    <row r="923" spans="1:21" ht="15.75" customHeight="1" x14ac:dyDescent="0.3">
      <c r="A923" s="36"/>
      <c r="B923" s="36"/>
      <c r="C923" s="6"/>
      <c r="D923" s="36"/>
      <c r="E923" s="36"/>
      <c r="F923" s="36"/>
      <c r="G923" s="6"/>
      <c r="H923" s="36"/>
      <c r="I923" s="36"/>
      <c r="J923" s="37"/>
      <c r="K923" s="60"/>
      <c r="M923" s="61"/>
      <c r="N923" s="61"/>
      <c r="O923" s="61"/>
      <c r="P923" s="61"/>
      <c r="Q923" s="61"/>
      <c r="R923" s="61"/>
      <c r="S923" s="62"/>
      <c r="T923" s="62"/>
      <c r="U923" s="62"/>
    </row>
    <row r="924" spans="1:21" ht="15.75" customHeight="1" x14ac:dyDescent="0.3">
      <c r="A924" s="36"/>
      <c r="B924" s="36"/>
      <c r="C924" s="6"/>
      <c r="D924" s="36"/>
      <c r="E924" s="36"/>
      <c r="F924" s="36"/>
      <c r="G924" s="6"/>
      <c r="H924" s="36"/>
      <c r="I924" s="36"/>
      <c r="J924" s="37"/>
      <c r="K924" s="60"/>
      <c r="M924" s="61"/>
      <c r="N924" s="61"/>
      <c r="O924" s="61"/>
      <c r="P924" s="61"/>
      <c r="Q924" s="61"/>
      <c r="R924" s="61"/>
      <c r="S924" s="62"/>
      <c r="T924" s="62"/>
      <c r="U924" s="62"/>
    </row>
    <row r="925" spans="1:21" ht="15.75" customHeight="1" x14ac:dyDescent="0.3">
      <c r="A925" s="36"/>
      <c r="B925" s="36"/>
      <c r="C925" s="6"/>
      <c r="D925" s="36"/>
      <c r="E925" s="36"/>
      <c r="F925" s="36"/>
      <c r="G925" s="6"/>
      <c r="H925" s="36"/>
      <c r="I925" s="36"/>
      <c r="J925" s="37"/>
      <c r="K925" s="60"/>
      <c r="M925" s="61"/>
      <c r="N925" s="61"/>
      <c r="O925" s="61"/>
      <c r="P925" s="61"/>
      <c r="Q925" s="61"/>
      <c r="R925" s="61"/>
      <c r="S925" s="62"/>
      <c r="T925" s="62"/>
      <c r="U925" s="62"/>
    </row>
    <row r="926" spans="1:21" ht="15.75" customHeight="1" x14ac:dyDescent="0.3">
      <c r="A926" s="36"/>
      <c r="B926" s="36"/>
      <c r="C926" s="6"/>
      <c r="D926" s="36"/>
      <c r="E926" s="36"/>
      <c r="F926" s="36"/>
      <c r="G926" s="6"/>
      <c r="H926" s="36"/>
      <c r="I926" s="36"/>
      <c r="J926" s="37"/>
      <c r="K926" s="60"/>
      <c r="M926" s="61"/>
      <c r="N926" s="61"/>
      <c r="O926" s="61"/>
      <c r="P926" s="61"/>
      <c r="Q926" s="61"/>
      <c r="R926" s="61"/>
      <c r="S926" s="62"/>
      <c r="T926" s="62"/>
      <c r="U926" s="62"/>
    </row>
    <row r="927" spans="1:21" ht="15.75" customHeight="1" x14ac:dyDescent="0.3">
      <c r="A927" s="36"/>
      <c r="B927" s="36"/>
      <c r="C927" s="6"/>
      <c r="D927" s="36"/>
      <c r="E927" s="36"/>
      <c r="F927" s="36"/>
      <c r="G927" s="6"/>
      <c r="H927" s="36"/>
      <c r="I927" s="36"/>
      <c r="J927" s="37"/>
      <c r="K927" s="60"/>
      <c r="M927" s="61"/>
      <c r="N927" s="61"/>
      <c r="O927" s="61"/>
      <c r="P927" s="61"/>
      <c r="Q927" s="61"/>
      <c r="R927" s="61"/>
      <c r="S927" s="62"/>
      <c r="T927" s="62"/>
      <c r="U927" s="62"/>
    </row>
    <row r="928" spans="1:21" ht="15.75" customHeight="1" x14ac:dyDescent="0.3">
      <c r="A928" s="36"/>
      <c r="B928" s="36"/>
      <c r="C928" s="6"/>
      <c r="D928" s="36"/>
      <c r="E928" s="36"/>
      <c r="F928" s="36"/>
      <c r="G928" s="6"/>
      <c r="H928" s="36"/>
      <c r="I928" s="36"/>
      <c r="J928" s="37"/>
      <c r="K928" s="60"/>
      <c r="M928" s="61"/>
      <c r="N928" s="61"/>
      <c r="O928" s="61"/>
      <c r="P928" s="61"/>
      <c r="Q928" s="61"/>
      <c r="R928" s="61"/>
      <c r="S928" s="62"/>
      <c r="T928" s="62"/>
      <c r="U928" s="62"/>
    </row>
    <row r="929" spans="1:21" ht="15.75" customHeight="1" x14ac:dyDescent="0.3">
      <c r="A929" s="36"/>
      <c r="B929" s="36"/>
      <c r="C929" s="6"/>
      <c r="D929" s="36"/>
      <c r="E929" s="36"/>
      <c r="F929" s="36"/>
      <c r="G929" s="6"/>
      <c r="H929" s="36"/>
      <c r="I929" s="36"/>
      <c r="J929" s="37"/>
      <c r="K929" s="60"/>
      <c r="M929" s="61"/>
      <c r="N929" s="61"/>
      <c r="O929" s="61"/>
      <c r="P929" s="61"/>
      <c r="Q929" s="61"/>
      <c r="R929" s="61"/>
      <c r="S929" s="62"/>
      <c r="T929" s="62"/>
      <c r="U929" s="62"/>
    </row>
    <row r="930" spans="1:21" ht="15.75" customHeight="1" x14ac:dyDescent="0.3">
      <c r="A930" s="36"/>
      <c r="B930" s="36"/>
      <c r="C930" s="6"/>
      <c r="D930" s="36"/>
      <c r="E930" s="36"/>
      <c r="F930" s="36"/>
      <c r="G930" s="6"/>
      <c r="H930" s="36"/>
      <c r="I930" s="36"/>
      <c r="J930" s="37"/>
      <c r="K930" s="60"/>
      <c r="M930" s="61"/>
      <c r="N930" s="61"/>
      <c r="O930" s="61"/>
      <c r="P930" s="61"/>
      <c r="Q930" s="61"/>
      <c r="R930" s="61"/>
      <c r="S930" s="62"/>
      <c r="T930" s="62"/>
      <c r="U930" s="62"/>
    </row>
    <row r="931" spans="1:21" ht="15.75" customHeight="1" x14ac:dyDescent="0.3">
      <c r="A931" s="36"/>
      <c r="B931" s="36"/>
      <c r="C931" s="6"/>
      <c r="D931" s="36"/>
      <c r="E931" s="36"/>
      <c r="F931" s="36"/>
      <c r="G931" s="6"/>
      <c r="H931" s="36"/>
      <c r="I931" s="36"/>
      <c r="J931" s="37"/>
      <c r="K931" s="60"/>
      <c r="M931" s="61"/>
      <c r="N931" s="61"/>
      <c r="O931" s="61"/>
      <c r="P931" s="61"/>
      <c r="Q931" s="61"/>
      <c r="R931" s="61"/>
      <c r="S931" s="62"/>
      <c r="T931" s="62"/>
      <c r="U931" s="62"/>
    </row>
    <row r="932" spans="1:21" ht="15.75" customHeight="1" x14ac:dyDescent="0.3">
      <c r="A932" s="36"/>
      <c r="B932" s="36"/>
      <c r="C932" s="6"/>
      <c r="D932" s="36"/>
      <c r="E932" s="36"/>
      <c r="F932" s="36"/>
      <c r="G932" s="6"/>
      <c r="H932" s="36"/>
      <c r="I932" s="36"/>
      <c r="J932" s="37"/>
      <c r="K932" s="60"/>
      <c r="M932" s="61"/>
      <c r="N932" s="61"/>
      <c r="O932" s="61"/>
      <c r="P932" s="61"/>
      <c r="Q932" s="61"/>
      <c r="R932" s="61"/>
      <c r="S932" s="62"/>
      <c r="T932" s="62"/>
      <c r="U932" s="62"/>
    </row>
    <row r="933" spans="1:21" ht="15.75" customHeight="1" x14ac:dyDescent="0.3">
      <c r="A933" s="36"/>
      <c r="B933" s="36"/>
      <c r="C933" s="6"/>
      <c r="D933" s="36"/>
      <c r="E933" s="36"/>
      <c r="F933" s="36"/>
      <c r="G933" s="6"/>
      <c r="H933" s="36"/>
      <c r="I933" s="36"/>
      <c r="J933" s="37"/>
      <c r="K933" s="60"/>
      <c r="M933" s="61"/>
      <c r="N933" s="61"/>
      <c r="O933" s="61"/>
      <c r="P933" s="61"/>
      <c r="Q933" s="61"/>
      <c r="R933" s="61"/>
      <c r="S933" s="62"/>
      <c r="T933" s="62"/>
      <c r="U933" s="62"/>
    </row>
    <row r="934" spans="1:21" ht="15.75" customHeight="1" x14ac:dyDescent="0.3">
      <c r="A934" s="36"/>
      <c r="B934" s="36"/>
      <c r="C934" s="6"/>
      <c r="D934" s="36"/>
      <c r="E934" s="36"/>
      <c r="F934" s="36"/>
      <c r="G934" s="6"/>
      <c r="H934" s="36"/>
      <c r="I934" s="36"/>
      <c r="J934" s="37"/>
      <c r="K934" s="60"/>
      <c r="M934" s="61"/>
      <c r="N934" s="61"/>
      <c r="O934" s="61"/>
      <c r="P934" s="61"/>
      <c r="Q934" s="61"/>
      <c r="R934" s="61"/>
      <c r="S934" s="62"/>
      <c r="T934" s="62"/>
      <c r="U934" s="62"/>
    </row>
    <row r="935" spans="1:21" ht="15.75" customHeight="1" x14ac:dyDescent="0.3">
      <c r="A935" s="36"/>
      <c r="B935" s="36"/>
      <c r="C935" s="6"/>
      <c r="D935" s="36"/>
      <c r="E935" s="36"/>
      <c r="F935" s="36"/>
      <c r="G935" s="6"/>
      <c r="H935" s="36"/>
      <c r="I935" s="36"/>
      <c r="J935" s="37"/>
      <c r="K935" s="60"/>
      <c r="M935" s="61"/>
      <c r="N935" s="61"/>
      <c r="O935" s="61"/>
      <c r="P935" s="61"/>
      <c r="Q935" s="61"/>
      <c r="R935" s="61"/>
      <c r="S935" s="62"/>
      <c r="T935" s="62"/>
      <c r="U935" s="62"/>
    </row>
    <row r="936" spans="1:21" ht="15.75" customHeight="1" x14ac:dyDescent="0.3">
      <c r="A936" s="36"/>
      <c r="B936" s="36"/>
      <c r="C936" s="6"/>
      <c r="D936" s="36"/>
      <c r="E936" s="36"/>
      <c r="F936" s="36"/>
      <c r="G936" s="6"/>
      <c r="H936" s="36"/>
      <c r="I936" s="36"/>
      <c r="J936" s="37"/>
      <c r="K936" s="60"/>
      <c r="M936" s="61"/>
      <c r="N936" s="61"/>
      <c r="O936" s="61"/>
      <c r="P936" s="61"/>
      <c r="Q936" s="61"/>
      <c r="R936" s="61"/>
      <c r="S936" s="62"/>
      <c r="T936" s="62"/>
      <c r="U936" s="62"/>
    </row>
    <row r="937" spans="1:21" ht="15.75" customHeight="1" x14ac:dyDescent="0.3">
      <c r="A937" s="36"/>
      <c r="B937" s="36"/>
      <c r="C937" s="6"/>
      <c r="D937" s="36"/>
      <c r="E937" s="36"/>
      <c r="F937" s="36"/>
      <c r="G937" s="6"/>
      <c r="H937" s="36"/>
      <c r="I937" s="36"/>
      <c r="J937" s="37"/>
      <c r="K937" s="60"/>
      <c r="M937" s="61"/>
      <c r="N937" s="61"/>
      <c r="O937" s="61"/>
      <c r="P937" s="61"/>
      <c r="Q937" s="61"/>
      <c r="R937" s="61"/>
      <c r="S937" s="62"/>
      <c r="T937" s="62"/>
      <c r="U937" s="62"/>
    </row>
    <row r="938" spans="1:21" ht="15.75" customHeight="1" x14ac:dyDescent="0.3">
      <c r="A938" s="36"/>
      <c r="B938" s="36"/>
      <c r="C938" s="6"/>
      <c r="D938" s="36"/>
      <c r="E938" s="36"/>
      <c r="F938" s="36"/>
      <c r="G938" s="6"/>
      <c r="H938" s="36"/>
      <c r="I938" s="36"/>
      <c r="J938" s="37"/>
      <c r="K938" s="60"/>
      <c r="M938" s="61"/>
      <c r="N938" s="61"/>
      <c r="O938" s="61"/>
      <c r="P938" s="61"/>
      <c r="Q938" s="61"/>
      <c r="R938" s="61"/>
      <c r="S938" s="62"/>
      <c r="T938" s="62"/>
      <c r="U938" s="62"/>
    </row>
    <row r="939" spans="1:21" ht="15.75" customHeight="1" x14ac:dyDescent="0.3">
      <c r="A939" s="36"/>
      <c r="B939" s="36"/>
      <c r="C939" s="6"/>
      <c r="D939" s="36"/>
      <c r="E939" s="36"/>
      <c r="F939" s="36"/>
      <c r="G939" s="6"/>
      <c r="H939" s="36"/>
      <c r="I939" s="36"/>
      <c r="J939" s="37"/>
      <c r="K939" s="60"/>
      <c r="M939" s="61"/>
      <c r="N939" s="61"/>
      <c r="O939" s="61"/>
      <c r="P939" s="61"/>
      <c r="Q939" s="61"/>
      <c r="R939" s="61"/>
      <c r="S939" s="62"/>
      <c r="T939" s="62"/>
      <c r="U939" s="62"/>
    </row>
    <row r="940" spans="1:21" ht="15.75" customHeight="1" x14ac:dyDescent="0.3">
      <c r="A940" s="36"/>
      <c r="B940" s="36"/>
      <c r="C940" s="6"/>
      <c r="D940" s="36"/>
      <c r="E940" s="36"/>
      <c r="F940" s="36"/>
      <c r="G940" s="6"/>
      <c r="H940" s="36"/>
      <c r="I940" s="36"/>
      <c r="J940" s="37"/>
      <c r="K940" s="60"/>
      <c r="M940" s="61"/>
      <c r="N940" s="61"/>
      <c r="O940" s="61"/>
      <c r="P940" s="61"/>
      <c r="Q940" s="61"/>
      <c r="R940" s="61"/>
      <c r="S940" s="62"/>
      <c r="T940" s="62"/>
      <c r="U940" s="62"/>
    </row>
    <row r="941" spans="1:21" ht="15.75" customHeight="1" x14ac:dyDescent="0.3">
      <c r="A941" s="36"/>
      <c r="B941" s="36"/>
      <c r="C941" s="6"/>
      <c r="D941" s="36"/>
      <c r="E941" s="36"/>
      <c r="F941" s="36"/>
      <c r="G941" s="6"/>
      <c r="H941" s="36"/>
      <c r="I941" s="36"/>
      <c r="J941" s="37"/>
      <c r="K941" s="60"/>
      <c r="M941" s="61"/>
      <c r="N941" s="61"/>
      <c r="O941" s="61"/>
      <c r="P941" s="61"/>
      <c r="Q941" s="61"/>
      <c r="R941" s="61"/>
      <c r="S941" s="62"/>
      <c r="T941" s="62"/>
      <c r="U941" s="62"/>
    </row>
    <row r="942" spans="1:21" ht="15.75" customHeight="1" x14ac:dyDescent="0.3">
      <c r="A942" s="36"/>
      <c r="B942" s="36"/>
      <c r="C942" s="6"/>
      <c r="D942" s="36"/>
      <c r="E942" s="36"/>
      <c r="F942" s="36"/>
      <c r="G942" s="6"/>
      <c r="H942" s="36"/>
      <c r="I942" s="36"/>
      <c r="J942" s="37"/>
      <c r="K942" s="60"/>
      <c r="M942" s="61"/>
      <c r="N942" s="61"/>
      <c r="O942" s="61"/>
      <c r="P942" s="61"/>
      <c r="Q942" s="61"/>
      <c r="R942" s="61"/>
      <c r="S942" s="62"/>
      <c r="T942" s="62"/>
      <c r="U942" s="62"/>
    </row>
    <row r="943" spans="1:21" ht="15.75" customHeight="1" x14ac:dyDescent="0.3">
      <c r="A943" s="36"/>
      <c r="B943" s="36"/>
      <c r="C943" s="6"/>
      <c r="D943" s="36"/>
      <c r="E943" s="36"/>
      <c r="F943" s="36"/>
      <c r="G943" s="6"/>
      <c r="H943" s="36"/>
      <c r="I943" s="36"/>
      <c r="J943" s="37"/>
      <c r="K943" s="60"/>
      <c r="M943" s="61"/>
      <c r="N943" s="61"/>
      <c r="O943" s="61"/>
      <c r="P943" s="61"/>
      <c r="Q943" s="61"/>
      <c r="R943" s="61"/>
      <c r="S943" s="62"/>
      <c r="T943" s="62"/>
      <c r="U943" s="62"/>
    </row>
    <row r="944" spans="1:21" ht="15.75" customHeight="1" x14ac:dyDescent="0.3">
      <c r="A944" s="36"/>
      <c r="B944" s="36"/>
      <c r="C944" s="6"/>
      <c r="D944" s="36"/>
      <c r="E944" s="36"/>
      <c r="F944" s="36"/>
      <c r="G944" s="6"/>
      <c r="H944" s="36"/>
      <c r="I944" s="36"/>
      <c r="J944" s="37"/>
      <c r="K944" s="60"/>
      <c r="M944" s="61"/>
      <c r="N944" s="61"/>
      <c r="O944" s="61"/>
      <c r="P944" s="61"/>
      <c r="Q944" s="61"/>
      <c r="R944" s="61"/>
      <c r="S944" s="62"/>
      <c r="T944" s="62"/>
      <c r="U944" s="62"/>
    </row>
    <row r="945" spans="1:21" ht="15.75" customHeight="1" x14ac:dyDescent="0.3">
      <c r="A945" s="36"/>
      <c r="B945" s="36"/>
      <c r="C945" s="6"/>
      <c r="D945" s="36"/>
      <c r="E945" s="36"/>
      <c r="F945" s="36"/>
      <c r="G945" s="6"/>
      <c r="H945" s="36"/>
      <c r="I945" s="36"/>
      <c r="J945" s="37"/>
      <c r="K945" s="60"/>
      <c r="M945" s="61"/>
      <c r="N945" s="61"/>
      <c r="O945" s="61"/>
      <c r="P945" s="61"/>
      <c r="Q945" s="61"/>
      <c r="R945" s="61"/>
      <c r="S945" s="62"/>
      <c r="T945" s="62"/>
      <c r="U945" s="62"/>
    </row>
    <row r="946" spans="1:21" ht="15.75" customHeight="1" x14ac:dyDescent="0.3">
      <c r="A946" s="36"/>
      <c r="B946" s="36"/>
      <c r="C946" s="6"/>
      <c r="D946" s="36"/>
      <c r="E946" s="36"/>
      <c r="F946" s="36"/>
      <c r="G946" s="6"/>
      <c r="H946" s="36"/>
      <c r="I946" s="36"/>
      <c r="J946" s="37"/>
      <c r="K946" s="60"/>
      <c r="M946" s="61"/>
      <c r="N946" s="61"/>
      <c r="O946" s="61"/>
      <c r="P946" s="61"/>
      <c r="Q946" s="61"/>
      <c r="R946" s="61"/>
      <c r="S946" s="62"/>
      <c r="T946" s="62"/>
      <c r="U946" s="62"/>
    </row>
    <row r="947" spans="1:21" ht="15.75" customHeight="1" x14ac:dyDescent="0.3">
      <c r="A947" s="36"/>
      <c r="B947" s="36"/>
      <c r="C947" s="6"/>
      <c r="D947" s="36"/>
      <c r="E947" s="36"/>
      <c r="F947" s="36"/>
      <c r="G947" s="6"/>
      <c r="H947" s="36"/>
      <c r="I947" s="36"/>
      <c r="J947" s="37"/>
      <c r="K947" s="60"/>
      <c r="M947" s="61"/>
      <c r="N947" s="61"/>
      <c r="O947" s="61"/>
      <c r="P947" s="61"/>
      <c r="Q947" s="61"/>
      <c r="R947" s="61"/>
      <c r="S947" s="62"/>
      <c r="T947" s="62"/>
      <c r="U947" s="62"/>
    </row>
    <row r="948" spans="1:21" ht="15.75" customHeight="1" x14ac:dyDescent="0.3">
      <c r="A948" s="36"/>
      <c r="B948" s="36"/>
      <c r="C948" s="6"/>
      <c r="D948" s="36"/>
      <c r="E948" s="36"/>
      <c r="F948" s="36"/>
      <c r="G948" s="6"/>
      <c r="H948" s="36"/>
      <c r="I948" s="36"/>
      <c r="J948" s="37"/>
      <c r="K948" s="60"/>
      <c r="M948" s="61"/>
      <c r="N948" s="61"/>
      <c r="O948" s="61"/>
      <c r="P948" s="61"/>
      <c r="Q948" s="61"/>
      <c r="R948" s="61"/>
      <c r="S948" s="62"/>
      <c r="T948" s="62"/>
      <c r="U948" s="62"/>
    </row>
    <row r="949" spans="1:21" ht="15.75" customHeight="1" x14ac:dyDescent="0.3">
      <c r="A949" s="36"/>
      <c r="B949" s="36"/>
      <c r="C949" s="6"/>
      <c r="D949" s="36"/>
      <c r="E949" s="36"/>
      <c r="F949" s="36"/>
      <c r="G949" s="6"/>
      <c r="H949" s="36"/>
      <c r="I949" s="36"/>
      <c r="J949" s="37"/>
      <c r="K949" s="60"/>
      <c r="M949" s="61"/>
      <c r="N949" s="61"/>
      <c r="O949" s="61"/>
      <c r="P949" s="61"/>
      <c r="Q949" s="61"/>
      <c r="R949" s="61"/>
      <c r="S949" s="62"/>
      <c r="T949" s="62"/>
      <c r="U949" s="62"/>
    </row>
    <row r="950" spans="1:21" ht="15.75" customHeight="1" x14ac:dyDescent="0.3">
      <c r="A950" s="36"/>
      <c r="B950" s="36"/>
      <c r="C950" s="6"/>
      <c r="D950" s="36"/>
      <c r="E950" s="36"/>
      <c r="F950" s="36"/>
      <c r="G950" s="6"/>
      <c r="H950" s="36"/>
      <c r="I950" s="36"/>
      <c r="J950" s="37"/>
      <c r="K950" s="60"/>
      <c r="M950" s="61"/>
      <c r="N950" s="61"/>
      <c r="O950" s="61"/>
      <c r="P950" s="61"/>
      <c r="Q950" s="61"/>
      <c r="R950" s="61"/>
      <c r="S950" s="62"/>
      <c r="T950" s="62"/>
      <c r="U950" s="62"/>
    </row>
    <row r="951" spans="1:21" ht="15.75" customHeight="1" x14ac:dyDescent="0.3">
      <c r="A951" s="36"/>
      <c r="B951" s="36"/>
      <c r="C951" s="6"/>
      <c r="D951" s="36"/>
      <c r="E951" s="36"/>
      <c r="F951" s="36"/>
      <c r="G951" s="6"/>
      <c r="H951" s="36"/>
      <c r="I951" s="36"/>
      <c r="J951" s="37"/>
      <c r="K951" s="60"/>
      <c r="M951" s="61"/>
      <c r="N951" s="61"/>
      <c r="O951" s="61"/>
      <c r="P951" s="61"/>
      <c r="Q951" s="61"/>
      <c r="R951" s="61"/>
      <c r="S951" s="62"/>
      <c r="T951" s="62"/>
      <c r="U951" s="62"/>
    </row>
    <row r="952" spans="1:21" ht="15.75" customHeight="1" x14ac:dyDescent="0.3">
      <c r="A952" s="36"/>
      <c r="B952" s="36"/>
      <c r="C952" s="6"/>
      <c r="D952" s="36"/>
      <c r="E952" s="36"/>
      <c r="F952" s="36"/>
      <c r="G952" s="6"/>
      <c r="H952" s="36"/>
      <c r="I952" s="36"/>
      <c r="J952" s="37"/>
      <c r="K952" s="60"/>
      <c r="M952" s="61"/>
      <c r="N952" s="61"/>
      <c r="O952" s="61"/>
      <c r="P952" s="61"/>
      <c r="Q952" s="61"/>
      <c r="R952" s="61"/>
      <c r="S952" s="62"/>
      <c r="T952" s="62"/>
      <c r="U952" s="62"/>
    </row>
    <row r="953" spans="1:21" ht="15.75" customHeight="1" x14ac:dyDescent="0.3">
      <c r="A953" s="36"/>
      <c r="B953" s="36"/>
      <c r="C953" s="6"/>
      <c r="D953" s="36"/>
      <c r="E953" s="36"/>
      <c r="F953" s="36"/>
      <c r="G953" s="6"/>
      <c r="H953" s="36"/>
      <c r="I953" s="36"/>
      <c r="J953" s="37"/>
      <c r="K953" s="60"/>
      <c r="M953" s="61"/>
      <c r="N953" s="61"/>
      <c r="O953" s="61"/>
      <c r="P953" s="61"/>
      <c r="Q953" s="61"/>
      <c r="R953" s="61"/>
      <c r="S953" s="62"/>
      <c r="T953" s="62"/>
      <c r="U953" s="62"/>
    </row>
    <row r="954" spans="1:21" ht="15.75" customHeight="1" x14ac:dyDescent="0.3">
      <c r="A954" s="36"/>
      <c r="B954" s="36"/>
      <c r="C954" s="6"/>
      <c r="D954" s="36"/>
      <c r="E954" s="36"/>
      <c r="F954" s="36"/>
      <c r="G954" s="6"/>
      <c r="H954" s="36"/>
      <c r="I954" s="36"/>
      <c r="J954" s="37"/>
      <c r="K954" s="60"/>
      <c r="M954" s="61"/>
      <c r="N954" s="61"/>
      <c r="O954" s="61"/>
      <c r="P954" s="61"/>
      <c r="Q954" s="61"/>
      <c r="R954" s="61"/>
      <c r="S954" s="62"/>
      <c r="T954" s="62"/>
      <c r="U954" s="62"/>
    </row>
    <row r="955" spans="1:21" ht="15.75" customHeight="1" x14ac:dyDescent="0.3">
      <c r="A955" s="36"/>
      <c r="B955" s="36"/>
      <c r="C955" s="6"/>
      <c r="D955" s="36"/>
      <c r="E955" s="36"/>
      <c r="F955" s="36"/>
      <c r="G955" s="6"/>
      <c r="H955" s="36"/>
      <c r="I955" s="36"/>
      <c r="J955" s="37"/>
      <c r="K955" s="60"/>
      <c r="M955" s="61"/>
      <c r="N955" s="61"/>
      <c r="O955" s="61"/>
      <c r="P955" s="61"/>
      <c r="Q955" s="61"/>
      <c r="R955" s="61"/>
      <c r="S955" s="62"/>
      <c r="T955" s="62"/>
      <c r="U955" s="62"/>
    </row>
    <row r="956" spans="1:21" ht="15.75" customHeight="1" x14ac:dyDescent="0.3">
      <c r="A956" s="36"/>
      <c r="B956" s="36"/>
      <c r="C956" s="6"/>
      <c r="D956" s="36"/>
      <c r="E956" s="36"/>
      <c r="F956" s="36"/>
      <c r="G956" s="6"/>
      <c r="H956" s="36"/>
      <c r="I956" s="36"/>
      <c r="J956" s="37"/>
      <c r="K956" s="60"/>
      <c r="M956" s="61"/>
      <c r="N956" s="61"/>
      <c r="O956" s="61"/>
      <c r="P956" s="61"/>
      <c r="Q956" s="61"/>
      <c r="R956" s="61"/>
      <c r="S956" s="62"/>
      <c r="T956" s="62"/>
      <c r="U956" s="62"/>
    </row>
    <row r="957" spans="1:21" ht="15.75" customHeight="1" x14ac:dyDescent="0.3">
      <c r="A957" s="36"/>
      <c r="B957" s="36"/>
      <c r="C957" s="6"/>
      <c r="D957" s="36"/>
      <c r="E957" s="36"/>
      <c r="F957" s="36"/>
      <c r="G957" s="6"/>
      <c r="H957" s="36"/>
      <c r="I957" s="36"/>
      <c r="J957" s="37"/>
      <c r="K957" s="60"/>
      <c r="M957" s="61"/>
      <c r="N957" s="61"/>
      <c r="O957" s="61"/>
      <c r="P957" s="61"/>
      <c r="Q957" s="61"/>
      <c r="R957" s="61"/>
      <c r="S957" s="62"/>
      <c r="T957" s="62"/>
      <c r="U957" s="62"/>
    </row>
    <row r="958" spans="1:21" ht="15.75" customHeight="1" x14ac:dyDescent="0.3">
      <c r="A958" s="36"/>
      <c r="B958" s="36"/>
      <c r="C958" s="6"/>
      <c r="D958" s="36"/>
      <c r="E958" s="36"/>
      <c r="F958" s="36"/>
      <c r="G958" s="6"/>
      <c r="H958" s="36"/>
      <c r="I958" s="36"/>
      <c r="J958" s="37"/>
      <c r="K958" s="60"/>
      <c r="M958" s="61"/>
      <c r="N958" s="61"/>
      <c r="O958" s="61"/>
      <c r="P958" s="61"/>
      <c r="Q958" s="61"/>
      <c r="R958" s="61"/>
      <c r="S958" s="62"/>
      <c r="T958" s="62"/>
      <c r="U958" s="62"/>
    </row>
    <row r="959" spans="1:21" ht="15.75" customHeight="1" x14ac:dyDescent="0.3">
      <c r="A959" s="36"/>
      <c r="B959" s="36"/>
      <c r="C959" s="6"/>
      <c r="D959" s="36"/>
      <c r="E959" s="36"/>
      <c r="F959" s="36"/>
      <c r="G959" s="6"/>
      <c r="H959" s="36"/>
      <c r="I959" s="36"/>
      <c r="J959" s="37"/>
      <c r="K959" s="60"/>
      <c r="M959" s="61"/>
      <c r="N959" s="61"/>
      <c r="O959" s="61"/>
      <c r="P959" s="61"/>
      <c r="Q959" s="61"/>
      <c r="R959" s="61"/>
      <c r="S959" s="62"/>
      <c r="T959" s="62"/>
      <c r="U959" s="62"/>
    </row>
    <row r="960" spans="1:21" ht="15.75" customHeight="1" x14ac:dyDescent="0.3">
      <c r="A960" s="36"/>
      <c r="B960" s="36"/>
      <c r="C960" s="6"/>
      <c r="D960" s="36"/>
      <c r="E960" s="36"/>
      <c r="F960" s="36"/>
      <c r="G960" s="6"/>
      <c r="H960" s="36"/>
      <c r="I960" s="36"/>
      <c r="J960" s="37"/>
      <c r="K960" s="60"/>
      <c r="M960" s="61"/>
      <c r="N960" s="61"/>
      <c r="O960" s="61"/>
      <c r="P960" s="61"/>
      <c r="Q960" s="61"/>
      <c r="R960" s="61"/>
      <c r="S960" s="62"/>
      <c r="T960" s="62"/>
      <c r="U960" s="62"/>
    </row>
    <row r="961" spans="1:21" ht="15.75" customHeight="1" x14ac:dyDescent="0.3">
      <c r="A961" s="36"/>
      <c r="B961" s="36"/>
      <c r="C961" s="6"/>
      <c r="D961" s="36"/>
      <c r="E961" s="36"/>
      <c r="F961" s="36"/>
      <c r="G961" s="6"/>
      <c r="H961" s="36"/>
      <c r="I961" s="36"/>
      <c r="J961" s="37"/>
      <c r="K961" s="60"/>
      <c r="M961" s="61"/>
      <c r="N961" s="61"/>
      <c r="O961" s="61"/>
      <c r="P961" s="61"/>
      <c r="Q961" s="61"/>
      <c r="R961" s="61"/>
      <c r="S961" s="62"/>
      <c r="T961" s="62"/>
      <c r="U961" s="62"/>
    </row>
    <row r="962" spans="1:21" ht="15.75" customHeight="1" x14ac:dyDescent="0.3">
      <c r="A962" s="36"/>
      <c r="B962" s="36"/>
      <c r="C962" s="6"/>
      <c r="D962" s="36"/>
      <c r="E962" s="36"/>
      <c r="F962" s="36"/>
      <c r="G962" s="6"/>
      <c r="H962" s="36"/>
      <c r="I962" s="36"/>
      <c r="J962" s="37"/>
      <c r="K962" s="60"/>
      <c r="M962" s="61"/>
      <c r="N962" s="61"/>
      <c r="O962" s="61"/>
      <c r="P962" s="61"/>
      <c r="Q962" s="61"/>
      <c r="R962" s="61"/>
      <c r="S962" s="62"/>
      <c r="T962" s="62"/>
      <c r="U962" s="62"/>
    </row>
    <row r="963" spans="1:21" ht="15.75" customHeight="1" x14ac:dyDescent="0.3">
      <c r="A963" s="36"/>
      <c r="B963" s="36"/>
      <c r="C963" s="6"/>
      <c r="D963" s="36"/>
      <c r="E963" s="36"/>
      <c r="F963" s="36"/>
      <c r="G963" s="6"/>
      <c r="H963" s="36"/>
      <c r="I963" s="36"/>
      <c r="J963" s="37"/>
      <c r="K963" s="60"/>
      <c r="M963" s="61"/>
      <c r="N963" s="61"/>
      <c r="O963" s="61"/>
      <c r="P963" s="61"/>
      <c r="Q963" s="61"/>
      <c r="R963" s="61"/>
      <c r="S963" s="62"/>
      <c r="T963" s="62"/>
      <c r="U963" s="62"/>
    </row>
    <row r="964" spans="1:21" ht="15.75" customHeight="1" x14ac:dyDescent="0.3">
      <c r="A964" s="36"/>
      <c r="B964" s="36"/>
      <c r="C964" s="6"/>
      <c r="D964" s="36"/>
      <c r="E964" s="36"/>
      <c r="F964" s="36"/>
      <c r="G964" s="6"/>
      <c r="H964" s="36"/>
      <c r="I964" s="36"/>
      <c r="J964" s="37"/>
      <c r="K964" s="60"/>
      <c r="M964" s="61"/>
      <c r="N964" s="61"/>
      <c r="O964" s="61"/>
      <c r="P964" s="61"/>
      <c r="Q964" s="61"/>
      <c r="R964" s="61"/>
      <c r="S964" s="62"/>
      <c r="T964" s="62"/>
      <c r="U964" s="62"/>
    </row>
    <row r="965" spans="1:21" ht="15.75" customHeight="1" x14ac:dyDescent="0.3">
      <c r="A965" s="36"/>
      <c r="B965" s="36"/>
      <c r="C965" s="6"/>
      <c r="D965" s="36"/>
      <c r="E965" s="36"/>
      <c r="F965" s="36"/>
      <c r="G965" s="6"/>
      <c r="H965" s="36"/>
      <c r="I965" s="36"/>
      <c r="J965" s="37"/>
      <c r="K965" s="60"/>
      <c r="M965" s="61"/>
      <c r="N965" s="61"/>
      <c r="O965" s="61"/>
      <c r="P965" s="61"/>
      <c r="Q965" s="61"/>
      <c r="R965" s="61"/>
      <c r="S965" s="62"/>
      <c r="T965" s="62"/>
      <c r="U965" s="62"/>
    </row>
    <row r="966" spans="1:21" ht="15.75" customHeight="1" x14ac:dyDescent="0.3">
      <c r="A966" s="36"/>
      <c r="B966" s="36"/>
      <c r="C966" s="6"/>
      <c r="D966" s="36"/>
      <c r="E966" s="36"/>
      <c r="F966" s="36"/>
      <c r="G966" s="6"/>
      <c r="H966" s="36"/>
      <c r="I966" s="36"/>
      <c r="J966" s="37"/>
      <c r="K966" s="60"/>
      <c r="M966" s="61"/>
      <c r="N966" s="61"/>
      <c r="O966" s="61"/>
      <c r="P966" s="61"/>
      <c r="Q966" s="61"/>
      <c r="R966" s="61"/>
      <c r="S966" s="62"/>
      <c r="T966" s="62"/>
      <c r="U966" s="62"/>
    </row>
    <row r="967" spans="1:21" ht="15.75" customHeight="1" x14ac:dyDescent="0.3">
      <c r="A967" s="36"/>
      <c r="B967" s="36"/>
      <c r="C967" s="6"/>
      <c r="D967" s="36"/>
      <c r="E967" s="36"/>
      <c r="F967" s="36"/>
      <c r="G967" s="6"/>
      <c r="H967" s="36"/>
      <c r="I967" s="36"/>
      <c r="J967" s="37"/>
      <c r="K967" s="60"/>
      <c r="M967" s="61"/>
      <c r="N967" s="61"/>
      <c r="O967" s="61"/>
      <c r="P967" s="61"/>
      <c r="Q967" s="61"/>
      <c r="R967" s="61"/>
      <c r="S967" s="62"/>
      <c r="T967" s="62"/>
      <c r="U967" s="62"/>
    </row>
    <row r="968" spans="1:21" ht="15.75" customHeight="1" x14ac:dyDescent="0.3">
      <c r="A968" s="36"/>
      <c r="B968" s="36"/>
      <c r="C968" s="6"/>
      <c r="D968" s="36"/>
      <c r="E968" s="36"/>
      <c r="F968" s="36"/>
      <c r="G968" s="6"/>
      <c r="H968" s="36"/>
      <c r="I968" s="36"/>
      <c r="J968" s="37"/>
      <c r="K968" s="60"/>
      <c r="M968" s="61"/>
      <c r="N968" s="61"/>
      <c r="O968" s="61"/>
      <c r="P968" s="61"/>
      <c r="Q968" s="61"/>
      <c r="R968" s="61"/>
      <c r="S968" s="62"/>
      <c r="T968" s="62"/>
      <c r="U968" s="62"/>
    </row>
    <row r="969" spans="1:21" ht="15.75" customHeight="1" x14ac:dyDescent="0.3">
      <c r="A969" s="36"/>
      <c r="B969" s="36"/>
      <c r="C969" s="6"/>
      <c r="D969" s="36"/>
      <c r="E969" s="36"/>
      <c r="F969" s="36"/>
      <c r="G969" s="6"/>
      <c r="H969" s="36"/>
      <c r="I969" s="36"/>
      <c r="J969" s="37"/>
      <c r="K969" s="60"/>
      <c r="M969" s="61"/>
      <c r="N969" s="61"/>
      <c r="O969" s="61"/>
      <c r="P969" s="61"/>
      <c r="Q969" s="61"/>
      <c r="R969" s="61"/>
      <c r="S969" s="62"/>
      <c r="T969" s="62"/>
      <c r="U969" s="62"/>
    </row>
    <row r="970" spans="1:21" ht="15.75" customHeight="1" x14ac:dyDescent="0.3">
      <c r="A970" s="36"/>
      <c r="B970" s="36"/>
      <c r="C970" s="6"/>
      <c r="D970" s="36"/>
      <c r="E970" s="36"/>
      <c r="F970" s="36"/>
      <c r="G970" s="6"/>
      <c r="H970" s="36"/>
      <c r="I970" s="36"/>
      <c r="J970" s="37"/>
      <c r="K970" s="60"/>
      <c r="M970" s="61"/>
      <c r="N970" s="61"/>
      <c r="O970" s="61"/>
      <c r="P970" s="61"/>
      <c r="Q970" s="61"/>
      <c r="R970" s="61"/>
      <c r="S970" s="62"/>
      <c r="T970" s="62"/>
      <c r="U970" s="62"/>
    </row>
    <row r="971" spans="1:21" ht="15.75" customHeight="1" x14ac:dyDescent="0.3">
      <c r="A971" s="36"/>
      <c r="B971" s="36"/>
      <c r="C971" s="6"/>
      <c r="D971" s="36"/>
      <c r="E971" s="36"/>
      <c r="F971" s="36"/>
      <c r="G971" s="6"/>
      <c r="H971" s="36"/>
      <c r="I971" s="36"/>
      <c r="J971" s="37"/>
      <c r="K971" s="60"/>
      <c r="M971" s="61"/>
      <c r="N971" s="61"/>
      <c r="O971" s="61"/>
      <c r="P971" s="61"/>
      <c r="Q971" s="61"/>
      <c r="R971" s="61"/>
      <c r="S971" s="62"/>
      <c r="T971" s="62"/>
      <c r="U971" s="62"/>
    </row>
    <row r="972" spans="1:21" ht="15.75" customHeight="1" x14ac:dyDescent="0.3">
      <c r="A972" s="36"/>
      <c r="B972" s="36"/>
      <c r="C972" s="6"/>
      <c r="D972" s="36"/>
      <c r="E972" s="36"/>
      <c r="F972" s="36"/>
      <c r="G972" s="6"/>
      <c r="H972" s="36"/>
      <c r="I972" s="36"/>
      <c r="J972" s="37"/>
      <c r="K972" s="60"/>
      <c r="M972" s="61"/>
      <c r="N972" s="61"/>
      <c r="O972" s="61"/>
      <c r="P972" s="61"/>
      <c r="Q972" s="61"/>
      <c r="R972" s="61"/>
      <c r="S972" s="62"/>
      <c r="T972" s="62"/>
      <c r="U972" s="62"/>
    </row>
    <row r="973" spans="1:21" ht="15.75" customHeight="1" x14ac:dyDescent="0.3">
      <c r="A973" s="36"/>
      <c r="B973" s="36"/>
      <c r="C973" s="6"/>
      <c r="D973" s="36"/>
      <c r="E973" s="36"/>
      <c r="F973" s="36"/>
      <c r="G973" s="6"/>
      <c r="H973" s="36"/>
      <c r="I973" s="36"/>
      <c r="J973" s="37"/>
      <c r="K973" s="60"/>
      <c r="M973" s="61"/>
      <c r="N973" s="61"/>
      <c r="O973" s="61"/>
      <c r="P973" s="61"/>
      <c r="Q973" s="61"/>
      <c r="R973" s="61"/>
      <c r="S973" s="62"/>
      <c r="T973" s="62"/>
      <c r="U973" s="62"/>
    </row>
    <row r="974" spans="1:21" ht="15.75" customHeight="1" x14ac:dyDescent="0.3">
      <c r="A974" s="36"/>
      <c r="B974" s="36"/>
      <c r="C974" s="6"/>
      <c r="D974" s="36"/>
      <c r="E974" s="36"/>
      <c r="F974" s="36"/>
      <c r="G974" s="6"/>
      <c r="H974" s="36"/>
      <c r="I974" s="36"/>
      <c r="J974" s="37"/>
      <c r="K974" s="60"/>
      <c r="M974" s="61"/>
      <c r="N974" s="61"/>
      <c r="O974" s="61"/>
      <c r="P974" s="61"/>
      <c r="Q974" s="61"/>
      <c r="R974" s="61"/>
      <c r="S974" s="62"/>
      <c r="T974" s="62"/>
      <c r="U974" s="62"/>
    </row>
    <row r="975" spans="1:21" ht="15.75" customHeight="1" x14ac:dyDescent="0.3">
      <c r="A975" s="36"/>
      <c r="B975" s="36"/>
      <c r="C975" s="6"/>
      <c r="D975" s="36"/>
      <c r="E975" s="36"/>
      <c r="F975" s="36"/>
      <c r="G975" s="6"/>
      <c r="H975" s="36"/>
      <c r="I975" s="36"/>
      <c r="J975" s="37"/>
      <c r="K975" s="60"/>
      <c r="M975" s="61"/>
      <c r="N975" s="61"/>
      <c r="O975" s="61"/>
      <c r="P975" s="61"/>
      <c r="Q975" s="61"/>
      <c r="R975" s="61"/>
      <c r="S975" s="62"/>
      <c r="T975" s="62"/>
      <c r="U975" s="62"/>
    </row>
    <row r="976" spans="1:21" ht="15.75" customHeight="1" x14ac:dyDescent="0.3">
      <c r="A976" s="36"/>
      <c r="B976" s="36"/>
      <c r="C976" s="6"/>
      <c r="D976" s="36"/>
      <c r="E976" s="36"/>
      <c r="F976" s="36"/>
      <c r="G976" s="6"/>
      <c r="H976" s="36"/>
      <c r="I976" s="36"/>
      <c r="J976" s="37"/>
      <c r="K976" s="60"/>
      <c r="M976" s="61"/>
      <c r="N976" s="61"/>
      <c r="O976" s="61"/>
      <c r="P976" s="61"/>
      <c r="Q976" s="61"/>
      <c r="R976" s="61"/>
      <c r="S976" s="62"/>
      <c r="T976" s="62"/>
      <c r="U976" s="62"/>
    </row>
    <row r="977" spans="1:21" ht="15.75" customHeight="1" x14ac:dyDescent="0.3">
      <c r="A977" s="36"/>
      <c r="B977" s="36"/>
      <c r="C977" s="6"/>
      <c r="D977" s="36"/>
      <c r="E977" s="36"/>
      <c r="F977" s="36"/>
      <c r="G977" s="6"/>
      <c r="H977" s="36"/>
      <c r="I977" s="36"/>
      <c r="J977" s="37"/>
      <c r="K977" s="60"/>
      <c r="M977" s="61"/>
      <c r="N977" s="61"/>
      <c r="O977" s="61"/>
      <c r="P977" s="61"/>
      <c r="Q977" s="61"/>
      <c r="R977" s="61"/>
      <c r="S977" s="62"/>
      <c r="T977" s="62"/>
      <c r="U977" s="62"/>
    </row>
    <row r="978" spans="1:21" ht="15.75" customHeight="1" x14ac:dyDescent="0.3">
      <c r="A978" s="36"/>
      <c r="B978" s="36"/>
      <c r="C978" s="6"/>
      <c r="D978" s="36"/>
      <c r="E978" s="36"/>
      <c r="F978" s="36"/>
      <c r="G978" s="6"/>
      <c r="H978" s="36"/>
      <c r="I978" s="36"/>
      <c r="J978" s="37"/>
      <c r="K978" s="60"/>
      <c r="M978" s="61"/>
      <c r="N978" s="61"/>
      <c r="O978" s="61"/>
      <c r="P978" s="61"/>
      <c r="Q978" s="61"/>
      <c r="R978" s="61"/>
      <c r="S978" s="62"/>
      <c r="T978" s="62"/>
      <c r="U978" s="62"/>
    </row>
    <row r="979" spans="1:21" ht="15.75" customHeight="1" x14ac:dyDescent="0.3">
      <c r="A979" s="36"/>
      <c r="B979" s="36"/>
      <c r="C979" s="6"/>
      <c r="D979" s="36"/>
      <c r="E979" s="36"/>
      <c r="F979" s="36"/>
      <c r="G979" s="6"/>
      <c r="H979" s="36"/>
      <c r="I979" s="36"/>
      <c r="J979" s="37"/>
      <c r="K979" s="60"/>
      <c r="M979" s="61"/>
      <c r="N979" s="61"/>
      <c r="O979" s="61"/>
      <c r="P979" s="61"/>
      <c r="Q979" s="61"/>
      <c r="R979" s="61"/>
      <c r="S979" s="62"/>
      <c r="T979" s="62"/>
      <c r="U979" s="62"/>
    </row>
    <row r="980" spans="1:21" ht="15.75" customHeight="1" x14ac:dyDescent="0.3">
      <c r="A980" s="36"/>
      <c r="B980" s="36"/>
      <c r="C980" s="6"/>
      <c r="D980" s="36"/>
      <c r="E980" s="36"/>
      <c r="F980" s="36"/>
      <c r="G980" s="6"/>
      <c r="H980" s="36"/>
      <c r="I980" s="36"/>
      <c r="J980" s="37"/>
      <c r="K980" s="60"/>
      <c r="M980" s="61"/>
      <c r="N980" s="61"/>
      <c r="O980" s="61"/>
      <c r="P980" s="61"/>
      <c r="Q980" s="61"/>
      <c r="R980" s="61"/>
      <c r="S980" s="62"/>
      <c r="T980" s="62"/>
      <c r="U980" s="62"/>
    </row>
    <row r="981" spans="1:21" ht="15.75" customHeight="1" x14ac:dyDescent="0.3">
      <c r="A981" s="36"/>
      <c r="B981" s="36"/>
      <c r="C981" s="6"/>
      <c r="D981" s="36"/>
      <c r="E981" s="36"/>
      <c r="F981" s="36"/>
      <c r="G981" s="6"/>
      <c r="H981" s="36"/>
      <c r="I981" s="36"/>
      <c r="J981" s="37"/>
      <c r="K981" s="60"/>
      <c r="M981" s="61"/>
      <c r="N981" s="61"/>
      <c r="O981" s="61"/>
      <c r="P981" s="61"/>
      <c r="Q981" s="61"/>
      <c r="R981" s="61"/>
      <c r="S981" s="62"/>
      <c r="T981" s="62"/>
      <c r="U981" s="62"/>
    </row>
    <row r="982" spans="1:21" ht="15.75" customHeight="1" x14ac:dyDescent="0.3">
      <c r="A982" s="36"/>
      <c r="B982" s="36"/>
      <c r="C982" s="6"/>
      <c r="D982" s="36"/>
      <c r="E982" s="36"/>
      <c r="F982" s="36"/>
      <c r="G982" s="6"/>
      <c r="H982" s="36"/>
      <c r="I982" s="36"/>
      <c r="J982" s="37"/>
      <c r="K982" s="60"/>
      <c r="M982" s="61"/>
      <c r="N982" s="61"/>
      <c r="O982" s="61"/>
      <c r="P982" s="61"/>
      <c r="Q982" s="61"/>
      <c r="R982" s="61"/>
      <c r="S982" s="62"/>
      <c r="T982" s="62"/>
      <c r="U982" s="62"/>
    </row>
    <row r="983" spans="1:21" ht="15.75" customHeight="1" x14ac:dyDescent="0.3">
      <c r="A983" s="36"/>
      <c r="B983" s="36"/>
      <c r="C983" s="6"/>
      <c r="D983" s="36"/>
      <c r="E983" s="36"/>
      <c r="F983" s="36"/>
      <c r="G983" s="6"/>
      <c r="H983" s="36"/>
      <c r="I983" s="36"/>
      <c r="J983" s="37"/>
      <c r="K983" s="60"/>
      <c r="M983" s="61"/>
      <c r="N983" s="61"/>
      <c r="O983" s="61"/>
      <c r="P983" s="61"/>
      <c r="Q983" s="61"/>
      <c r="R983" s="61"/>
      <c r="S983" s="62"/>
      <c r="T983" s="62"/>
      <c r="U983" s="62"/>
    </row>
    <row r="984" spans="1:21" ht="15.75" customHeight="1" x14ac:dyDescent="0.3">
      <c r="A984" s="36"/>
      <c r="B984" s="36"/>
      <c r="C984" s="6"/>
      <c r="D984" s="36"/>
      <c r="E984" s="36"/>
      <c r="F984" s="36"/>
      <c r="G984" s="6"/>
      <c r="H984" s="36"/>
      <c r="I984" s="36"/>
      <c r="J984" s="37"/>
      <c r="K984" s="60"/>
      <c r="M984" s="61"/>
      <c r="N984" s="61"/>
      <c r="O984" s="61"/>
      <c r="P984" s="61"/>
      <c r="Q984" s="61"/>
      <c r="R984" s="61"/>
      <c r="S984" s="62"/>
      <c r="T984" s="62"/>
      <c r="U984" s="62"/>
    </row>
    <row r="985" spans="1:21" ht="15.75" customHeight="1" x14ac:dyDescent="0.3">
      <c r="A985" s="36"/>
      <c r="B985" s="36"/>
      <c r="C985" s="6"/>
      <c r="D985" s="36"/>
      <c r="E985" s="36"/>
      <c r="F985" s="36"/>
      <c r="G985" s="6"/>
      <c r="H985" s="36"/>
      <c r="I985" s="36"/>
      <c r="J985" s="37"/>
      <c r="K985" s="60"/>
      <c r="M985" s="61"/>
      <c r="N985" s="61"/>
      <c r="O985" s="61"/>
      <c r="P985" s="61"/>
      <c r="Q985" s="61"/>
      <c r="R985" s="61"/>
      <c r="S985" s="62"/>
      <c r="T985" s="62"/>
      <c r="U985" s="62"/>
    </row>
    <row r="986" spans="1:21" ht="15.75" customHeight="1" x14ac:dyDescent="0.3">
      <c r="A986" s="36"/>
      <c r="B986" s="36"/>
      <c r="C986" s="6"/>
      <c r="D986" s="36"/>
      <c r="E986" s="36"/>
      <c r="F986" s="36"/>
      <c r="G986" s="6"/>
      <c r="H986" s="36"/>
      <c r="I986" s="36"/>
      <c r="J986" s="37"/>
      <c r="K986" s="60"/>
      <c r="M986" s="61"/>
      <c r="N986" s="61"/>
      <c r="O986" s="61"/>
      <c r="P986" s="61"/>
      <c r="Q986" s="61"/>
      <c r="R986" s="61"/>
      <c r="S986" s="62"/>
      <c r="T986" s="62"/>
      <c r="U986" s="62"/>
    </row>
    <row r="987" spans="1:21" ht="15.75" customHeight="1" x14ac:dyDescent="0.3">
      <c r="A987" s="36"/>
      <c r="B987" s="36"/>
      <c r="C987" s="6"/>
      <c r="D987" s="36"/>
      <c r="E987" s="36"/>
      <c r="F987" s="36"/>
      <c r="G987" s="6"/>
      <c r="H987" s="36"/>
      <c r="I987" s="36"/>
      <c r="J987" s="37"/>
      <c r="K987" s="60"/>
      <c r="M987" s="61"/>
      <c r="N987" s="61"/>
      <c r="O987" s="61"/>
      <c r="P987" s="61"/>
      <c r="Q987" s="61"/>
      <c r="R987" s="61"/>
      <c r="S987" s="62"/>
      <c r="T987" s="62"/>
      <c r="U987" s="62"/>
    </row>
    <row r="988" spans="1:21" ht="15.75" customHeight="1" x14ac:dyDescent="0.3">
      <c r="A988" s="36"/>
      <c r="B988" s="36"/>
      <c r="C988" s="6"/>
      <c r="D988" s="36"/>
      <c r="E988" s="36"/>
      <c r="F988" s="36"/>
      <c r="G988" s="6"/>
      <c r="H988" s="36"/>
      <c r="I988" s="36"/>
      <c r="J988" s="37"/>
      <c r="K988" s="60"/>
      <c r="M988" s="61"/>
      <c r="N988" s="61"/>
      <c r="O988" s="61"/>
      <c r="P988" s="61"/>
      <c r="Q988" s="61"/>
      <c r="R988" s="61"/>
      <c r="S988" s="62"/>
      <c r="T988" s="62"/>
      <c r="U988" s="62"/>
    </row>
    <row r="989" spans="1:21" ht="15.75" customHeight="1" x14ac:dyDescent="0.3">
      <c r="A989" s="36"/>
      <c r="B989" s="36"/>
      <c r="C989" s="6"/>
      <c r="D989" s="36"/>
      <c r="E989" s="36"/>
      <c r="F989" s="36"/>
      <c r="G989" s="6"/>
      <c r="H989" s="36"/>
      <c r="I989" s="36"/>
      <c r="J989" s="37"/>
      <c r="K989" s="60"/>
      <c r="M989" s="61"/>
      <c r="N989" s="61"/>
      <c r="O989" s="61"/>
      <c r="P989" s="61"/>
      <c r="Q989" s="61"/>
      <c r="R989" s="61"/>
      <c r="S989" s="62"/>
      <c r="T989" s="62"/>
      <c r="U989" s="62"/>
    </row>
    <row r="990" spans="1:21" ht="15.75" customHeight="1" x14ac:dyDescent="0.3">
      <c r="A990" s="36"/>
      <c r="B990" s="36"/>
      <c r="C990" s="6"/>
      <c r="D990" s="36"/>
      <c r="E990" s="36"/>
      <c r="F990" s="36"/>
      <c r="G990" s="6"/>
      <c r="H990" s="36"/>
      <c r="I990" s="36"/>
      <c r="J990" s="37"/>
      <c r="K990" s="60"/>
      <c r="M990" s="61"/>
      <c r="N990" s="61"/>
      <c r="O990" s="61"/>
      <c r="P990" s="61"/>
      <c r="Q990" s="61"/>
      <c r="R990" s="61"/>
      <c r="S990" s="62"/>
      <c r="T990" s="62"/>
      <c r="U990" s="62"/>
    </row>
    <row r="991" spans="1:21" ht="15.75" customHeight="1" x14ac:dyDescent="0.3">
      <c r="A991" s="36"/>
      <c r="B991" s="36"/>
      <c r="C991" s="6"/>
      <c r="D991" s="36"/>
      <c r="E991" s="36"/>
      <c r="F991" s="36"/>
      <c r="G991" s="6"/>
      <c r="H991" s="36"/>
      <c r="I991" s="36"/>
      <c r="J991" s="37"/>
      <c r="K991" s="60"/>
      <c r="M991" s="61"/>
      <c r="N991" s="61"/>
      <c r="O991" s="61"/>
      <c r="P991" s="61"/>
      <c r="Q991" s="61"/>
      <c r="R991" s="61"/>
      <c r="S991" s="62"/>
      <c r="T991" s="62"/>
      <c r="U991" s="62"/>
    </row>
    <row r="992" spans="1:21" ht="15.75" customHeight="1" x14ac:dyDescent="0.3">
      <c r="A992" s="36"/>
      <c r="B992" s="36"/>
      <c r="C992" s="6"/>
      <c r="D992" s="36"/>
      <c r="E992" s="36"/>
      <c r="F992" s="36"/>
      <c r="G992" s="6"/>
      <c r="H992" s="36"/>
      <c r="I992" s="36"/>
      <c r="J992" s="37"/>
      <c r="K992" s="60"/>
      <c r="M992" s="61"/>
      <c r="N992" s="61"/>
      <c r="O992" s="61"/>
      <c r="P992" s="61"/>
      <c r="Q992" s="61"/>
      <c r="R992" s="61"/>
      <c r="S992" s="62"/>
      <c r="T992" s="62"/>
      <c r="U992" s="62"/>
    </row>
    <row r="993" spans="1:21" ht="15.75" customHeight="1" x14ac:dyDescent="0.3">
      <c r="A993" s="36"/>
      <c r="B993" s="36"/>
      <c r="C993" s="6"/>
      <c r="D993" s="36"/>
      <c r="E993" s="36"/>
      <c r="F993" s="36"/>
      <c r="G993" s="6"/>
      <c r="H993" s="36"/>
      <c r="I993" s="36"/>
      <c r="J993" s="37"/>
      <c r="K993" s="60"/>
      <c r="M993" s="61"/>
      <c r="N993" s="61"/>
      <c r="O993" s="61"/>
      <c r="P993" s="61"/>
      <c r="Q993" s="61"/>
      <c r="R993" s="61"/>
      <c r="S993" s="62"/>
      <c r="T993" s="62"/>
      <c r="U993" s="62"/>
    </row>
    <row r="994" spans="1:21" ht="15.75" customHeight="1" x14ac:dyDescent="0.3">
      <c r="A994" s="36"/>
      <c r="B994" s="36"/>
      <c r="C994" s="6"/>
      <c r="D994" s="36"/>
      <c r="E994" s="36"/>
      <c r="F994" s="36"/>
      <c r="G994" s="6"/>
      <c r="H994" s="36"/>
      <c r="I994" s="36"/>
      <c r="J994" s="37"/>
      <c r="K994" s="60"/>
      <c r="M994" s="61"/>
      <c r="N994" s="61"/>
      <c r="O994" s="61"/>
      <c r="P994" s="61"/>
      <c r="Q994" s="61"/>
      <c r="R994" s="61"/>
      <c r="S994" s="62"/>
      <c r="T994" s="62"/>
      <c r="U994" s="62"/>
    </row>
    <row r="995" spans="1:21" ht="15.75" customHeight="1" x14ac:dyDescent="0.3">
      <c r="A995" s="36"/>
      <c r="B995" s="36"/>
      <c r="C995" s="6"/>
      <c r="D995" s="36"/>
      <c r="E995" s="36"/>
      <c r="F995" s="36"/>
      <c r="G995" s="6"/>
      <c r="H995" s="36"/>
      <c r="I995" s="36"/>
      <c r="J995" s="37"/>
      <c r="K995" s="60"/>
      <c r="M995" s="61"/>
      <c r="N995" s="61"/>
      <c r="O995" s="61"/>
      <c r="P995" s="61"/>
      <c r="Q995" s="61"/>
      <c r="R995" s="61"/>
      <c r="S995" s="62"/>
      <c r="T995" s="62"/>
      <c r="U995" s="62"/>
    </row>
    <row r="996" spans="1:21" ht="15.75" customHeight="1" x14ac:dyDescent="0.3">
      <c r="A996" s="36"/>
      <c r="B996" s="36"/>
      <c r="C996" s="6"/>
      <c r="D996" s="36"/>
      <c r="E996" s="36"/>
      <c r="F996" s="36"/>
      <c r="G996" s="6"/>
      <c r="H996" s="36"/>
      <c r="I996" s="36"/>
      <c r="J996" s="37"/>
      <c r="K996" s="60"/>
      <c r="M996" s="61"/>
      <c r="N996" s="61"/>
      <c r="O996" s="61"/>
      <c r="P996" s="61"/>
      <c r="Q996" s="61"/>
      <c r="R996" s="61"/>
      <c r="S996" s="62"/>
      <c r="T996" s="62"/>
      <c r="U996" s="62"/>
    </row>
    <row r="997" spans="1:21" ht="15.75" customHeight="1" x14ac:dyDescent="0.3">
      <c r="A997" s="36"/>
      <c r="B997" s="36"/>
      <c r="C997" s="6"/>
      <c r="D997" s="36"/>
      <c r="E997" s="36"/>
      <c r="F997" s="36"/>
      <c r="G997" s="6"/>
      <c r="H997" s="36"/>
      <c r="I997" s="36"/>
      <c r="J997" s="37"/>
      <c r="K997" s="60"/>
      <c r="M997" s="61"/>
      <c r="N997" s="61"/>
      <c r="O997" s="61"/>
      <c r="P997" s="61"/>
      <c r="Q997" s="61"/>
      <c r="R997" s="61"/>
      <c r="S997" s="62"/>
      <c r="T997" s="62"/>
      <c r="U997" s="62"/>
    </row>
    <row r="998" spans="1:21" ht="15.75" customHeight="1" x14ac:dyDescent="0.3">
      <c r="A998" s="36"/>
      <c r="B998" s="36"/>
      <c r="C998" s="6"/>
      <c r="D998" s="36"/>
      <c r="E998" s="36"/>
      <c r="F998" s="36"/>
      <c r="G998" s="6"/>
      <c r="H998" s="36"/>
      <c r="I998" s="36"/>
      <c r="J998" s="37"/>
      <c r="K998" s="60"/>
      <c r="M998" s="61"/>
      <c r="N998" s="61"/>
      <c r="O998" s="61"/>
      <c r="P998" s="61"/>
      <c r="Q998" s="61"/>
      <c r="R998" s="61"/>
      <c r="S998" s="62"/>
      <c r="T998" s="62"/>
      <c r="U998" s="62"/>
    </row>
    <row r="999" spans="1:21" ht="15.75" customHeight="1" x14ac:dyDescent="0.3">
      <c r="A999" s="36"/>
      <c r="B999" s="36"/>
      <c r="C999" s="6"/>
      <c r="D999" s="36"/>
      <c r="E999" s="36"/>
      <c r="F999" s="36"/>
      <c r="G999" s="6"/>
      <c r="H999" s="36"/>
      <c r="I999" s="36"/>
      <c r="J999" s="37"/>
      <c r="K999" s="60"/>
      <c r="M999" s="61"/>
      <c r="N999" s="61"/>
      <c r="O999" s="61"/>
      <c r="P999" s="61"/>
      <c r="Q999" s="61"/>
      <c r="R999" s="61"/>
      <c r="S999" s="62"/>
      <c r="T999" s="62"/>
      <c r="U999" s="62"/>
    </row>
    <row r="1000" spans="1:21" ht="15.75" customHeight="1" x14ac:dyDescent="0.3">
      <c r="A1000" s="36"/>
      <c r="B1000" s="36"/>
      <c r="C1000" s="6"/>
      <c r="D1000" s="36"/>
      <c r="E1000" s="36"/>
      <c r="F1000" s="36"/>
      <c r="G1000" s="6"/>
      <c r="H1000" s="36"/>
      <c r="I1000" s="36"/>
      <c r="J1000" s="37"/>
      <c r="K1000" s="60"/>
      <c r="M1000" s="61"/>
      <c r="N1000" s="61"/>
      <c r="O1000" s="61"/>
      <c r="P1000" s="61"/>
      <c r="Q1000" s="61"/>
      <c r="R1000" s="61"/>
      <c r="S1000" s="62"/>
      <c r="T1000" s="62"/>
      <c r="U1000" s="62"/>
    </row>
  </sheetData>
  <mergeCells count="3">
    <mergeCell ref="B11:K11"/>
    <mergeCell ref="D12:E12"/>
    <mergeCell ref="B24:J24"/>
  </mergeCells>
  <printOptions horizontalCentered="1"/>
  <pageMargins left="0.51181102362204722" right="0.51181102362204722" top="0.55118110236220474" bottom="0.55118110236220474" header="0" footer="0"/>
  <pageSetup paperSize="9" scale="28" fitToHeight="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A8D08D"/>
    <pageSetUpPr fitToPage="1"/>
  </sheetPr>
  <dimension ref="A1:Z1000"/>
  <sheetViews>
    <sheetView showGridLines="0" workbookViewId="0"/>
  </sheetViews>
  <sheetFormatPr baseColWidth="10" defaultColWidth="14.44140625" defaultRowHeight="15" customHeight="1" x14ac:dyDescent="0.3"/>
  <cols>
    <col min="1" max="1" width="11.44140625" customWidth="1"/>
    <col min="2" max="2" width="27.109375" customWidth="1"/>
    <col min="3" max="3" width="62.6640625" customWidth="1"/>
    <col min="4" max="5" width="5.6640625" customWidth="1"/>
    <col min="6" max="6" width="13" customWidth="1"/>
    <col min="7" max="7" width="12.88671875" customWidth="1"/>
    <col min="8" max="8" width="18.33203125" customWidth="1"/>
    <col min="9" max="9" width="20.88671875" customWidth="1"/>
    <col min="10" max="10" width="18.44140625" customWidth="1"/>
    <col min="11" max="11" width="5.6640625" customWidth="1"/>
    <col min="12" max="12" width="17.33203125" customWidth="1"/>
    <col min="13" max="13" width="15.109375" customWidth="1"/>
    <col min="14" max="14" width="16.33203125" customWidth="1"/>
    <col min="15" max="15" width="15.109375" customWidth="1"/>
    <col min="16" max="16" width="14.109375" customWidth="1"/>
    <col min="17" max="17" width="16.33203125" customWidth="1"/>
    <col min="18" max="20" width="11.44140625" customWidth="1"/>
    <col min="21" max="26" width="10.6640625" customWidth="1"/>
  </cols>
  <sheetData>
    <row r="1" spans="1:26" ht="7.5" customHeight="1" x14ac:dyDescent="0.3">
      <c r="A1" s="36"/>
      <c r="B1" s="36"/>
      <c r="C1" s="6"/>
      <c r="D1" s="36"/>
      <c r="E1" s="36"/>
      <c r="F1" s="6"/>
      <c r="G1" s="37"/>
      <c r="H1" s="36"/>
      <c r="I1" s="36"/>
      <c r="J1" s="60"/>
      <c r="L1" s="61"/>
      <c r="M1" s="61"/>
      <c r="N1" s="61"/>
      <c r="O1" s="61"/>
      <c r="P1" s="61"/>
      <c r="Q1" s="61"/>
      <c r="R1" s="62"/>
      <c r="S1" s="62"/>
      <c r="T1" s="62"/>
    </row>
    <row r="2" spans="1:26" ht="24.75" customHeight="1" x14ac:dyDescent="0.3">
      <c r="A2" s="433" t="s">
        <v>267</v>
      </c>
      <c r="B2" s="420"/>
      <c r="C2" s="420"/>
      <c r="D2" s="420"/>
      <c r="E2" s="420"/>
      <c r="F2" s="420"/>
      <c r="G2" s="420"/>
      <c r="H2" s="434"/>
      <c r="I2" s="420"/>
      <c r="J2" s="420"/>
      <c r="L2" s="61"/>
      <c r="M2" s="61"/>
      <c r="N2" s="61"/>
      <c r="O2" s="61"/>
      <c r="P2" s="61"/>
      <c r="Q2" s="61"/>
      <c r="R2" s="62"/>
      <c r="S2" s="62"/>
      <c r="T2" s="62"/>
    </row>
    <row r="3" spans="1:26" ht="24.75" customHeight="1" x14ac:dyDescent="0.3">
      <c r="A3" s="433" t="s">
        <v>430</v>
      </c>
      <c r="B3" s="420"/>
      <c r="C3" s="420"/>
      <c r="D3" s="420"/>
      <c r="E3" s="420"/>
      <c r="F3" s="420"/>
      <c r="G3" s="420"/>
      <c r="H3" s="420"/>
      <c r="I3" s="420"/>
      <c r="J3" s="420"/>
      <c r="L3" s="61"/>
      <c r="M3" s="61"/>
      <c r="N3" s="61"/>
      <c r="O3" s="61"/>
      <c r="P3" s="61"/>
      <c r="Q3" s="61"/>
      <c r="R3" s="62"/>
      <c r="S3" s="62"/>
      <c r="T3" s="62"/>
    </row>
    <row r="4" spans="1:26" ht="24.75" customHeight="1" x14ac:dyDescent="0.3">
      <c r="A4" s="433" t="s">
        <v>431</v>
      </c>
      <c r="B4" s="420"/>
      <c r="C4" s="420"/>
      <c r="D4" s="420"/>
      <c r="E4" s="420"/>
      <c r="F4" s="420"/>
      <c r="G4" s="420"/>
      <c r="H4" s="420"/>
      <c r="I4" s="420"/>
      <c r="J4" s="420"/>
      <c r="L4" s="61"/>
      <c r="M4" s="61"/>
      <c r="N4" s="61"/>
      <c r="O4" s="61"/>
      <c r="P4" s="61"/>
      <c r="Q4" s="61"/>
      <c r="R4" s="62"/>
      <c r="S4" s="62"/>
      <c r="T4" s="62"/>
    </row>
    <row r="5" spans="1:26" ht="14.4" x14ac:dyDescent="0.3">
      <c r="C5" s="48"/>
      <c r="F5" s="63"/>
      <c r="G5" s="64"/>
      <c r="H5" s="420"/>
      <c r="I5" s="420"/>
      <c r="J5" s="420"/>
      <c r="L5" s="61"/>
      <c r="M5" s="61"/>
      <c r="N5" s="61"/>
      <c r="O5" s="61"/>
      <c r="P5" s="61"/>
      <c r="Q5" s="61"/>
      <c r="R5" s="62"/>
      <c r="S5" s="62"/>
      <c r="T5" s="62"/>
    </row>
    <row r="6" spans="1:26" ht="18.75" customHeight="1" x14ac:dyDescent="0.35">
      <c r="A6" s="435" t="s">
        <v>269</v>
      </c>
      <c r="B6" s="373"/>
      <c r="C6" s="436" t="str">
        <f>+A3</f>
        <v>PNN TAYRONA</v>
      </c>
      <c r="D6" s="372"/>
      <c r="E6" s="372"/>
      <c r="F6" s="372"/>
      <c r="G6" s="372"/>
      <c r="H6" s="373"/>
      <c r="I6" s="66" t="s">
        <v>270</v>
      </c>
      <c r="J6" s="171">
        <v>3</v>
      </c>
      <c r="K6" s="65"/>
      <c r="L6" s="68"/>
      <c r="M6" s="68"/>
      <c r="N6" s="68"/>
      <c r="O6" s="68"/>
      <c r="P6" s="68"/>
      <c r="Q6" s="68"/>
      <c r="R6" s="69"/>
      <c r="S6" s="69"/>
      <c r="T6" s="69"/>
      <c r="U6" s="65"/>
      <c r="V6" s="65"/>
      <c r="W6" s="65"/>
      <c r="X6" s="65"/>
      <c r="Y6" s="65"/>
      <c r="Z6" s="65"/>
    </row>
    <row r="7" spans="1:26" ht="28.5" customHeight="1" x14ac:dyDescent="0.3">
      <c r="A7" s="437" t="s">
        <v>43</v>
      </c>
      <c r="B7" s="439" t="s">
        <v>271</v>
      </c>
      <c r="C7" s="418"/>
      <c r="D7" s="440" t="s">
        <v>272</v>
      </c>
      <c r="E7" s="373"/>
      <c r="F7" s="437" t="s">
        <v>273</v>
      </c>
      <c r="G7" s="441" t="s">
        <v>274</v>
      </c>
      <c r="H7" s="437" t="s">
        <v>275</v>
      </c>
      <c r="I7" s="442" t="s">
        <v>276</v>
      </c>
      <c r="J7" s="443" t="s">
        <v>277</v>
      </c>
      <c r="L7" s="61"/>
      <c r="M7" s="61"/>
      <c r="N7" s="61"/>
      <c r="O7" s="61"/>
      <c r="P7" s="61"/>
      <c r="Q7" s="61"/>
      <c r="R7" s="62"/>
      <c r="S7" s="62"/>
      <c r="T7" s="62"/>
    </row>
    <row r="8" spans="1:26" ht="14.4" x14ac:dyDescent="0.3">
      <c r="A8" s="438"/>
      <c r="B8" s="422"/>
      <c r="C8" s="424"/>
      <c r="D8" s="70" t="s">
        <v>278</v>
      </c>
      <c r="E8" s="70" t="s">
        <v>279</v>
      </c>
      <c r="F8" s="438"/>
      <c r="G8" s="438"/>
      <c r="H8" s="438"/>
      <c r="I8" s="438"/>
      <c r="J8" s="438"/>
      <c r="L8" s="61"/>
      <c r="M8" s="61"/>
      <c r="N8" s="61"/>
      <c r="O8" s="61"/>
      <c r="P8" s="61"/>
      <c r="Q8" s="61"/>
      <c r="R8" s="62"/>
      <c r="S8" s="62"/>
      <c r="T8" s="62"/>
    </row>
    <row r="9" spans="1:26" ht="8.25" customHeight="1" x14ac:dyDescent="0.3">
      <c r="A9" s="36"/>
      <c r="B9" s="36"/>
      <c r="C9" s="6"/>
      <c r="D9" s="36"/>
      <c r="E9" s="36"/>
      <c r="F9" s="6"/>
      <c r="G9" s="37"/>
      <c r="H9" s="36"/>
      <c r="I9" s="36"/>
      <c r="J9" s="60"/>
      <c r="L9" s="61"/>
      <c r="M9" s="61"/>
      <c r="N9" s="61"/>
      <c r="O9" s="61"/>
      <c r="P9" s="61"/>
      <c r="Q9" s="61"/>
      <c r="R9" s="62"/>
      <c r="S9" s="62"/>
      <c r="T9" s="62"/>
    </row>
    <row r="10" spans="1:26" ht="14.4" x14ac:dyDescent="0.3">
      <c r="A10" s="71">
        <v>1</v>
      </c>
      <c r="B10" s="432" t="s">
        <v>280</v>
      </c>
      <c r="C10" s="372"/>
      <c r="D10" s="372"/>
      <c r="E10" s="372"/>
      <c r="F10" s="372"/>
      <c r="G10" s="372"/>
      <c r="H10" s="372"/>
      <c r="I10" s="373"/>
      <c r="J10" s="72">
        <v>106082642</v>
      </c>
      <c r="K10" s="117">
        <v>0.69358462491945649</v>
      </c>
      <c r="L10" s="61"/>
      <c r="M10" s="61">
        <v>1.3666666666666667</v>
      </c>
      <c r="N10" s="61"/>
      <c r="O10" s="61"/>
      <c r="P10" s="61"/>
      <c r="Q10" s="61"/>
      <c r="R10" s="62"/>
      <c r="S10" s="62"/>
      <c r="T10" s="62"/>
    </row>
    <row r="11" spans="1:26" ht="14.4" x14ac:dyDescent="0.3">
      <c r="A11" s="71"/>
      <c r="B11" s="177"/>
      <c r="C11" s="177"/>
      <c r="D11" s="177"/>
      <c r="E11" s="177"/>
      <c r="F11" s="177"/>
      <c r="G11" s="177"/>
      <c r="H11" s="177"/>
      <c r="I11" s="177"/>
      <c r="J11" s="72"/>
      <c r="K11" s="117"/>
      <c r="L11" s="61"/>
      <c r="M11" s="61"/>
      <c r="N11" s="61"/>
      <c r="O11" s="61"/>
      <c r="P11" s="61"/>
      <c r="Q11" s="61"/>
      <c r="R11" s="62"/>
      <c r="S11" s="62"/>
      <c r="T11" s="62"/>
    </row>
    <row r="12" spans="1:26" ht="14.4" x14ac:dyDescent="0.3">
      <c r="A12" s="71"/>
      <c r="B12" s="177" t="s">
        <v>432</v>
      </c>
      <c r="C12" s="177" t="s">
        <v>433</v>
      </c>
      <c r="D12" s="446" t="s">
        <v>46</v>
      </c>
      <c r="E12" s="373"/>
      <c r="F12" s="71" t="s">
        <v>435</v>
      </c>
      <c r="G12" s="71" t="s">
        <v>438</v>
      </c>
      <c r="H12" s="71" t="s">
        <v>434</v>
      </c>
      <c r="I12" s="71" t="s">
        <v>436</v>
      </c>
      <c r="J12" s="72" t="s">
        <v>485</v>
      </c>
      <c r="K12" s="117"/>
      <c r="L12" s="61"/>
      <c r="M12" s="61"/>
      <c r="N12" s="61"/>
      <c r="O12" s="61"/>
      <c r="P12" s="61"/>
      <c r="Q12" s="61"/>
      <c r="R12" s="62"/>
      <c r="S12" s="62"/>
      <c r="T12" s="62"/>
    </row>
    <row r="13" spans="1:26" ht="93.75" customHeight="1" x14ac:dyDescent="0.3">
      <c r="A13" s="74">
        <v>1.01</v>
      </c>
      <c r="B13" s="75" t="s">
        <v>440</v>
      </c>
      <c r="C13" s="75" t="s">
        <v>441</v>
      </c>
      <c r="D13" s="486">
        <v>1</v>
      </c>
      <c r="E13" s="373"/>
      <c r="F13" s="77">
        <v>0.5</v>
      </c>
      <c r="G13" s="78">
        <v>3</v>
      </c>
      <c r="H13" s="180">
        <v>4173925.6666666665</v>
      </c>
      <c r="I13" s="78">
        <v>1.6716000000000002</v>
      </c>
      <c r="J13" s="81">
        <v>10465701</v>
      </c>
      <c r="L13" s="61"/>
      <c r="M13" s="61"/>
      <c r="N13" s="61"/>
      <c r="O13" s="61"/>
      <c r="P13" s="61"/>
      <c r="Q13" s="61"/>
      <c r="R13" s="62"/>
      <c r="S13" s="62"/>
      <c r="T13" s="62"/>
    </row>
    <row r="14" spans="1:26" ht="96.75" customHeight="1" x14ac:dyDescent="0.3">
      <c r="A14" s="74">
        <v>1.02</v>
      </c>
      <c r="B14" s="75" t="s">
        <v>442</v>
      </c>
      <c r="C14" s="75" t="s">
        <v>443</v>
      </c>
      <c r="D14" s="486">
        <v>2</v>
      </c>
      <c r="E14" s="373"/>
      <c r="F14" s="77">
        <v>1</v>
      </c>
      <c r="G14" s="78">
        <v>3</v>
      </c>
      <c r="H14" s="180">
        <v>2659319</v>
      </c>
      <c r="I14" s="78">
        <v>1.6716000000000002</v>
      </c>
      <c r="J14" s="81">
        <v>26671906</v>
      </c>
      <c r="L14" s="61"/>
      <c r="M14" s="61"/>
      <c r="N14" s="61"/>
      <c r="O14" s="61"/>
      <c r="P14" s="61"/>
      <c r="Q14" s="61"/>
      <c r="R14" s="62"/>
      <c r="S14" s="62"/>
      <c r="T14" s="62"/>
    </row>
    <row r="15" spans="1:26" ht="86.25" customHeight="1" x14ac:dyDescent="0.3">
      <c r="A15" s="74">
        <v>1.03</v>
      </c>
      <c r="B15" s="75" t="s">
        <v>444</v>
      </c>
      <c r="C15" s="75" t="s">
        <v>445</v>
      </c>
      <c r="D15" s="486">
        <v>1</v>
      </c>
      <c r="E15" s="373"/>
      <c r="F15" s="77">
        <v>0.5</v>
      </c>
      <c r="G15" s="78">
        <v>3</v>
      </c>
      <c r="H15" s="180">
        <v>2659319</v>
      </c>
      <c r="I15" s="78">
        <v>1.6716000000000002</v>
      </c>
      <c r="J15" s="81">
        <v>6667976</v>
      </c>
      <c r="L15" s="61"/>
      <c r="M15" s="61"/>
      <c r="N15" s="61"/>
      <c r="O15" s="61"/>
      <c r="P15" s="61"/>
      <c r="Q15" s="61"/>
      <c r="R15" s="62"/>
      <c r="S15" s="62"/>
      <c r="T15" s="62"/>
    </row>
    <row r="16" spans="1:26" ht="97.5" customHeight="1" x14ac:dyDescent="0.3">
      <c r="A16" s="74">
        <v>1.04</v>
      </c>
      <c r="B16" s="75" t="s">
        <v>446</v>
      </c>
      <c r="C16" s="75" t="s">
        <v>447</v>
      </c>
      <c r="D16" s="486">
        <v>1</v>
      </c>
      <c r="E16" s="373"/>
      <c r="F16" s="77">
        <v>0.7</v>
      </c>
      <c r="G16" s="78">
        <v>3</v>
      </c>
      <c r="H16" s="180">
        <v>3563094.6666666665</v>
      </c>
      <c r="I16" s="78">
        <v>1.6716000000000002</v>
      </c>
      <c r="J16" s="81">
        <v>12507745</v>
      </c>
      <c r="L16" s="61"/>
      <c r="M16" s="61"/>
      <c r="N16" s="61"/>
      <c r="O16" s="61"/>
      <c r="P16" s="61"/>
      <c r="Q16" s="61"/>
      <c r="R16" s="62"/>
      <c r="S16" s="62"/>
      <c r="T16" s="62"/>
    </row>
    <row r="17" spans="1:26" ht="93.75" customHeight="1" x14ac:dyDescent="0.3">
      <c r="A17" s="74">
        <v>1.05</v>
      </c>
      <c r="B17" s="75" t="s">
        <v>448</v>
      </c>
      <c r="C17" s="75" t="s">
        <v>449</v>
      </c>
      <c r="D17" s="486">
        <v>1</v>
      </c>
      <c r="E17" s="373"/>
      <c r="F17" s="77">
        <v>0.5</v>
      </c>
      <c r="G17" s="78">
        <v>3</v>
      </c>
      <c r="H17" s="180">
        <v>2659319</v>
      </c>
      <c r="I17" s="78">
        <v>1.6716000000000002</v>
      </c>
      <c r="J17" s="81">
        <v>6667976</v>
      </c>
      <c r="L17" s="61"/>
      <c r="M17" s="61"/>
      <c r="N17" s="61"/>
      <c r="O17" s="61"/>
      <c r="P17" s="61"/>
      <c r="Q17" s="61"/>
      <c r="R17" s="62"/>
      <c r="S17" s="62"/>
      <c r="T17" s="62"/>
    </row>
    <row r="18" spans="1:26" ht="75.75" customHeight="1" x14ac:dyDescent="0.3">
      <c r="A18" s="74">
        <v>1.06</v>
      </c>
      <c r="B18" s="75" t="s">
        <v>450</v>
      </c>
      <c r="C18" s="75" t="s">
        <v>451</v>
      </c>
      <c r="D18" s="486">
        <v>1</v>
      </c>
      <c r="E18" s="373"/>
      <c r="F18" s="77">
        <v>1</v>
      </c>
      <c r="G18" s="78">
        <v>3</v>
      </c>
      <c r="H18" s="180">
        <v>2659319</v>
      </c>
      <c r="I18" s="78">
        <v>1.6716000000000002</v>
      </c>
      <c r="J18" s="81">
        <v>13335953</v>
      </c>
      <c r="L18" s="61"/>
      <c r="M18" s="61"/>
      <c r="N18" s="61"/>
      <c r="O18" s="61"/>
      <c r="P18" s="61"/>
      <c r="Q18" s="61"/>
      <c r="R18" s="62"/>
      <c r="S18" s="62"/>
      <c r="T18" s="62"/>
    </row>
    <row r="19" spans="1:26" ht="83.25" customHeight="1" x14ac:dyDescent="0.3">
      <c r="A19" s="74">
        <v>1.07</v>
      </c>
      <c r="B19" s="75" t="s">
        <v>452</v>
      </c>
      <c r="C19" s="75" t="s">
        <v>453</v>
      </c>
      <c r="D19" s="486">
        <v>1</v>
      </c>
      <c r="E19" s="373"/>
      <c r="F19" s="77">
        <v>0.5</v>
      </c>
      <c r="G19" s="78">
        <v>3</v>
      </c>
      <c r="H19" s="180">
        <v>2659319</v>
      </c>
      <c r="I19" s="78">
        <v>1.6716000000000002</v>
      </c>
      <c r="J19" s="81">
        <v>6667976</v>
      </c>
      <c r="L19" s="61"/>
      <c r="M19" s="61"/>
      <c r="N19" s="61"/>
      <c r="O19" s="61"/>
      <c r="P19" s="61"/>
      <c r="Q19" s="61"/>
      <c r="R19" s="62"/>
      <c r="S19" s="62"/>
      <c r="T19" s="62"/>
      <c r="U19" s="62"/>
      <c r="V19" s="62"/>
      <c r="W19" s="62"/>
      <c r="X19" s="62"/>
      <c r="Y19" s="62"/>
      <c r="Z19" s="62"/>
    </row>
    <row r="20" spans="1:26" ht="81.75" customHeight="1" x14ac:dyDescent="0.3">
      <c r="A20" s="74">
        <v>1.08</v>
      </c>
      <c r="B20" s="75" t="s">
        <v>454</v>
      </c>
      <c r="C20" s="75" t="s">
        <v>455</v>
      </c>
      <c r="D20" s="486">
        <v>2</v>
      </c>
      <c r="E20" s="373"/>
      <c r="F20" s="77">
        <v>1</v>
      </c>
      <c r="G20" s="78">
        <v>3</v>
      </c>
      <c r="H20" s="180">
        <v>1697493.6666666667</v>
      </c>
      <c r="I20" s="78">
        <v>1.6716000000000002</v>
      </c>
      <c r="J20" s="81">
        <v>17025182</v>
      </c>
      <c r="L20" s="61"/>
      <c r="M20" s="61"/>
      <c r="N20" s="61"/>
      <c r="O20" s="61"/>
      <c r="P20" s="61"/>
      <c r="Q20" s="61"/>
      <c r="R20" s="62"/>
      <c r="S20" s="62"/>
      <c r="T20" s="62"/>
      <c r="U20" s="62"/>
      <c r="V20" s="62"/>
      <c r="W20" s="62"/>
      <c r="X20" s="62"/>
      <c r="Y20" s="62"/>
      <c r="Z20" s="62"/>
    </row>
    <row r="21" spans="1:26" ht="68.25" customHeight="1" x14ac:dyDescent="0.3">
      <c r="A21" s="74">
        <v>1.0900000000000001</v>
      </c>
      <c r="B21" s="75" t="s">
        <v>456</v>
      </c>
      <c r="C21" s="75" t="s">
        <v>457</v>
      </c>
      <c r="D21" s="486">
        <v>1</v>
      </c>
      <c r="E21" s="373"/>
      <c r="F21" s="77">
        <v>0.2</v>
      </c>
      <c r="G21" s="78">
        <v>3</v>
      </c>
      <c r="H21" s="180">
        <v>2659319</v>
      </c>
      <c r="I21" s="78">
        <v>1.6716000000000002</v>
      </c>
      <c r="J21" s="81">
        <v>2667191</v>
      </c>
      <c r="L21" s="61"/>
      <c r="M21" s="61"/>
      <c r="N21" s="61"/>
      <c r="O21" s="61"/>
      <c r="P21" s="61"/>
      <c r="Q21" s="61"/>
      <c r="R21" s="62"/>
      <c r="S21" s="62"/>
      <c r="T21" s="62"/>
      <c r="U21" s="62"/>
      <c r="V21" s="62"/>
      <c r="W21" s="62"/>
      <c r="X21" s="62"/>
      <c r="Y21" s="62"/>
      <c r="Z21" s="62"/>
    </row>
    <row r="22" spans="1:26" ht="62.25" customHeight="1" x14ac:dyDescent="0.3">
      <c r="A22" s="78">
        <v>1.1000000000000001</v>
      </c>
      <c r="B22" s="75" t="s">
        <v>458</v>
      </c>
      <c r="C22" s="75" t="s">
        <v>459</v>
      </c>
      <c r="D22" s="486">
        <v>2</v>
      </c>
      <c r="E22" s="373"/>
      <c r="F22" s="77">
        <v>0.2</v>
      </c>
      <c r="G22" s="78">
        <v>3</v>
      </c>
      <c r="H22" s="180">
        <v>1697493.6666666667</v>
      </c>
      <c r="I22" s="78">
        <v>1.6716000000000002</v>
      </c>
      <c r="J22" s="81">
        <v>3405036</v>
      </c>
      <c r="L22" s="61"/>
      <c r="M22" s="61"/>
      <c r="N22" s="61"/>
      <c r="O22" s="61"/>
      <c r="P22" s="61"/>
      <c r="Q22" s="61"/>
      <c r="R22" s="62"/>
      <c r="S22" s="62"/>
      <c r="T22" s="62"/>
      <c r="U22" s="62"/>
      <c r="V22" s="62"/>
      <c r="W22" s="62"/>
      <c r="X22" s="62"/>
      <c r="Y22" s="62"/>
      <c r="Z22" s="62"/>
    </row>
    <row r="23" spans="1:26" ht="15.75" hidden="1" customHeight="1" x14ac:dyDescent="0.3">
      <c r="A23" s="78">
        <v>1.1100000000000001</v>
      </c>
      <c r="B23" s="449"/>
      <c r="C23" s="373"/>
      <c r="D23" s="76">
        <v>1</v>
      </c>
      <c r="E23" s="76">
        <v>0</v>
      </c>
      <c r="F23" s="77"/>
      <c r="G23" s="78">
        <v>3</v>
      </c>
      <c r="H23" s="180">
        <v>2263208</v>
      </c>
      <c r="I23" s="78">
        <v>1.6716000000000002</v>
      </c>
      <c r="J23" s="81">
        <v>0</v>
      </c>
      <c r="L23" s="61"/>
      <c r="M23" s="61"/>
      <c r="N23" s="61"/>
      <c r="O23" s="61"/>
      <c r="P23" s="61"/>
      <c r="Q23" s="61"/>
      <c r="R23" s="62"/>
      <c r="S23" s="62"/>
      <c r="T23" s="62"/>
      <c r="U23" s="62"/>
      <c r="V23" s="62"/>
      <c r="W23" s="62"/>
      <c r="X23" s="62"/>
      <c r="Y23" s="62"/>
      <c r="Z23" s="62"/>
    </row>
    <row r="24" spans="1:26" ht="15.75" customHeight="1" x14ac:dyDescent="0.3">
      <c r="A24" s="446" t="s">
        <v>486</v>
      </c>
      <c r="B24" s="372"/>
      <c r="C24" s="372"/>
      <c r="D24" s="372"/>
      <c r="E24" s="372"/>
      <c r="F24" s="372"/>
      <c r="G24" s="372"/>
      <c r="H24" s="373"/>
      <c r="I24" s="485">
        <v>106082642</v>
      </c>
      <c r="J24" s="373"/>
      <c r="L24" s="61"/>
      <c r="M24" s="61"/>
      <c r="N24" s="61"/>
      <c r="O24" s="61"/>
      <c r="P24" s="61"/>
      <c r="Q24" s="61"/>
      <c r="R24" s="62"/>
      <c r="S24" s="62"/>
      <c r="T24" s="62"/>
      <c r="U24" s="62"/>
      <c r="V24" s="62"/>
      <c r="W24" s="62"/>
      <c r="X24" s="62"/>
      <c r="Y24" s="62"/>
      <c r="Z24" s="62"/>
    </row>
    <row r="25" spans="1:26" ht="15.75" customHeight="1" x14ac:dyDescent="0.3">
      <c r="A25" s="182"/>
      <c r="B25" s="98"/>
      <c r="C25" s="98"/>
      <c r="D25" s="98"/>
      <c r="E25" s="98"/>
      <c r="F25" s="98"/>
      <c r="G25" s="98"/>
      <c r="H25" s="98"/>
      <c r="I25" s="99"/>
      <c r="J25" s="100"/>
      <c r="L25" s="61"/>
      <c r="M25" s="61"/>
      <c r="N25" s="61"/>
      <c r="O25" s="61"/>
      <c r="P25" s="61"/>
      <c r="Q25" s="61"/>
      <c r="R25" s="62"/>
      <c r="S25" s="62"/>
      <c r="T25" s="62"/>
      <c r="U25" s="62"/>
      <c r="V25" s="62"/>
      <c r="W25" s="62"/>
      <c r="X25" s="62"/>
      <c r="Y25" s="62"/>
      <c r="Z25" s="62"/>
    </row>
    <row r="26" spans="1:26" ht="15.75" customHeight="1" x14ac:dyDescent="0.3">
      <c r="A26" s="71">
        <v>2</v>
      </c>
      <c r="B26" s="446" t="s">
        <v>285</v>
      </c>
      <c r="C26" s="372"/>
      <c r="D26" s="372"/>
      <c r="E26" s="372"/>
      <c r="F26" s="372"/>
      <c r="G26" s="372"/>
      <c r="H26" s="372"/>
      <c r="I26" s="373"/>
      <c r="J26" s="72">
        <v>13180000</v>
      </c>
      <c r="K26" s="117"/>
      <c r="L26" s="61"/>
      <c r="M26" s="61"/>
      <c r="N26" s="61"/>
      <c r="O26" s="61"/>
      <c r="P26" s="61"/>
      <c r="Q26" s="61"/>
      <c r="R26" s="62"/>
      <c r="S26" s="62"/>
      <c r="T26" s="62"/>
      <c r="U26" s="62"/>
      <c r="V26" s="62"/>
      <c r="W26" s="62"/>
      <c r="X26" s="62"/>
      <c r="Y26" s="62"/>
      <c r="Z26" s="62"/>
    </row>
    <row r="27" spans="1:26" ht="15.75" customHeight="1" x14ac:dyDescent="0.3">
      <c r="A27" s="62"/>
      <c r="B27" s="487" t="s">
        <v>286</v>
      </c>
      <c r="C27" s="372"/>
      <c r="D27" s="372"/>
      <c r="E27" s="372"/>
      <c r="F27" s="373"/>
      <c r="G27" s="184" t="s">
        <v>287</v>
      </c>
      <c r="H27" s="184" t="s">
        <v>46</v>
      </c>
      <c r="I27" s="185" t="s">
        <v>288</v>
      </c>
      <c r="J27" s="184" t="s">
        <v>289</v>
      </c>
      <c r="L27" s="61"/>
      <c r="M27" s="61"/>
      <c r="N27" s="61"/>
      <c r="O27" s="61"/>
      <c r="P27" s="61"/>
      <c r="Q27" s="61"/>
      <c r="R27" s="62"/>
      <c r="S27" s="62"/>
      <c r="T27" s="62"/>
      <c r="U27" s="62"/>
      <c r="V27" s="62"/>
      <c r="W27" s="62"/>
      <c r="X27" s="62"/>
      <c r="Y27" s="62"/>
      <c r="Z27" s="62"/>
    </row>
    <row r="28" spans="1:26" ht="15.75" customHeight="1" x14ac:dyDescent="0.3">
      <c r="A28" s="74">
        <v>2.0099999999999998</v>
      </c>
      <c r="B28" s="479" t="s">
        <v>461</v>
      </c>
      <c r="C28" s="372"/>
      <c r="D28" s="372"/>
      <c r="E28" s="372"/>
      <c r="F28" s="373"/>
      <c r="G28" s="78" t="s">
        <v>295</v>
      </c>
      <c r="H28" s="78">
        <v>3</v>
      </c>
      <c r="I28" s="101">
        <v>2500000</v>
      </c>
      <c r="J28" s="101">
        <v>7500000</v>
      </c>
      <c r="L28" s="61"/>
      <c r="M28" s="61"/>
      <c r="N28" s="61"/>
      <c r="O28" s="61"/>
      <c r="P28" s="61"/>
      <c r="Q28" s="61"/>
      <c r="R28" s="62"/>
      <c r="S28" s="62"/>
      <c r="T28" s="62"/>
      <c r="U28" s="62"/>
      <c r="V28" s="62"/>
      <c r="W28" s="62"/>
      <c r="X28" s="62"/>
      <c r="Y28" s="62"/>
      <c r="Z28" s="62"/>
    </row>
    <row r="29" spans="1:26" ht="15.75" customHeight="1" x14ac:dyDescent="0.3">
      <c r="A29" s="74">
        <v>2.0199999999999996</v>
      </c>
      <c r="B29" s="479" t="s">
        <v>462</v>
      </c>
      <c r="C29" s="372"/>
      <c r="D29" s="372"/>
      <c r="E29" s="372"/>
      <c r="F29" s="373"/>
      <c r="G29" s="78" t="s">
        <v>295</v>
      </c>
      <c r="H29" s="78">
        <v>3</v>
      </c>
      <c r="I29" s="101">
        <v>300000</v>
      </c>
      <c r="J29" s="101">
        <v>900000</v>
      </c>
      <c r="L29" s="61"/>
      <c r="M29" s="61"/>
      <c r="N29" s="61"/>
      <c r="O29" s="61"/>
      <c r="P29" s="61"/>
      <c r="Q29" s="61"/>
      <c r="R29" s="62"/>
      <c r="S29" s="62"/>
      <c r="T29" s="62"/>
      <c r="U29" s="62"/>
      <c r="V29" s="62"/>
      <c r="W29" s="62"/>
      <c r="X29" s="62"/>
      <c r="Y29" s="62"/>
      <c r="Z29" s="62"/>
    </row>
    <row r="30" spans="1:26" ht="15.75" customHeight="1" x14ac:dyDescent="0.3">
      <c r="A30" s="74">
        <v>2.0299999999999994</v>
      </c>
      <c r="B30" s="479" t="s">
        <v>463</v>
      </c>
      <c r="C30" s="372"/>
      <c r="D30" s="372"/>
      <c r="E30" s="372"/>
      <c r="F30" s="373"/>
      <c r="G30" s="78" t="s">
        <v>295</v>
      </c>
      <c r="H30" s="78">
        <v>3</v>
      </c>
      <c r="I30" s="101">
        <v>1500000</v>
      </c>
      <c r="J30" s="101">
        <v>4500000</v>
      </c>
      <c r="L30" s="61"/>
      <c r="M30" s="61"/>
      <c r="N30" s="61"/>
      <c r="O30" s="61"/>
      <c r="P30" s="61"/>
      <c r="Q30" s="61"/>
      <c r="R30" s="62"/>
      <c r="S30" s="62"/>
      <c r="T30" s="62"/>
      <c r="U30" s="62"/>
      <c r="V30" s="62"/>
      <c r="W30" s="62"/>
      <c r="X30" s="62"/>
      <c r="Y30" s="62"/>
      <c r="Z30" s="62"/>
    </row>
    <row r="31" spans="1:26" ht="15.75" customHeight="1" x14ac:dyDescent="0.3">
      <c r="A31" s="74">
        <v>2.0399999999999991</v>
      </c>
      <c r="B31" s="479" t="s">
        <v>464</v>
      </c>
      <c r="C31" s="372"/>
      <c r="D31" s="372"/>
      <c r="E31" s="372"/>
      <c r="F31" s="373"/>
      <c r="G31" s="78" t="s">
        <v>465</v>
      </c>
      <c r="H31" s="78">
        <v>14</v>
      </c>
      <c r="I31" s="101">
        <v>20000</v>
      </c>
      <c r="J31" s="101">
        <v>280000</v>
      </c>
      <c r="L31" s="61"/>
      <c r="M31" s="61"/>
      <c r="N31" s="61"/>
      <c r="O31" s="61"/>
      <c r="P31" s="61"/>
      <c r="Q31" s="61"/>
      <c r="R31" s="62"/>
      <c r="S31" s="62"/>
      <c r="T31" s="62"/>
      <c r="U31" s="62"/>
      <c r="V31" s="62"/>
      <c r="W31" s="62"/>
      <c r="X31" s="62"/>
      <c r="Y31" s="62"/>
      <c r="Z31" s="62"/>
    </row>
    <row r="32" spans="1:26" ht="15.75" hidden="1" customHeight="1" x14ac:dyDescent="0.3">
      <c r="A32" s="187">
        <v>2.0499999999999989</v>
      </c>
      <c r="B32" s="480"/>
      <c r="C32" s="481"/>
      <c r="D32" s="481"/>
      <c r="E32" s="481"/>
      <c r="F32" s="482"/>
      <c r="G32" s="84" t="s">
        <v>295</v>
      </c>
      <c r="H32" s="84">
        <v>3</v>
      </c>
      <c r="I32" s="190"/>
      <c r="J32" s="190">
        <v>0</v>
      </c>
      <c r="L32" s="61"/>
      <c r="M32" s="61"/>
      <c r="N32" s="61"/>
      <c r="O32" s="61"/>
      <c r="P32" s="61"/>
      <c r="Q32" s="61"/>
      <c r="R32" s="62"/>
      <c r="S32" s="62"/>
      <c r="T32" s="62"/>
      <c r="U32" s="62"/>
      <c r="V32" s="62"/>
      <c r="W32" s="62"/>
      <c r="X32" s="62"/>
      <c r="Y32" s="62"/>
      <c r="Z32" s="62"/>
    </row>
    <row r="33" spans="1:26" ht="15.75" hidden="1" customHeight="1" x14ac:dyDescent="0.3">
      <c r="A33" s="120">
        <v>2.0599999999999987</v>
      </c>
      <c r="B33" s="483"/>
      <c r="C33" s="452"/>
      <c r="D33" s="452"/>
      <c r="E33" s="452"/>
      <c r="F33" s="459"/>
      <c r="G33" s="193" t="s">
        <v>295</v>
      </c>
      <c r="H33" s="193">
        <v>3</v>
      </c>
      <c r="I33" s="194"/>
      <c r="J33" s="194">
        <v>0</v>
      </c>
      <c r="L33" s="61"/>
      <c r="M33" s="61"/>
      <c r="N33" s="61"/>
      <c r="O33" s="61"/>
      <c r="P33" s="61"/>
      <c r="Q33" s="61"/>
      <c r="R33" s="62"/>
      <c r="S33" s="62"/>
      <c r="T33" s="62"/>
      <c r="U33" s="62"/>
      <c r="V33" s="62"/>
      <c r="W33" s="62"/>
      <c r="X33" s="62"/>
      <c r="Y33" s="62"/>
      <c r="Z33" s="62"/>
    </row>
    <row r="34" spans="1:26" ht="15.75" hidden="1" customHeight="1" x14ac:dyDescent="0.3">
      <c r="A34" s="120">
        <v>2.0699999999999985</v>
      </c>
      <c r="B34" s="483"/>
      <c r="C34" s="452"/>
      <c r="D34" s="452"/>
      <c r="E34" s="452"/>
      <c r="F34" s="459"/>
      <c r="G34" s="193" t="s">
        <v>295</v>
      </c>
      <c r="H34" s="193">
        <v>3</v>
      </c>
      <c r="I34" s="194"/>
      <c r="J34" s="194">
        <v>0</v>
      </c>
      <c r="L34" s="61"/>
      <c r="M34" s="61"/>
      <c r="N34" s="61"/>
      <c r="O34" s="61"/>
      <c r="P34" s="61"/>
      <c r="Q34" s="61"/>
      <c r="R34" s="62"/>
      <c r="S34" s="62"/>
      <c r="T34" s="62"/>
      <c r="U34" s="62"/>
      <c r="V34" s="62"/>
      <c r="W34" s="62"/>
      <c r="X34" s="62"/>
      <c r="Y34" s="62"/>
      <c r="Z34" s="62"/>
    </row>
    <row r="35" spans="1:26" ht="15.75" hidden="1" customHeight="1" x14ac:dyDescent="0.3">
      <c r="A35" s="120">
        <v>2.0799999999999983</v>
      </c>
      <c r="B35" s="483"/>
      <c r="C35" s="452"/>
      <c r="D35" s="452"/>
      <c r="E35" s="452"/>
      <c r="F35" s="459"/>
      <c r="G35" s="193" t="s">
        <v>295</v>
      </c>
      <c r="H35" s="193">
        <v>3</v>
      </c>
      <c r="I35" s="194"/>
      <c r="J35" s="194">
        <v>0</v>
      </c>
      <c r="L35" s="61"/>
      <c r="M35" s="61"/>
      <c r="N35" s="61"/>
      <c r="O35" s="61"/>
      <c r="P35" s="61"/>
      <c r="Q35" s="61"/>
      <c r="R35" s="62"/>
      <c r="S35" s="62"/>
      <c r="T35" s="62"/>
      <c r="U35" s="62"/>
      <c r="V35" s="62"/>
      <c r="W35" s="62"/>
      <c r="X35" s="62"/>
      <c r="Y35" s="62"/>
      <c r="Z35" s="62"/>
    </row>
    <row r="36" spans="1:26" ht="15.75" hidden="1" customHeight="1" x14ac:dyDescent="0.3">
      <c r="A36" s="120">
        <v>2.0899999999999981</v>
      </c>
      <c r="B36" s="483"/>
      <c r="C36" s="452"/>
      <c r="D36" s="452"/>
      <c r="E36" s="452"/>
      <c r="F36" s="459"/>
      <c r="G36" s="193" t="s">
        <v>295</v>
      </c>
      <c r="H36" s="193">
        <v>3</v>
      </c>
      <c r="I36" s="194"/>
      <c r="J36" s="194">
        <v>0</v>
      </c>
      <c r="L36" s="61"/>
      <c r="M36" s="61"/>
      <c r="N36" s="61"/>
      <c r="O36" s="61"/>
      <c r="P36" s="61"/>
      <c r="Q36" s="61"/>
      <c r="R36" s="62"/>
      <c r="S36" s="62"/>
      <c r="T36" s="62"/>
      <c r="U36" s="62"/>
      <c r="V36" s="62"/>
      <c r="W36" s="62"/>
      <c r="X36" s="62"/>
      <c r="Y36" s="62"/>
      <c r="Z36" s="62"/>
    </row>
    <row r="37" spans="1:26" ht="15.75" hidden="1" customHeight="1" x14ac:dyDescent="0.3">
      <c r="A37" s="193">
        <v>2.0999999999999979</v>
      </c>
      <c r="B37" s="483"/>
      <c r="C37" s="452"/>
      <c r="D37" s="452"/>
      <c r="E37" s="452"/>
      <c r="F37" s="459"/>
      <c r="G37" s="193" t="s">
        <v>295</v>
      </c>
      <c r="H37" s="193">
        <v>3</v>
      </c>
      <c r="I37" s="194"/>
      <c r="J37" s="194">
        <v>0</v>
      </c>
      <c r="L37" s="61"/>
      <c r="M37" s="61"/>
      <c r="N37" s="61"/>
      <c r="O37" s="61"/>
      <c r="P37" s="61"/>
      <c r="Q37" s="61"/>
      <c r="R37" s="62"/>
      <c r="S37" s="62"/>
      <c r="T37" s="62"/>
      <c r="U37" s="62"/>
      <c r="V37" s="62"/>
      <c r="W37" s="62"/>
      <c r="X37" s="62"/>
      <c r="Y37" s="62"/>
      <c r="Z37" s="62"/>
    </row>
    <row r="38" spans="1:26" ht="15.75" hidden="1" customHeight="1" x14ac:dyDescent="0.3">
      <c r="A38" s="120">
        <v>2.1099999999999977</v>
      </c>
      <c r="B38" s="483"/>
      <c r="C38" s="452"/>
      <c r="D38" s="452"/>
      <c r="E38" s="452"/>
      <c r="F38" s="459"/>
      <c r="G38" s="193" t="s">
        <v>295</v>
      </c>
      <c r="H38" s="193">
        <v>3</v>
      </c>
      <c r="I38" s="194"/>
      <c r="J38" s="194">
        <v>0</v>
      </c>
      <c r="L38" s="61"/>
      <c r="M38" s="61"/>
      <c r="N38" s="61"/>
      <c r="O38" s="61"/>
      <c r="P38" s="61"/>
      <c r="Q38" s="61"/>
      <c r="R38" s="62"/>
      <c r="S38" s="62"/>
      <c r="T38" s="62"/>
      <c r="U38" s="62"/>
      <c r="V38" s="62"/>
      <c r="W38" s="62"/>
      <c r="X38" s="62"/>
      <c r="Y38" s="62"/>
      <c r="Z38" s="62"/>
    </row>
    <row r="39" spans="1:26" ht="15.75" hidden="1" customHeight="1" x14ac:dyDescent="0.3">
      <c r="A39" s="120">
        <v>2.1199999999999974</v>
      </c>
      <c r="B39" s="483"/>
      <c r="C39" s="452"/>
      <c r="D39" s="452"/>
      <c r="E39" s="452"/>
      <c r="F39" s="459"/>
      <c r="G39" s="193" t="s">
        <v>295</v>
      </c>
      <c r="H39" s="193">
        <v>3</v>
      </c>
      <c r="I39" s="194"/>
      <c r="J39" s="194">
        <v>0</v>
      </c>
      <c r="L39" s="61"/>
      <c r="M39" s="61"/>
      <c r="N39" s="61"/>
      <c r="O39" s="61"/>
      <c r="P39" s="61"/>
      <c r="Q39" s="61"/>
      <c r="R39" s="62"/>
      <c r="S39" s="62"/>
      <c r="T39" s="62"/>
      <c r="U39" s="62"/>
      <c r="V39" s="62"/>
      <c r="W39" s="62"/>
      <c r="X39" s="62"/>
      <c r="Y39" s="62"/>
      <c r="Z39" s="62"/>
    </row>
    <row r="40" spans="1:26" ht="15.75" hidden="1" customHeight="1" x14ac:dyDescent="0.3">
      <c r="A40" s="120">
        <v>2.1299999999999972</v>
      </c>
      <c r="B40" s="483"/>
      <c r="C40" s="452"/>
      <c r="D40" s="452"/>
      <c r="E40" s="452"/>
      <c r="F40" s="459"/>
      <c r="G40" s="193" t="s">
        <v>295</v>
      </c>
      <c r="H40" s="193">
        <v>3</v>
      </c>
      <c r="I40" s="194"/>
      <c r="J40" s="194">
        <v>0</v>
      </c>
      <c r="L40" s="61"/>
      <c r="M40" s="61"/>
      <c r="N40" s="61"/>
      <c r="O40" s="61"/>
      <c r="P40" s="61"/>
      <c r="Q40" s="61"/>
      <c r="R40" s="62"/>
      <c r="S40" s="62"/>
      <c r="T40" s="62"/>
      <c r="U40" s="62"/>
      <c r="V40" s="62"/>
      <c r="W40" s="62"/>
      <c r="X40" s="62"/>
      <c r="Y40" s="62"/>
      <c r="Z40" s="62"/>
    </row>
    <row r="41" spans="1:26" ht="15.75" hidden="1" customHeight="1" x14ac:dyDescent="0.3">
      <c r="A41" s="120">
        <v>2.139999999999997</v>
      </c>
      <c r="B41" s="483"/>
      <c r="C41" s="452"/>
      <c r="D41" s="452"/>
      <c r="E41" s="452"/>
      <c r="F41" s="459"/>
      <c r="G41" s="193" t="s">
        <v>295</v>
      </c>
      <c r="H41" s="193">
        <v>3</v>
      </c>
      <c r="I41" s="194"/>
      <c r="J41" s="194">
        <v>0</v>
      </c>
      <c r="L41" s="61"/>
      <c r="M41" s="61"/>
      <c r="N41" s="61"/>
      <c r="O41" s="61"/>
      <c r="P41" s="61"/>
      <c r="Q41" s="61"/>
      <c r="R41" s="62"/>
      <c r="S41" s="62"/>
      <c r="T41" s="62"/>
      <c r="U41" s="62"/>
      <c r="V41" s="62"/>
      <c r="W41" s="62"/>
      <c r="X41" s="62"/>
      <c r="Y41" s="62"/>
      <c r="Z41" s="62"/>
    </row>
    <row r="42" spans="1:26" ht="15.75" hidden="1" customHeight="1" x14ac:dyDescent="0.3">
      <c r="A42" s="120">
        <v>2.1499999999999968</v>
      </c>
      <c r="B42" s="483"/>
      <c r="C42" s="452"/>
      <c r="D42" s="452"/>
      <c r="E42" s="452"/>
      <c r="F42" s="459"/>
      <c r="G42" s="193" t="s">
        <v>295</v>
      </c>
      <c r="H42" s="193">
        <v>3</v>
      </c>
      <c r="I42" s="194"/>
      <c r="J42" s="194">
        <v>0</v>
      </c>
      <c r="L42" s="61"/>
      <c r="M42" s="61"/>
      <c r="N42" s="61"/>
      <c r="O42" s="61"/>
      <c r="P42" s="61"/>
      <c r="Q42" s="61"/>
      <c r="R42" s="62"/>
      <c r="S42" s="62"/>
      <c r="T42" s="62"/>
      <c r="U42" s="62"/>
      <c r="V42" s="62"/>
      <c r="W42" s="62"/>
      <c r="X42" s="62"/>
      <c r="Y42" s="62"/>
      <c r="Z42" s="62"/>
    </row>
    <row r="43" spans="1:26" ht="15.75" customHeight="1" x14ac:dyDescent="0.3">
      <c r="A43" s="182"/>
      <c r="B43" s="98"/>
      <c r="C43" s="98"/>
      <c r="D43" s="98"/>
      <c r="E43" s="98"/>
      <c r="F43" s="98"/>
      <c r="G43" s="98"/>
      <c r="H43" s="98"/>
      <c r="I43" s="99"/>
      <c r="J43" s="100"/>
      <c r="L43" s="61"/>
      <c r="M43" s="61"/>
      <c r="N43" s="61"/>
      <c r="O43" s="61"/>
      <c r="P43" s="61"/>
      <c r="Q43" s="61"/>
      <c r="R43" s="62"/>
      <c r="S43" s="62"/>
      <c r="T43" s="62"/>
      <c r="U43" s="62"/>
      <c r="V43" s="62"/>
      <c r="W43" s="62"/>
      <c r="X43" s="62"/>
      <c r="Y43" s="62"/>
      <c r="Z43" s="62"/>
    </row>
    <row r="44" spans="1:26" ht="15.75" customHeight="1" x14ac:dyDescent="0.3">
      <c r="A44" s="71">
        <v>3</v>
      </c>
      <c r="B44" s="432" t="s">
        <v>302</v>
      </c>
      <c r="C44" s="372"/>
      <c r="D44" s="372"/>
      <c r="E44" s="372"/>
      <c r="F44" s="372"/>
      <c r="G44" s="372"/>
      <c r="H44" s="372"/>
      <c r="I44" s="373"/>
      <c r="J44" s="72">
        <v>33685734</v>
      </c>
      <c r="K44" s="117">
        <v>0.22024250849188487</v>
      </c>
      <c r="L44" s="61"/>
      <c r="M44" s="61"/>
      <c r="N44" s="61"/>
      <c r="O44" s="61"/>
      <c r="P44" s="61"/>
      <c r="Q44" s="61"/>
      <c r="R44" s="62"/>
      <c r="S44" s="62"/>
      <c r="T44" s="62"/>
      <c r="U44" s="62"/>
      <c r="V44" s="62"/>
      <c r="W44" s="62"/>
      <c r="X44" s="62"/>
      <c r="Y44" s="62"/>
      <c r="Z44" s="62"/>
    </row>
    <row r="45" spans="1:26" ht="33.75" customHeight="1" x14ac:dyDescent="0.3">
      <c r="A45" s="74">
        <v>3.1</v>
      </c>
      <c r="B45" s="426" t="s">
        <v>466</v>
      </c>
      <c r="C45" s="373"/>
      <c r="D45" s="416" t="s">
        <v>304</v>
      </c>
      <c r="E45" s="417"/>
      <c r="F45" s="418"/>
      <c r="G45" s="425">
        <v>125225774</v>
      </c>
      <c r="H45" s="418"/>
      <c r="I45" s="77">
        <v>0.01</v>
      </c>
      <c r="J45" s="102">
        <v>1252258</v>
      </c>
      <c r="L45" s="103"/>
      <c r="M45" s="61"/>
      <c r="N45" s="61"/>
      <c r="O45" s="61"/>
      <c r="P45" s="61"/>
      <c r="Q45" s="61"/>
      <c r="R45" s="62"/>
      <c r="S45" s="62"/>
      <c r="T45" s="62"/>
      <c r="U45" s="62"/>
      <c r="V45" s="62"/>
      <c r="W45" s="62"/>
      <c r="X45" s="62"/>
      <c r="Y45" s="62"/>
      <c r="Z45" s="62"/>
    </row>
    <row r="46" spans="1:26" ht="33.75" customHeight="1" x14ac:dyDescent="0.3">
      <c r="A46" s="74">
        <v>3.2</v>
      </c>
      <c r="B46" s="426" t="s">
        <v>467</v>
      </c>
      <c r="C46" s="373"/>
      <c r="D46" s="419"/>
      <c r="E46" s="420"/>
      <c r="F46" s="421"/>
      <c r="G46" s="419"/>
      <c r="H46" s="421"/>
      <c r="I46" s="77">
        <v>0.05</v>
      </c>
      <c r="J46" s="102">
        <v>6261289</v>
      </c>
      <c r="L46" s="61"/>
      <c r="M46" s="61"/>
      <c r="N46" s="61"/>
      <c r="O46" s="61"/>
      <c r="P46" s="61"/>
      <c r="Q46" s="61"/>
      <c r="R46" s="62"/>
      <c r="S46" s="62"/>
      <c r="T46" s="62"/>
      <c r="U46" s="62"/>
      <c r="V46" s="62"/>
      <c r="W46" s="62"/>
      <c r="X46" s="62"/>
      <c r="Y46" s="62"/>
      <c r="Z46" s="62"/>
    </row>
    <row r="47" spans="1:26" ht="33.75" customHeight="1" x14ac:dyDescent="0.3">
      <c r="A47" s="74">
        <v>3.3000000000000003</v>
      </c>
      <c r="B47" s="426" t="s">
        <v>306</v>
      </c>
      <c r="C47" s="373"/>
      <c r="D47" s="419"/>
      <c r="E47" s="420"/>
      <c r="F47" s="421"/>
      <c r="G47" s="419"/>
      <c r="H47" s="421"/>
      <c r="I47" s="77">
        <v>0.01</v>
      </c>
      <c r="J47" s="102">
        <v>1252258</v>
      </c>
      <c r="L47" s="61"/>
      <c r="M47" s="61" t="s">
        <v>307</v>
      </c>
      <c r="N47" s="61"/>
      <c r="O47" s="61"/>
      <c r="P47" s="61"/>
      <c r="Q47" s="61"/>
      <c r="R47" s="62"/>
      <c r="S47" s="62"/>
      <c r="T47" s="62"/>
      <c r="U47" s="62"/>
      <c r="V47" s="62"/>
      <c r="W47" s="62"/>
      <c r="X47" s="62"/>
      <c r="Y47" s="62"/>
      <c r="Z47" s="62"/>
    </row>
    <row r="48" spans="1:26" ht="33.75" customHeight="1" x14ac:dyDescent="0.3">
      <c r="A48" s="74">
        <v>3.4000000000000004</v>
      </c>
      <c r="B48" s="426" t="s">
        <v>468</v>
      </c>
      <c r="C48" s="373"/>
      <c r="D48" s="419"/>
      <c r="E48" s="420"/>
      <c r="F48" s="421"/>
      <c r="G48" s="419"/>
      <c r="H48" s="421"/>
      <c r="I48" s="106">
        <v>4.0000000000000001E-3</v>
      </c>
      <c r="J48" s="102">
        <v>500903</v>
      </c>
      <c r="L48" s="61"/>
      <c r="M48" s="61"/>
      <c r="N48" s="61"/>
      <c r="O48" s="61"/>
      <c r="P48" s="61"/>
      <c r="Q48" s="61"/>
      <c r="R48" s="62"/>
      <c r="S48" s="62"/>
      <c r="T48" s="62"/>
      <c r="U48" s="62"/>
      <c r="V48" s="62"/>
      <c r="W48" s="62"/>
      <c r="X48" s="62"/>
      <c r="Y48" s="62"/>
      <c r="Z48" s="62"/>
    </row>
    <row r="49" spans="1:26" ht="54" customHeight="1" x14ac:dyDescent="0.3">
      <c r="A49" s="74">
        <v>3.5000000000000004</v>
      </c>
      <c r="B49" s="426" t="s">
        <v>469</v>
      </c>
      <c r="C49" s="373"/>
      <c r="D49" s="419"/>
      <c r="E49" s="420"/>
      <c r="F49" s="421"/>
      <c r="G49" s="419"/>
      <c r="H49" s="421"/>
      <c r="I49" s="106">
        <v>5.0000000000000001E-3</v>
      </c>
      <c r="J49" s="102">
        <v>626129</v>
      </c>
      <c r="L49" s="61"/>
      <c r="M49" s="62"/>
      <c r="N49" s="61"/>
      <c r="O49" s="61"/>
      <c r="P49" s="61"/>
      <c r="Q49" s="61"/>
      <c r="R49" s="62"/>
      <c r="S49" s="62"/>
      <c r="T49" s="62"/>
      <c r="U49" s="62"/>
      <c r="V49" s="62"/>
      <c r="W49" s="62"/>
      <c r="X49" s="62"/>
      <c r="Y49" s="62"/>
      <c r="Z49" s="62"/>
    </row>
    <row r="50" spans="1:26" ht="33.75" customHeight="1" x14ac:dyDescent="0.3">
      <c r="A50" s="74">
        <v>3.6000000000000005</v>
      </c>
      <c r="B50" s="426" t="s">
        <v>470</v>
      </c>
      <c r="C50" s="373"/>
      <c r="D50" s="422"/>
      <c r="E50" s="423"/>
      <c r="F50" s="424"/>
      <c r="G50" s="422"/>
      <c r="H50" s="424"/>
      <c r="I50" s="77">
        <v>0.19</v>
      </c>
      <c r="J50" s="102">
        <v>23792897</v>
      </c>
      <c r="L50" s="61"/>
      <c r="M50" s="61"/>
      <c r="N50" s="61"/>
      <c r="O50" s="61"/>
      <c r="P50" s="61"/>
      <c r="Q50" s="61"/>
      <c r="R50" s="62"/>
      <c r="S50" s="62"/>
      <c r="T50" s="62"/>
      <c r="U50" s="62"/>
      <c r="V50" s="62"/>
      <c r="W50" s="62"/>
      <c r="X50" s="62"/>
      <c r="Y50" s="62"/>
      <c r="Z50" s="62"/>
    </row>
    <row r="51" spans="1:26" ht="16.5" customHeight="1" x14ac:dyDescent="0.3">
      <c r="A51" s="484" t="s">
        <v>471</v>
      </c>
      <c r="B51" s="372"/>
      <c r="C51" s="372"/>
      <c r="D51" s="372"/>
      <c r="E51" s="372"/>
      <c r="F51" s="372"/>
      <c r="G51" s="372"/>
      <c r="H51" s="373"/>
      <c r="I51" s="485">
        <v>152948376</v>
      </c>
      <c r="J51" s="373"/>
      <c r="K51" s="199"/>
      <c r="L51" s="103"/>
      <c r="M51" s="61" t="s">
        <v>473</v>
      </c>
      <c r="N51" s="61" t="s">
        <v>474</v>
      </c>
      <c r="O51" s="61" t="s">
        <v>475</v>
      </c>
      <c r="P51" s="61" t="s">
        <v>476</v>
      </c>
      <c r="Q51" s="61" t="s">
        <v>477</v>
      </c>
      <c r="R51" s="62"/>
      <c r="S51" s="62"/>
      <c r="T51" s="62"/>
      <c r="U51" s="62"/>
      <c r="V51" s="62"/>
      <c r="W51" s="62"/>
      <c r="X51" s="62"/>
      <c r="Y51" s="62"/>
      <c r="Z51" s="62"/>
    </row>
    <row r="52" spans="1:26" ht="16.5" customHeight="1" x14ac:dyDescent="0.3">
      <c r="A52" s="484" t="s">
        <v>478</v>
      </c>
      <c r="B52" s="372"/>
      <c r="C52" s="372"/>
      <c r="D52" s="372"/>
      <c r="E52" s="372"/>
      <c r="F52" s="372"/>
      <c r="G52" s="372"/>
      <c r="H52" s="373"/>
      <c r="I52" s="485">
        <v>5963132</v>
      </c>
      <c r="J52" s="373"/>
      <c r="K52" s="199"/>
      <c r="L52" s="103"/>
      <c r="M52" s="61"/>
      <c r="N52" s="61"/>
      <c r="O52" s="61"/>
      <c r="P52" s="61"/>
      <c r="Q52" s="61"/>
      <c r="R52" s="62"/>
      <c r="S52" s="62"/>
      <c r="T52" s="62"/>
      <c r="U52" s="62"/>
      <c r="V52" s="62"/>
      <c r="W52" s="62"/>
      <c r="X52" s="62"/>
      <c r="Y52" s="62"/>
      <c r="Z52" s="62"/>
    </row>
    <row r="53" spans="1:26" ht="16.5" customHeight="1" x14ac:dyDescent="0.3">
      <c r="A53" s="484" t="s">
        <v>479</v>
      </c>
      <c r="B53" s="372"/>
      <c r="C53" s="372"/>
      <c r="D53" s="372"/>
      <c r="E53" s="372"/>
      <c r="F53" s="372"/>
      <c r="G53" s="372"/>
      <c r="H53" s="373"/>
      <c r="I53" s="485">
        <v>158911508</v>
      </c>
      <c r="J53" s="373"/>
      <c r="K53" s="199"/>
      <c r="L53" s="103"/>
      <c r="M53" s="61"/>
      <c r="N53" s="61"/>
      <c r="O53" s="61"/>
      <c r="P53" s="61"/>
      <c r="Q53" s="61"/>
      <c r="R53" s="62"/>
      <c r="S53" s="62"/>
      <c r="T53" s="62"/>
      <c r="U53" s="62"/>
      <c r="V53" s="62"/>
      <c r="W53" s="62"/>
      <c r="X53" s="62"/>
      <c r="Y53" s="62"/>
      <c r="Z53" s="62"/>
    </row>
    <row r="54" spans="1:26" ht="15.75" customHeight="1" x14ac:dyDescent="0.3">
      <c r="A54" s="36"/>
      <c r="B54" s="36"/>
      <c r="C54" s="6"/>
      <c r="D54" s="36"/>
      <c r="E54" s="36"/>
      <c r="F54" s="6"/>
      <c r="G54" s="37"/>
      <c r="H54" s="36"/>
      <c r="I54" s="36"/>
      <c r="J54" s="60"/>
      <c r="L54" s="61"/>
      <c r="M54" s="61"/>
      <c r="N54" s="61"/>
      <c r="O54" s="61"/>
      <c r="P54" s="61"/>
      <c r="Q54" s="61"/>
      <c r="R54" s="62"/>
      <c r="S54" s="62"/>
      <c r="T54" s="62"/>
    </row>
    <row r="55" spans="1:26" ht="15.75" customHeight="1" x14ac:dyDescent="0.3">
      <c r="A55" s="36"/>
      <c r="B55" s="36"/>
      <c r="C55" s="6"/>
      <c r="D55" s="36"/>
      <c r="E55" s="36"/>
      <c r="F55" s="6"/>
      <c r="G55" s="37"/>
      <c r="H55" s="36"/>
      <c r="I55" s="36"/>
      <c r="J55" s="60"/>
      <c r="L55" s="61"/>
      <c r="M55" s="61"/>
      <c r="N55" s="61"/>
      <c r="O55" s="61"/>
      <c r="P55" s="61"/>
      <c r="Q55" s="61"/>
      <c r="R55" s="62"/>
      <c r="S55" s="62"/>
      <c r="T55" s="62"/>
    </row>
    <row r="56" spans="1:26" ht="15.75" customHeight="1" x14ac:dyDescent="0.3">
      <c r="A56" s="36"/>
      <c r="B56" s="36"/>
      <c r="C56" s="6"/>
      <c r="D56" s="36"/>
      <c r="E56" s="36"/>
      <c r="F56" s="6"/>
      <c r="G56" s="37"/>
      <c r="H56" s="36"/>
      <c r="I56" s="36"/>
      <c r="J56" s="60"/>
      <c r="L56" s="61"/>
      <c r="M56" s="61"/>
      <c r="N56" s="61"/>
      <c r="O56" s="61"/>
      <c r="P56" s="61"/>
      <c r="Q56" s="61"/>
      <c r="R56" s="62"/>
      <c r="S56" s="62"/>
      <c r="T56" s="62"/>
    </row>
    <row r="57" spans="1:26" ht="15.75" customHeight="1" x14ac:dyDescent="0.3">
      <c r="A57" s="36"/>
      <c r="B57" s="36"/>
      <c r="C57" s="6"/>
      <c r="D57" s="36"/>
      <c r="E57" s="36"/>
      <c r="F57" s="6"/>
      <c r="G57" s="37"/>
      <c r="H57" s="36"/>
      <c r="I57" s="36"/>
      <c r="J57" s="60"/>
      <c r="L57" s="61"/>
      <c r="M57" s="61"/>
      <c r="N57" s="61"/>
      <c r="O57" s="61"/>
      <c r="P57" s="61"/>
      <c r="Q57" s="61"/>
      <c r="R57" s="62"/>
      <c r="S57" s="62"/>
      <c r="T57" s="62"/>
    </row>
    <row r="58" spans="1:26" ht="15.75" customHeight="1" x14ac:dyDescent="0.3">
      <c r="A58" s="36"/>
      <c r="B58" s="36"/>
      <c r="C58" s="6"/>
      <c r="D58" s="36"/>
      <c r="E58" s="36"/>
      <c r="F58" s="6"/>
      <c r="G58" s="37"/>
      <c r="H58" s="36"/>
      <c r="I58" s="36"/>
      <c r="J58" s="60"/>
      <c r="L58" s="61"/>
      <c r="M58" s="61"/>
      <c r="N58" s="61"/>
      <c r="O58" s="61"/>
      <c r="P58" s="61"/>
      <c r="Q58" s="61"/>
      <c r="R58" s="62"/>
      <c r="S58" s="62"/>
      <c r="T58" s="62"/>
    </row>
    <row r="59" spans="1:26" ht="15.75" customHeight="1" x14ac:dyDescent="0.3">
      <c r="A59" s="36"/>
      <c r="B59" s="36"/>
      <c r="C59" s="6"/>
      <c r="D59" s="36"/>
      <c r="E59" s="36"/>
      <c r="F59" s="6"/>
      <c r="G59" s="37"/>
      <c r="H59" s="36"/>
      <c r="I59" s="36"/>
      <c r="J59" s="60"/>
      <c r="L59" s="61"/>
      <c r="M59" s="61"/>
      <c r="N59" s="61"/>
      <c r="O59" s="61"/>
      <c r="P59" s="61"/>
      <c r="Q59" s="61"/>
      <c r="R59" s="62"/>
      <c r="S59" s="62"/>
      <c r="T59" s="62"/>
    </row>
    <row r="60" spans="1:26" ht="15.75" customHeight="1" x14ac:dyDescent="0.3">
      <c r="A60" s="36"/>
      <c r="B60" s="127"/>
      <c r="C60" s="6"/>
      <c r="D60" s="36"/>
      <c r="E60" s="36"/>
      <c r="F60" s="6"/>
      <c r="G60" s="37"/>
      <c r="H60" s="36"/>
      <c r="I60" s="36"/>
      <c r="J60" s="60"/>
      <c r="L60" s="61"/>
      <c r="M60" s="61"/>
      <c r="N60" s="61"/>
      <c r="O60" s="61"/>
      <c r="P60" s="61"/>
      <c r="Q60" s="61"/>
      <c r="R60" s="62"/>
      <c r="S60" s="62"/>
      <c r="T60" s="62"/>
      <c r="U60" s="62"/>
      <c r="V60" s="62"/>
      <c r="W60" s="62"/>
      <c r="X60" s="62"/>
      <c r="Y60" s="62"/>
      <c r="Z60" s="62"/>
    </row>
    <row r="61" spans="1:26" ht="15.75" customHeight="1" x14ac:dyDescent="0.3">
      <c r="A61" s="36"/>
      <c r="B61" s="36"/>
      <c r="C61" s="6"/>
      <c r="D61" s="36"/>
      <c r="E61" s="36"/>
      <c r="F61" s="6"/>
      <c r="G61" s="37"/>
      <c r="H61" s="36"/>
      <c r="I61" s="36"/>
      <c r="J61" s="60"/>
      <c r="L61" s="61"/>
      <c r="M61" s="61"/>
      <c r="N61" s="61"/>
      <c r="O61" s="61"/>
      <c r="P61" s="61"/>
      <c r="Q61" s="61"/>
      <c r="R61" s="62"/>
      <c r="S61" s="62"/>
      <c r="T61" s="62"/>
    </row>
    <row r="62" spans="1:26" ht="15.75" customHeight="1" x14ac:dyDescent="0.3">
      <c r="A62" s="36"/>
      <c r="B62" s="36"/>
      <c r="C62" s="6"/>
      <c r="D62" s="36"/>
      <c r="E62" s="36"/>
      <c r="F62" s="6"/>
      <c r="G62" s="37"/>
      <c r="H62" s="36"/>
      <c r="I62" s="36"/>
      <c r="J62" s="60"/>
      <c r="L62" s="61"/>
      <c r="M62" s="61"/>
      <c r="N62" s="61"/>
      <c r="O62" s="61"/>
      <c r="P62" s="61"/>
      <c r="Q62" s="61"/>
      <c r="R62" s="62"/>
      <c r="S62" s="62"/>
      <c r="T62" s="62"/>
    </row>
    <row r="63" spans="1:26" ht="15.75" customHeight="1" x14ac:dyDescent="0.3">
      <c r="A63" s="36"/>
      <c r="B63" s="36"/>
      <c r="C63" s="6"/>
      <c r="D63" s="36"/>
      <c r="E63" s="36"/>
      <c r="F63" s="6"/>
      <c r="G63" s="37"/>
      <c r="H63" s="36"/>
      <c r="I63" s="36"/>
      <c r="J63" s="60"/>
      <c r="L63" s="61"/>
      <c r="M63" s="61"/>
      <c r="N63" s="61"/>
      <c r="O63" s="61"/>
      <c r="P63" s="61"/>
      <c r="Q63" s="61"/>
      <c r="R63" s="62"/>
      <c r="S63" s="62"/>
      <c r="T63" s="62"/>
    </row>
    <row r="64" spans="1:26" ht="15.75" customHeight="1" x14ac:dyDescent="0.3">
      <c r="A64" s="36"/>
      <c r="B64" s="36"/>
      <c r="C64" s="6"/>
      <c r="D64" s="36"/>
      <c r="E64" s="36"/>
      <c r="F64" s="6"/>
      <c r="G64" s="37"/>
      <c r="H64" s="36"/>
      <c r="I64" s="36"/>
      <c r="J64" s="60"/>
      <c r="L64" s="61"/>
      <c r="M64" s="61"/>
      <c r="N64" s="61"/>
      <c r="O64" s="61"/>
      <c r="P64" s="61"/>
      <c r="Q64" s="61"/>
      <c r="R64" s="62"/>
      <c r="S64" s="62"/>
      <c r="T64" s="62"/>
    </row>
    <row r="65" spans="1:26" ht="15.75" customHeight="1" x14ac:dyDescent="0.3">
      <c r="A65" s="36"/>
      <c r="B65" s="36"/>
      <c r="C65" s="6"/>
      <c r="D65" s="36"/>
      <c r="E65" s="36"/>
      <c r="F65" s="6"/>
      <c r="G65" s="37"/>
      <c r="H65" s="36"/>
      <c r="I65" s="36"/>
      <c r="J65" s="60"/>
      <c r="L65" s="61"/>
      <c r="M65" s="61"/>
      <c r="N65" s="61"/>
      <c r="O65" s="61"/>
      <c r="P65" s="61"/>
      <c r="Q65" s="61"/>
      <c r="R65" s="62"/>
      <c r="S65" s="62"/>
      <c r="T65" s="62"/>
    </row>
    <row r="66" spans="1:26" ht="15.75" customHeight="1" x14ac:dyDescent="0.3">
      <c r="A66" s="36"/>
      <c r="B66" s="36"/>
      <c r="C66" s="6"/>
      <c r="D66" s="36"/>
      <c r="E66" s="36"/>
      <c r="F66" s="6"/>
      <c r="G66" s="37"/>
      <c r="H66" s="36"/>
      <c r="I66" s="36"/>
      <c r="J66" s="60"/>
      <c r="L66" s="61"/>
      <c r="M66" s="61"/>
      <c r="N66" s="61"/>
      <c r="O66" s="61"/>
      <c r="P66" s="61"/>
      <c r="Q66" s="61"/>
      <c r="R66" s="62"/>
      <c r="S66" s="62"/>
      <c r="T66" s="62"/>
    </row>
    <row r="67" spans="1:26" ht="15.75" customHeight="1" x14ac:dyDescent="0.3">
      <c r="A67" s="36"/>
      <c r="B67" s="36"/>
      <c r="C67" s="6"/>
      <c r="D67" s="36"/>
      <c r="E67" s="36"/>
      <c r="F67" s="6"/>
      <c r="G67" s="37"/>
      <c r="H67" s="36"/>
      <c r="I67" s="36"/>
      <c r="J67" s="60"/>
      <c r="L67" s="61"/>
      <c r="M67" s="61"/>
      <c r="N67" s="61"/>
      <c r="O67" s="61"/>
      <c r="P67" s="61"/>
      <c r="Q67" s="61"/>
      <c r="R67" s="62"/>
      <c r="S67" s="62"/>
      <c r="T67" s="62"/>
    </row>
    <row r="68" spans="1:26" ht="15.75" customHeight="1" x14ac:dyDescent="0.3">
      <c r="A68" s="36"/>
      <c r="B68" s="36"/>
      <c r="C68" s="6"/>
      <c r="D68" s="36"/>
      <c r="E68" s="36"/>
      <c r="F68" s="6"/>
      <c r="G68" s="37"/>
      <c r="H68" s="36"/>
      <c r="I68" s="36"/>
      <c r="J68" s="60"/>
      <c r="L68" s="61"/>
      <c r="M68" s="61"/>
      <c r="N68" s="61"/>
      <c r="O68" s="61"/>
      <c r="P68" s="61"/>
      <c r="Q68" s="61"/>
      <c r="R68" s="62"/>
      <c r="S68" s="62"/>
      <c r="T68" s="62"/>
    </row>
    <row r="69" spans="1:26" ht="15.75" customHeight="1" x14ac:dyDescent="0.3">
      <c r="A69" s="36"/>
      <c r="B69" s="36" t="s">
        <v>480</v>
      </c>
      <c r="C69" s="108">
        <v>908526</v>
      </c>
      <c r="D69" s="36"/>
      <c r="E69" s="36"/>
      <c r="F69" s="6"/>
      <c r="G69" s="37"/>
      <c r="H69" s="36"/>
      <c r="I69" s="36"/>
      <c r="J69" s="60"/>
      <c r="L69" s="61"/>
      <c r="M69" s="61"/>
      <c r="N69" s="61"/>
      <c r="O69" s="61"/>
      <c r="P69" s="61"/>
      <c r="Q69" s="61"/>
      <c r="R69" s="62"/>
      <c r="S69" s="62"/>
      <c r="T69" s="62"/>
    </row>
    <row r="70" spans="1:26" ht="15.75" customHeight="1" x14ac:dyDescent="0.3">
      <c r="A70" s="36"/>
      <c r="B70" s="109" t="s">
        <v>481</v>
      </c>
      <c r="C70" s="6"/>
      <c r="D70" s="36"/>
      <c r="E70" s="36"/>
      <c r="F70" s="6"/>
      <c r="G70" s="37"/>
      <c r="H70" s="36"/>
      <c r="I70" s="36"/>
      <c r="J70" s="60"/>
      <c r="L70" s="61"/>
      <c r="M70" s="61"/>
      <c r="N70" s="61"/>
      <c r="O70" s="61"/>
      <c r="P70" s="61"/>
      <c r="Q70" s="61"/>
      <c r="R70" s="62"/>
      <c r="S70" s="62"/>
      <c r="T70" s="62"/>
    </row>
    <row r="71" spans="1:26" ht="15.75" customHeight="1" x14ac:dyDescent="0.3">
      <c r="A71" s="36"/>
      <c r="B71" s="109" t="s">
        <v>482</v>
      </c>
      <c r="C71" s="110">
        <v>1817052000</v>
      </c>
      <c r="D71" s="36"/>
      <c r="E71" s="36"/>
      <c r="G71" s="37"/>
      <c r="H71" s="36"/>
      <c r="I71" s="36"/>
      <c r="J71" s="60"/>
      <c r="L71" s="61"/>
      <c r="M71" s="61"/>
      <c r="N71" s="61"/>
      <c r="O71" s="61"/>
      <c r="P71" s="61"/>
      <c r="Q71" s="61"/>
      <c r="R71" s="62"/>
      <c r="S71" s="62"/>
      <c r="T71" s="62"/>
    </row>
    <row r="72" spans="1:26" ht="15.75" customHeight="1" x14ac:dyDescent="0.3">
      <c r="A72" s="36"/>
      <c r="B72" s="109" t="s">
        <v>483</v>
      </c>
      <c r="C72" s="110">
        <v>5451156000</v>
      </c>
      <c r="D72" s="36"/>
      <c r="E72" s="36"/>
      <c r="F72" s="6"/>
      <c r="G72" s="37"/>
      <c r="H72" s="36"/>
      <c r="I72" s="36"/>
      <c r="J72" s="60"/>
      <c r="L72" s="61"/>
      <c r="M72" s="61"/>
      <c r="N72" s="61"/>
      <c r="O72" s="61"/>
      <c r="P72" s="61"/>
      <c r="Q72" s="61"/>
      <c r="R72" s="62"/>
      <c r="S72" s="62"/>
      <c r="T72" s="62"/>
      <c r="U72" s="36"/>
      <c r="V72" s="36"/>
      <c r="W72" s="36"/>
      <c r="X72" s="36"/>
      <c r="Y72" s="36"/>
      <c r="Z72" s="36"/>
    </row>
    <row r="73" spans="1:26" ht="15.75" customHeight="1" x14ac:dyDescent="0.3">
      <c r="A73" s="36"/>
      <c r="B73" s="109" t="s">
        <v>484</v>
      </c>
      <c r="C73" s="110">
        <v>5452064526</v>
      </c>
      <c r="D73" s="36"/>
      <c r="E73" s="36"/>
      <c r="F73" s="6"/>
      <c r="G73" s="37"/>
      <c r="H73" s="36"/>
      <c r="I73" s="36"/>
      <c r="J73" s="60"/>
      <c r="L73" s="61"/>
      <c r="M73" s="61"/>
      <c r="N73" s="61"/>
      <c r="O73" s="61"/>
      <c r="P73" s="61"/>
      <c r="Q73" s="61"/>
      <c r="R73" s="62"/>
      <c r="S73" s="62"/>
      <c r="T73" s="62"/>
      <c r="U73" s="36"/>
      <c r="V73" s="36"/>
      <c r="W73" s="36"/>
      <c r="X73" s="36"/>
      <c r="Y73" s="36"/>
      <c r="Z73" s="36"/>
    </row>
    <row r="74" spans="1:26" ht="15.75" customHeight="1" x14ac:dyDescent="0.3">
      <c r="A74" s="36"/>
      <c r="B74" s="36"/>
      <c r="C74" s="6"/>
      <c r="D74" s="36"/>
      <c r="E74" s="36"/>
      <c r="F74" s="6"/>
      <c r="G74" s="37"/>
      <c r="H74" s="36"/>
      <c r="I74" s="36"/>
      <c r="J74" s="60"/>
      <c r="L74" s="61"/>
      <c r="M74" s="61"/>
      <c r="N74" s="61"/>
      <c r="O74" s="61"/>
      <c r="P74" s="61"/>
      <c r="Q74" s="61"/>
      <c r="R74" s="62"/>
      <c r="S74" s="62"/>
      <c r="T74" s="62"/>
    </row>
    <row r="75" spans="1:26" ht="15.75" customHeight="1" x14ac:dyDescent="0.3">
      <c r="A75" s="36"/>
      <c r="B75" s="36"/>
      <c r="C75" s="6"/>
      <c r="D75" s="36"/>
      <c r="E75" s="36"/>
      <c r="F75" s="6"/>
      <c r="G75" s="37"/>
      <c r="H75" s="36"/>
      <c r="I75" s="36"/>
      <c r="J75" s="60"/>
      <c r="L75" s="61"/>
      <c r="M75" s="61"/>
      <c r="N75" s="61"/>
      <c r="O75" s="61"/>
      <c r="P75" s="61"/>
      <c r="Q75" s="61"/>
      <c r="R75" s="62"/>
      <c r="S75" s="62"/>
      <c r="T75" s="62"/>
    </row>
    <row r="76" spans="1:26" ht="15.75" customHeight="1" x14ac:dyDescent="0.3">
      <c r="A76" s="36"/>
      <c r="B76" s="36"/>
      <c r="C76" s="6"/>
      <c r="D76" s="36"/>
      <c r="E76" s="36"/>
      <c r="F76" s="6"/>
      <c r="G76" s="37"/>
      <c r="H76" s="36"/>
      <c r="I76" s="36"/>
      <c r="J76" s="60"/>
      <c r="L76" s="61"/>
      <c r="M76" s="61"/>
      <c r="N76" s="61"/>
      <c r="O76" s="61"/>
      <c r="P76" s="61"/>
      <c r="Q76" s="61"/>
      <c r="R76" s="62"/>
      <c r="S76" s="62"/>
      <c r="T76" s="62"/>
    </row>
    <row r="77" spans="1:26" ht="15.75" customHeight="1" x14ac:dyDescent="0.3">
      <c r="A77" s="36"/>
      <c r="B77" s="36"/>
      <c r="C77" s="6"/>
      <c r="D77" s="36"/>
      <c r="E77" s="36"/>
      <c r="F77" s="6"/>
      <c r="G77" s="37"/>
      <c r="H77" s="36"/>
      <c r="I77" s="36"/>
      <c r="J77" s="60"/>
      <c r="L77" s="61"/>
      <c r="M77" s="61"/>
      <c r="N77" s="61"/>
      <c r="O77" s="61"/>
      <c r="P77" s="61"/>
      <c r="Q77" s="61"/>
      <c r="R77" s="62"/>
      <c r="S77" s="62"/>
      <c r="T77" s="62"/>
    </row>
    <row r="78" spans="1:26" ht="15.75" customHeight="1" x14ac:dyDescent="0.3">
      <c r="A78" s="36"/>
      <c r="B78" s="36"/>
      <c r="C78" s="6"/>
      <c r="D78" s="36"/>
      <c r="E78" s="36"/>
      <c r="F78" s="6"/>
      <c r="G78" s="37"/>
      <c r="H78" s="36"/>
      <c r="I78" s="36"/>
      <c r="J78" s="60"/>
      <c r="L78" s="61"/>
      <c r="M78" s="61"/>
      <c r="N78" s="61"/>
      <c r="O78" s="61"/>
      <c r="P78" s="61"/>
      <c r="Q78" s="61"/>
      <c r="R78" s="62"/>
      <c r="S78" s="62"/>
      <c r="T78" s="62"/>
    </row>
    <row r="79" spans="1:26" ht="15.75" customHeight="1" x14ac:dyDescent="0.3">
      <c r="A79" s="36"/>
      <c r="B79" s="36"/>
      <c r="C79" s="6"/>
      <c r="D79" s="36"/>
      <c r="E79" s="36"/>
      <c r="F79" s="6"/>
      <c r="G79" s="37"/>
      <c r="H79" s="36"/>
      <c r="I79" s="36"/>
      <c r="J79" s="60"/>
      <c r="L79" s="61"/>
      <c r="M79" s="61"/>
      <c r="N79" s="61"/>
      <c r="O79" s="61"/>
      <c r="P79" s="61"/>
      <c r="Q79" s="61"/>
      <c r="R79" s="62"/>
      <c r="S79" s="62"/>
      <c r="T79" s="62"/>
    </row>
    <row r="80" spans="1:26" ht="15.75" customHeight="1" x14ac:dyDescent="0.3">
      <c r="A80" s="36"/>
      <c r="B80" s="36"/>
      <c r="C80" s="6"/>
      <c r="D80" s="36"/>
      <c r="E80" s="36"/>
      <c r="F80" s="6"/>
      <c r="G80" s="37"/>
      <c r="H80" s="36"/>
      <c r="I80" s="36"/>
      <c r="J80" s="60"/>
      <c r="L80" s="61"/>
      <c r="M80" s="61"/>
      <c r="N80" s="61"/>
      <c r="O80" s="61"/>
      <c r="P80" s="61"/>
      <c r="Q80" s="61"/>
      <c r="R80" s="62"/>
      <c r="S80" s="62"/>
      <c r="T80" s="62"/>
    </row>
    <row r="81" spans="1:20" ht="15.75" customHeight="1" x14ac:dyDescent="0.3">
      <c r="A81" s="36"/>
      <c r="B81" s="36"/>
      <c r="C81" s="6"/>
      <c r="D81" s="36"/>
      <c r="E81" s="36"/>
      <c r="F81" s="6"/>
      <c r="G81" s="37"/>
      <c r="H81" s="36"/>
      <c r="I81" s="36"/>
      <c r="J81" s="60"/>
      <c r="L81" s="61"/>
      <c r="M81" s="61"/>
      <c r="N81" s="61"/>
      <c r="O81" s="61"/>
      <c r="P81" s="61"/>
      <c r="Q81" s="61"/>
      <c r="R81" s="62"/>
      <c r="S81" s="62"/>
      <c r="T81" s="62"/>
    </row>
    <row r="82" spans="1:20" ht="15.75" customHeight="1" x14ac:dyDescent="0.3">
      <c r="A82" s="36"/>
      <c r="B82" s="36"/>
      <c r="C82" s="6"/>
      <c r="D82" s="36"/>
      <c r="E82" s="36"/>
      <c r="F82" s="6"/>
      <c r="G82" s="37"/>
      <c r="H82" s="36"/>
      <c r="I82" s="36"/>
      <c r="J82" s="60"/>
      <c r="L82" s="61"/>
      <c r="M82" s="61"/>
      <c r="N82" s="61"/>
      <c r="O82" s="61"/>
      <c r="P82" s="61"/>
      <c r="Q82" s="61"/>
      <c r="R82" s="62"/>
      <c r="S82" s="62"/>
      <c r="T82" s="62"/>
    </row>
    <row r="83" spans="1:20" ht="15.75" customHeight="1" x14ac:dyDescent="0.3">
      <c r="A83" s="36"/>
      <c r="B83" s="36"/>
      <c r="C83" s="6"/>
      <c r="D83" s="36"/>
      <c r="E83" s="36"/>
      <c r="F83" s="6"/>
      <c r="G83" s="37"/>
      <c r="H83" s="36"/>
      <c r="I83" s="36"/>
      <c r="J83" s="60"/>
      <c r="L83" s="61"/>
      <c r="M83" s="61"/>
      <c r="N83" s="61"/>
      <c r="O83" s="61"/>
      <c r="P83" s="61"/>
      <c r="Q83" s="61"/>
      <c r="R83" s="62"/>
      <c r="S83" s="62"/>
      <c r="T83" s="62"/>
    </row>
    <row r="84" spans="1:20" ht="15.75" customHeight="1" x14ac:dyDescent="0.3">
      <c r="A84" s="36"/>
      <c r="B84" s="36"/>
      <c r="C84" s="6"/>
      <c r="D84" s="36"/>
      <c r="E84" s="36"/>
      <c r="F84" s="6"/>
      <c r="G84" s="37"/>
      <c r="H84" s="36"/>
      <c r="I84" s="36"/>
      <c r="J84" s="60"/>
      <c r="L84" s="61"/>
      <c r="M84" s="61"/>
      <c r="N84" s="61"/>
      <c r="O84" s="61"/>
      <c r="P84" s="61"/>
      <c r="Q84" s="61"/>
      <c r="R84" s="62"/>
      <c r="S84" s="62"/>
      <c r="T84" s="62"/>
    </row>
    <row r="85" spans="1:20" ht="15.75" customHeight="1" x14ac:dyDescent="0.3">
      <c r="A85" s="36"/>
      <c r="B85" s="36"/>
      <c r="C85" s="6"/>
      <c r="D85" s="36"/>
      <c r="E85" s="36"/>
      <c r="F85" s="6"/>
      <c r="G85" s="37"/>
      <c r="H85" s="36"/>
      <c r="I85" s="36"/>
      <c r="J85" s="60"/>
      <c r="L85" s="61"/>
      <c r="M85" s="61"/>
      <c r="N85" s="61"/>
      <c r="O85" s="61"/>
      <c r="P85" s="61"/>
      <c r="Q85" s="61"/>
      <c r="R85" s="62"/>
      <c r="S85" s="62"/>
      <c r="T85" s="62"/>
    </row>
    <row r="86" spans="1:20" ht="15.75" customHeight="1" x14ac:dyDescent="0.3">
      <c r="A86" s="36"/>
      <c r="B86" s="36"/>
      <c r="C86" s="6"/>
      <c r="D86" s="36"/>
      <c r="E86" s="36"/>
      <c r="F86" s="6"/>
      <c r="G86" s="37"/>
      <c r="H86" s="36"/>
      <c r="I86" s="36"/>
      <c r="J86" s="60"/>
      <c r="L86" s="61"/>
      <c r="M86" s="61"/>
      <c r="N86" s="61"/>
      <c r="O86" s="61"/>
      <c r="P86" s="61"/>
      <c r="Q86" s="61"/>
      <c r="R86" s="62"/>
      <c r="S86" s="62"/>
      <c r="T86" s="62"/>
    </row>
    <row r="87" spans="1:20" ht="15.75" customHeight="1" x14ac:dyDescent="0.3">
      <c r="A87" s="36"/>
      <c r="B87" s="36"/>
      <c r="C87" s="6"/>
      <c r="D87" s="36"/>
      <c r="E87" s="36"/>
      <c r="F87" s="6"/>
      <c r="G87" s="37"/>
      <c r="H87" s="36"/>
      <c r="I87" s="36"/>
      <c r="J87" s="60"/>
      <c r="L87" s="61"/>
      <c r="M87" s="61"/>
      <c r="N87" s="61"/>
      <c r="O87" s="61"/>
      <c r="P87" s="61"/>
      <c r="Q87" s="61"/>
      <c r="R87" s="62"/>
      <c r="S87" s="62"/>
      <c r="T87" s="62"/>
    </row>
    <row r="88" spans="1:20" ht="15.75" customHeight="1" x14ac:dyDescent="0.3">
      <c r="A88" s="36"/>
      <c r="B88" s="36"/>
      <c r="C88" s="6"/>
      <c r="D88" s="36"/>
      <c r="E88" s="36"/>
      <c r="F88" s="6"/>
      <c r="G88" s="37"/>
      <c r="H88" s="36"/>
      <c r="I88" s="36"/>
      <c r="J88" s="60"/>
      <c r="L88" s="61"/>
      <c r="M88" s="61"/>
      <c r="N88" s="61"/>
      <c r="O88" s="61"/>
      <c r="P88" s="61"/>
      <c r="Q88" s="61"/>
      <c r="R88" s="62"/>
      <c r="S88" s="62"/>
      <c r="T88" s="62"/>
    </row>
    <row r="89" spans="1:20" ht="15.75" customHeight="1" x14ac:dyDescent="0.3">
      <c r="A89" s="36"/>
      <c r="B89" s="36"/>
      <c r="C89" s="6"/>
      <c r="D89" s="36"/>
      <c r="E89" s="36"/>
      <c r="F89" s="6"/>
      <c r="G89" s="37"/>
      <c r="H89" s="36"/>
      <c r="I89" s="36"/>
      <c r="J89" s="60"/>
      <c r="L89" s="61"/>
      <c r="M89" s="61"/>
      <c r="N89" s="61"/>
      <c r="O89" s="61"/>
      <c r="P89" s="61"/>
      <c r="Q89" s="61"/>
      <c r="R89" s="62"/>
      <c r="S89" s="62"/>
      <c r="T89" s="62"/>
    </row>
    <row r="90" spans="1:20" ht="15.75" customHeight="1" x14ac:dyDescent="0.3">
      <c r="A90" s="36"/>
      <c r="B90" s="36"/>
      <c r="C90" s="6"/>
      <c r="D90" s="36"/>
      <c r="E90" s="36"/>
      <c r="F90" s="6"/>
      <c r="G90" s="37"/>
      <c r="H90" s="36"/>
      <c r="I90" s="36"/>
      <c r="J90" s="60"/>
      <c r="L90" s="61"/>
      <c r="M90" s="61"/>
      <c r="N90" s="61"/>
      <c r="O90" s="61"/>
      <c r="P90" s="61"/>
      <c r="Q90" s="61"/>
      <c r="R90" s="62"/>
      <c r="S90" s="62"/>
      <c r="T90" s="62"/>
    </row>
    <row r="91" spans="1:20" ht="15.75" customHeight="1" x14ac:dyDescent="0.3">
      <c r="A91" s="36"/>
      <c r="B91" s="36"/>
      <c r="C91" s="6"/>
      <c r="D91" s="36"/>
      <c r="E91" s="36"/>
      <c r="F91" s="6"/>
      <c r="G91" s="37"/>
      <c r="H91" s="36"/>
      <c r="I91" s="36"/>
      <c r="J91" s="60"/>
      <c r="L91" s="61"/>
      <c r="M91" s="61"/>
      <c r="N91" s="61"/>
      <c r="O91" s="61"/>
      <c r="P91" s="61"/>
      <c r="Q91" s="61"/>
      <c r="R91" s="62"/>
      <c r="S91" s="62"/>
      <c r="T91" s="62"/>
    </row>
    <row r="92" spans="1:20" ht="15.75" customHeight="1" x14ac:dyDescent="0.3">
      <c r="A92" s="36"/>
      <c r="B92" s="36"/>
      <c r="C92" s="6"/>
      <c r="D92" s="36"/>
      <c r="E92" s="36"/>
      <c r="F92" s="6"/>
      <c r="G92" s="37"/>
      <c r="H92" s="36"/>
      <c r="I92" s="36"/>
      <c r="J92" s="60"/>
      <c r="L92" s="61"/>
      <c r="M92" s="61"/>
      <c r="N92" s="61"/>
      <c r="O92" s="61"/>
      <c r="P92" s="61"/>
      <c r="Q92" s="61"/>
      <c r="R92" s="62"/>
      <c r="S92" s="62"/>
      <c r="T92" s="62"/>
    </row>
    <row r="93" spans="1:20" ht="15.75" customHeight="1" x14ac:dyDescent="0.3">
      <c r="A93" s="36"/>
      <c r="B93" s="36"/>
      <c r="C93" s="6"/>
      <c r="D93" s="36"/>
      <c r="E93" s="36"/>
      <c r="F93" s="6"/>
      <c r="G93" s="37"/>
      <c r="H93" s="36"/>
      <c r="I93" s="36"/>
      <c r="J93" s="60"/>
      <c r="L93" s="61"/>
      <c r="M93" s="61"/>
      <c r="N93" s="61"/>
      <c r="O93" s="61"/>
      <c r="P93" s="61"/>
      <c r="Q93" s="61"/>
      <c r="R93" s="62"/>
      <c r="S93" s="62"/>
      <c r="T93" s="62"/>
    </row>
    <row r="94" spans="1:20" ht="15.75" customHeight="1" x14ac:dyDescent="0.3">
      <c r="A94" s="36"/>
      <c r="B94" s="36"/>
      <c r="C94" s="6"/>
      <c r="D94" s="36"/>
      <c r="E94" s="36"/>
      <c r="F94" s="6"/>
      <c r="G94" s="37"/>
      <c r="H94" s="36"/>
      <c r="I94" s="36"/>
      <c r="J94" s="60"/>
      <c r="L94" s="61"/>
      <c r="M94" s="61"/>
      <c r="N94" s="61"/>
      <c r="O94" s="61"/>
      <c r="P94" s="61"/>
      <c r="Q94" s="61"/>
      <c r="R94" s="62"/>
      <c r="S94" s="62"/>
      <c r="T94" s="62"/>
    </row>
    <row r="95" spans="1:20" ht="15.75" customHeight="1" x14ac:dyDescent="0.3">
      <c r="A95" s="36"/>
      <c r="B95" s="36"/>
      <c r="C95" s="6"/>
      <c r="D95" s="36"/>
      <c r="E95" s="36"/>
      <c r="F95" s="6"/>
      <c r="G95" s="37"/>
      <c r="H95" s="36"/>
      <c r="I95" s="36"/>
      <c r="J95" s="60"/>
      <c r="L95" s="61"/>
      <c r="M95" s="61"/>
      <c r="N95" s="61"/>
      <c r="O95" s="61"/>
      <c r="P95" s="61"/>
      <c r="Q95" s="61"/>
      <c r="R95" s="62"/>
      <c r="S95" s="62"/>
      <c r="T95" s="62"/>
    </row>
    <row r="96" spans="1:20" ht="15.75" customHeight="1" x14ac:dyDescent="0.3">
      <c r="A96" s="36"/>
      <c r="B96" s="36"/>
      <c r="C96" s="6"/>
      <c r="D96" s="36"/>
      <c r="E96" s="36"/>
      <c r="F96" s="6"/>
      <c r="G96" s="37"/>
      <c r="H96" s="36"/>
      <c r="I96" s="36"/>
      <c r="J96" s="60"/>
      <c r="L96" s="61"/>
      <c r="M96" s="61"/>
      <c r="N96" s="61"/>
      <c r="O96" s="61"/>
      <c r="P96" s="61"/>
      <c r="Q96" s="61"/>
      <c r="R96" s="62"/>
      <c r="S96" s="62"/>
      <c r="T96" s="62"/>
    </row>
    <row r="97" spans="1:20" ht="15.75" customHeight="1" x14ac:dyDescent="0.3">
      <c r="A97" s="36"/>
      <c r="B97" s="36"/>
      <c r="C97" s="6"/>
      <c r="D97" s="36"/>
      <c r="E97" s="36"/>
      <c r="F97" s="6"/>
      <c r="G97" s="37"/>
      <c r="H97" s="36"/>
      <c r="I97" s="36"/>
      <c r="J97" s="60"/>
      <c r="L97" s="61"/>
      <c r="M97" s="61"/>
      <c r="N97" s="61"/>
      <c r="O97" s="61"/>
      <c r="P97" s="61"/>
      <c r="Q97" s="61"/>
      <c r="R97" s="62"/>
      <c r="S97" s="62"/>
      <c r="T97" s="62"/>
    </row>
    <row r="98" spans="1:20" ht="15.75" customHeight="1" x14ac:dyDescent="0.3">
      <c r="A98" s="36"/>
      <c r="B98" s="36"/>
      <c r="C98" s="6"/>
      <c r="D98" s="36"/>
      <c r="E98" s="36"/>
      <c r="F98" s="6"/>
      <c r="G98" s="37"/>
      <c r="H98" s="36"/>
      <c r="I98" s="36"/>
      <c r="J98" s="60"/>
      <c r="L98" s="61"/>
      <c r="M98" s="61"/>
      <c r="N98" s="61"/>
      <c r="O98" s="61"/>
      <c r="P98" s="61"/>
      <c r="Q98" s="61"/>
      <c r="R98" s="62"/>
      <c r="S98" s="62"/>
      <c r="T98" s="62"/>
    </row>
    <row r="99" spans="1:20" ht="15.75" customHeight="1" x14ac:dyDescent="0.3">
      <c r="A99" s="36"/>
      <c r="B99" s="36"/>
      <c r="C99" s="6"/>
      <c r="D99" s="36"/>
      <c r="E99" s="36"/>
      <c r="F99" s="6"/>
      <c r="G99" s="37"/>
      <c r="H99" s="36"/>
      <c r="I99" s="36"/>
      <c r="J99" s="60"/>
      <c r="L99" s="61"/>
      <c r="M99" s="61"/>
      <c r="N99" s="61"/>
      <c r="O99" s="61"/>
      <c r="P99" s="61"/>
      <c r="Q99" s="61"/>
      <c r="R99" s="62"/>
      <c r="S99" s="62"/>
      <c r="T99" s="62"/>
    </row>
    <row r="100" spans="1:20" ht="15.75" customHeight="1" x14ac:dyDescent="0.3">
      <c r="A100" s="36"/>
      <c r="B100" s="36"/>
      <c r="C100" s="6"/>
      <c r="D100" s="36"/>
      <c r="E100" s="36"/>
      <c r="F100" s="6"/>
      <c r="G100" s="37"/>
      <c r="H100" s="36"/>
      <c r="I100" s="36"/>
      <c r="J100" s="60"/>
      <c r="L100" s="61"/>
      <c r="M100" s="61"/>
      <c r="N100" s="61"/>
      <c r="O100" s="61"/>
      <c r="P100" s="61"/>
      <c r="Q100" s="61"/>
      <c r="R100" s="62"/>
      <c r="S100" s="62"/>
      <c r="T100" s="62"/>
    </row>
    <row r="101" spans="1:20" ht="15.75" customHeight="1" x14ac:dyDescent="0.3">
      <c r="A101" s="36"/>
      <c r="B101" s="36"/>
      <c r="C101" s="6"/>
      <c r="D101" s="36"/>
      <c r="E101" s="36"/>
      <c r="F101" s="6"/>
      <c r="G101" s="37"/>
      <c r="H101" s="36"/>
      <c r="I101" s="36"/>
      <c r="J101" s="60"/>
      <c r="L101" s="61"/>
      <c r="M101" s="61"/>
      <c r="N101" s="61"/>
      <c r="O101" s="61"/>
      <c r="P101" s="61"/>
      <c r="Q101" s="61"/>
      <c r="R101" s="62"/>
      <c r="S101" s="62"/>
      <c r="T101" s="62"/>
    </row>
    <row r="102" spans="1:20" ht="15.75" customHeight="1" x14ac:dyDescent="0.3">
      <c r="A102" s="36"/>
      <c r="B102" s="36"/>
      <c r="C102" s="6"/>
      <c r="D102" s="36"/>
      <c r="E102" s="36"/>
      <c r="F102" s="6"/>
      <c r="G102" s="37"/>
      <c r="H102" s="36"/>
      <c r="I102" s="36"/>
      <c r="J102" s="60"/>
      <c r="L102" s="61"/>
      <c r="M102" s="61"/>
      <c r="N102" s="61"/>
      <c r="O102" s="61"/>
      <c r="P102" s="61"/>
      <c r="Q102" s="61"/>
      <c r="R102" s="62"/>
      <c r="S102" s="62"/>
      <c r="T102" s="62"/>
    </row>
    <row r="103" spans="1:20" ht="15.75" customHeight="1" x14ac:dyDescent="0.3">
      <c r="A103" s="36"/>
      <c r="B103" s="36"/>
      <c r="C103" s="6"/>
      <c r="D103" s="36"/>
      <c r="E103" s="36"/>
      <c r="F103" s="6"/>
      <c r="G103" s="37"/>
      <c r="H103" s="36"/>
      <c r="I103" s="36"/>
      <c r="J103" s="60"/>
      <c r="L103" s="61"/>
      <c r="M103" s="61"/>
      <c r="N103" s="61"/>
      <c r="O103" s="61"/>
      <c r="P103" s="61"/>
      <c r="Q103" s="61"/>
      <c r="R103" s="62"/>
      <c r="S103" s="62"/>
      <c r="T103" s="62"/>
    </row>
    <row r="104" spans="1:20" ht="15.75" customHeight="1" x14ac:dyDescent="0.3">
      <c r="A104" s="36"/>
      <c r="B104" s="36"/>
      <c r="C104" s="6"/>
      <c r="D104" s="36"/>
      <c r="E104" s="36"/>
      <c r="F104" s="6"/>
      <c r="G104" s="37"/>
      <c r="H104" s="36"/>
      <c r="I104" s="36"/>
      <c r="J104" s="60"/>
      <c r="L104" s="61"/>
      <c r="M104" s="61"/>
      <c r="N104" s="61"/>
      <c r="O104" s="61"/>
      <c r="P104" s="61"/>
      <c r="Q104" s="61"/>
      <c r="R104" s="62"/>
      <c r="S104" s="62"/>
      <c r="T104" s="62"/>
    </row>
    <row r="105" spans="1:20" ht="15.75" customHeight="1" x14ac:dyDescent="0.3">
      <c r="A105" s="36"/>
      <c r="B105" s="36"/>
      <c r="C105" s="6"/>
      <c r="D105" s="36"/>
      <c r="E105" s="36"/>
      <c r="F105" s="6"/>
      <c r="G105" s="37"/>
      <c r="H105" s="36"/>
      <c r="I105" s="36"/>
      <c r="J105" s="60"/>
      <c r="L105" s="61"/>
      <c r="M105" s="61"/>
      <c r="N105" s="61"/>
      <c r="O105" s="61"/>
      <c r="P105" s="61"/>
      <c r="Q105" s="61"/>
      <c r="R105" s="62"/>
      <c r="S105" s="62"/>
      <c r="T105" s="62"/>
    </row>
    <row r="106" spans="1:20" ht="15.75" customHeight="1" x14ac:dyDescent="0.3">
      <c r="A106" s="36"/>
      <c r="B106" s="36"/>
      <c r="C106" s="6"/>
      <c r="D106" s="36"/>
      <c r="E106" s="36"/>
      <c r="F106" s="6"/>
      <c r="G106" s="37"/>
      <c r="H106" s="36"/>
      <c r="I106" s="36"/>
      <c r="J106" s="60"/>
      <c r="L106" s="61"/>
      <c r="M106" s="61"/>
      <c r="N106" s="61"/>
      <c r="O106" s="61"/>
      <c r="P106" s="61"/>
      <c r="Q106" s="61"/>
      <c r="R106" s="62"/>
      <c r="S106" s="62"/>
      <c r="T106" s="62"/>
    </row>
    <row r="107" spans="1:20" ht="15.75" customHeight="1" x14ac:dyDescent="0.3">
      <c r="A107" s="36"/>
      <c r="B107" s="36"/>
      <c r="C107" s="6"/>
      <c r="D107" s="36"/>
      <c r="E107" s="36"/>
      <c r="F107" s="6"/>
      <c r="G107" s="37"/>
      <c r="H107" s="36"/>
      <c r="I107" s="36"/>
      <c r="J107" s="60"/>
      <c r="L107" s="61"/>
      <c r="M107" s="61"/>
      <c r="N107" s="61"/>
      <c r="O107" s="61"/>
      <c r="P107" s="61"/>
      <c r="Q107" s="61"/>
      <c r="R107" s="62"/>
      <c r="S107" s="62"/>
      <c r="T107" s="62"/>
    </row>
    <row r="108" spans="1:20" ht="15.75" customHeight="1" x14ac:dyDescent="0.3">
      <c r="A108" s="36"/>
      <c r="B108" s="36"/>
      <c r="C108" s="6"/>
      <c r="D108" s="36"/>
      <c r="E108" s="36"/>
      <c r="F108" s="6"/>
      <c r="G108" s="37"/>
      <c r="H108" s="36"/>
      <c r="I108" s="36"/>
      <c r="J108" s="60"/>
      <c r="L108" s="61"/>
      <c r="M108" s="61"/>
      <c r="N108" s="61"/>
      <c r="O108" s="61"/>
      <c r="P108" s="61"/>
      <c r="Q108" s="61"/>
      <c r="R108" s="62"/>
      <c r="S108" s="62"/>
      <c r="T108" s="62"/>
    </row>
    <row r="109" spans="1:20" ht="15.75" customHeight="1" x14ac:dyDescent="0.3">
      <c r="A109" s="36"/>
      <c r="B109" s="36"/>
      <c r="C109" s="6"/>
      <c r="D109" s="36"/>
      <c r="E109" s="36"/>
      <c r="F109" s="6"/>
      <c r="G109" s="37"/>
      <c r="H109" s="36"/>
      <c r="I109" s="36"/>
      <c r="J109" s="60"/>
      <c r="L109" s="61"/>
      <c r="M109" s="61"/>
      <c r="N109" s="61"/>
      <c r="O109" s="61"/>
      <c r="P109" s="61"/>
      <c r="Q109" s="61"/>
      <c r="R109" s="62"/>
      <c r="S109" s="62"/>
      <c r="T109" s="62"/>
    </row>
    <row r="110" spans="1:20" ht="15.75" customHeight="1" x14ac:dyDescent="0.3">
      <c r="A110" s="36"/>
      <c r="B110" s="36"/>
      <c r="C110" s="6"/>
      <c r="D110" s="36"/>
      <c r="E110" s="36"/>
      <c r="F110" s="6"/>
      <c r="G110" s="37"/>
      <c r="H110" s="36"/>
      <c r="I110" s="36"/>
      <c r="J110" s="60"/>
      <c r="L110" s="61"/>
      <c r="M110" s="61"/>
      <c r="N110" s="61"/>
      <c r="O110" s="61"/>
      <c r="P110" s="61"/>
      <c r="Q110" s="61"/>
      <c r="R110" s="62"/>
      <c r="S110" s="62"/>
      <c r="T110" s="62"/>
    </row>
    <row r="111" spans="1:20" ht="15.75" customHeight="1" x14ac:dyDescent="0.3">
      <c r="A111" s="36"/>
      <c r="B111" s="36"/>
      <c r="C111" s="6"/>
      <c r="D111" s="36"/>
      <c r="E111" s="36"/>
      <c r="F111" s="6"/>
      <c r="G111" s="37"/>
      <c r="H111" s="36"/>
      <c r="I111" s="36"/>
      <c r="J111" s="60"/>
      <c r="L111" s="61"/>
      <c r="M111" s="61"/>
      <c r="N111" s="61"/>
      <c r="O111" s="61"/>
      <c r="P111" s="61"/>
      <c r="Q111" s="61"/>
      <c r="R111" s="62"/>
      <c r="S111" s="62"/>
      <c r="T111" s="62"/>
    </row>
    <row r="112" spans="1:20" ht="15.75" customHeight="1" x14ac:dyDescent="0.3">
      <c r="A112" s="36"/>
      <c r="B112" s="36"/>
      <c r="C112" s="6"/>
      <c r="D112" s="36"/>
      <c r="E112" s="36"/>
      <c r="F112" s="6"/>
      <c r="G112" s="37"/>
      <c r="H112" s="36"/>
      <c r="I112" s="36"/>
      <c r="J112" s="60"/>
      <c r="L112" s="61"/>
      <c r="M112" s="61"/>
      <c r="N112" s="61"/>
      <c r="O112" s="61"/>
      <c r="P112" s="61"/>
      <c r="Q112" s="61"/>
      <c r="R112" s="62"/>
      <c r="S112" s="62"/>
      <c r="T112" s="62"/>
    </row>
    <row r="113" spans="1:20" ht="15.75" customHeight="1" x14ac:dyDescent="0.3">
      <c r="A113" s="36"/>
      <c r="B113" s="36"/>
      <c r="C113" s="6"/>
      <c r="D113" s="36"/>
      <c r="E113" s="36"/>
      <c r="F113" s="6"/>
      <c r="G113" s="37"/>
      <c r="H113" s="36"/>
      <c r="I113" s="36"/>
      <c r="J113" s="60"/>
      <c r="L113" s="61"/>
      <c r="M113" s="61"/>
      <c r="N113" s="61"/>
      <c r="O113" s="61"/>
      <c r="P113" s="61"/>
      <c r="Q113" s="61"/>
      <c r="R113" s="62"/>
      <c r="S113" s="62"/>
      <c r="T113" s="62"/>
    </row>
    <row r="114" spans="1:20" ht="15.75" customHeight="1" x14ac:dyDescent="0.3">
      <c r="A114" s="36"/>
      <c r="B114" s="36"/>
      <c r="C114" s="6"/>
      <c r="D114" s="36"/>
      <c r="E114" s="36"/>
      <c r="F114" s="6"/>
      <c r="G114" s="37"/>
      <c r="H114" s="36"/>
      <c r="I114" s="36"/>
      <c r="J114" s="60"/>
      <c r="L114" s="61"/>
      <c r="M114" s="61"/>
      <c r="N114" s="61"/>
      <c r="O114" s="61"/>
      <c r="P114" s="61"/>
      <c r="Q114" s="61"/>
      <c r="R114" s="62"/>
      <c r="S114" s="62"/>
      <c r="T114" s="62"/>
    </row>
    <row r="115" spans="1:20" ht="15.75" customHeight="1" x14ac:dyDescent="0.3">
      <c r="A115" s="36"/>
      <c r="B115" s="36"/>
      <c r="C115" s="6"/>
      <c r="D115" s="36"/>
      <c r="E115" s="36"/>
      <c r="F115" s="6"/>
      <c r="G115" s="37"/>
      <c r="H115" s="36"/>
      <c r="I115" s="36"/>
      <c r="J115" s="60"/>
      <c r="L115" s="61"/>
      <c r="M115" s="61"/>
      <c r="N115" s="61"/>
      <c r="O115" s="61"/>
      <c r="P115" s="61"/>
      <c r="Q115" s="61"/>
      <c r="R115" s="62"/>
      <c r="S115" s="62"/>
      <c r="T115" s="62"/>
    </row>
    <row r="116" spans="1:20" ht="15.75" customHeight="1" x14ac:dyDescent="0.3">
      <c r="A116" s="36"/>
      <c r="B116" s="36"/>
      <c r="C116" s="6"/>
      <c r="D116" s="36"/>
      <c r="E116" s="36"/>
      <c r="F116" s="6"/>
      <c r="G116" s="37"/>
      <c r="H116" s="36"/>
      <c r="I116" s="36"/>
      <c r="J116" s="60"/>
      <c r="L116" s="61"/>
      <c r="M116" s="61"/>
      <c r="N116" s="61"/>
      <c r="O116" s="61"/>
      <c r="P116" s="61"/>
      <c r="Q116" s="61"/>
      <c r="R116" s="62"/>
      <c r="S116" s="62"/>
      <c r="T116" s="62"/>
    </row>
    <row r="117" spans="1:20" ht="15.75" customHeight="1" x14ac:dyDescent="0.3">
      <c r="A117" s="36"/>
      <c r="B117" s="36"/>
      <c r="C117" s="6"/>
      <c r="D117" s="36"/>
      <c r="E117" s="36"/>
      <c r="F117" s="6"/>
      <c r="G117" s="37"/>
      <c r="H117" s="36"/>
      <c r="I117" s="36"/>
      <c r="J117" s="60"/>
      <c r="L117" s="61"/>
      <c r="M117" s="61"/>
      <c r="N117" s="61"/>
      <c r="O117" s="61"/>
      <c r="P117" s="61"/>
      <c r="Q117" s="61"/>
      <c r="R117" s="62"/>
      <c r="S117" s="62"/>
      <c r="T117" s="62"/>
    </row>
    <row r="118" spans="1:20" ht="15.75" customHeight="1" x14ac:dyDescent="0.3">
      <c r="A118" s="36"/>
      <c r="B118" s="36"/>
      <c r="C118" s="6"/>
      <c r="D118" s="36"/>
      <c r="E118" s="36"/>
      <c r="F118" s="6"/>
      <c r="G118" s="37"/>
      <c r="H118" s="36"/>
      <c r="I118" s="36"/>
      <c r="J118" s="60"/>
      <c r="L118" s="61"/>
      <c r="M118" s="61"/>
      <c r="N118" s="61"/>
      <c r="O118" s="61"/>
      <c r="P118" s="61"/>
      <c r="Q118" s="61"/>
      <c r="R118" s="62"/>
      <c r="S118" s="62"/>
      <c r="T118" s="62"/>
    </row>
    <row r="119" spans="1:20" ht="15.75" customHeight="1" x14ac:dyDescent="0.3">
      <c r="A119" s="36"/>
      <c r="B119" s="36"/>
      <c r="C119" s="6"/>
      <c r="D119" s="36"/>
      <c r="E119" s="36"/>
      <c r="F119" s="6"/>
      <c r="G119" s="37"/>
      <c r="H119" s="36"/>
      <c r="I119" s="36"/>
      <c r="J119" s="60"/>
      <c r="L119" s="61"/>
      <c r="M119" s="61"/>
      <c r="N119" s="61"/>
      <c r="O119" s="61"/>
      <c r="P119" s="61"/>
      <c r="Q119" s="61"/>
      <c r="R119" s="62"/>
      <c r="S119" s="62"/>
      <c r="T119" s="62"/>
    </row>
    <row r="120" spans="1:20" ht="15.75" customHeight="1" x14ac:dyDescent="0.3">
      <c r="A120" s="36"/>
      <c r="B120" s="36"/>
      <c r="C120" s="6"/>
      <c r="D120" s="36"/>
      <c r="E120" s="36"/>
      <c r="F120" s="6"/>
      <c r="G120" s="37"/>
      <c r="H120" s="36"/>
      <c r="I120" s="36"/>
      <c r="J120" s="60"/>
      <c r="L120" s="61"/>
      <c r="M120" s="61"/>
      <c r="N120" s="61"/>
      <c r="O120" s="61"/>
      <c r="P120" s="61"/>
      <c r="Q120" s="61"/>
      <c r="R120" s="62"/>
      <c r="S120" s="62"/>
      <c r="T120" s="62"/>
    </row>
    <row r="121" spans="1:20" ht="15.75" customHeight="1" x14ac:dyDescent="0.3">
      <c r="A121" s="36"/>
      <c r="B121" s="36"/>
      <c r="C121" s="6"/>
      <c r="D121" s="36"/>
      <c r="E121" s="36"/>
      <c r="F121" s="6"/>
      <c r="G121" s="37"/>
      <c r="H121" s="36"/>
      <c r="I121" s="36"/>
      <c r="J121" s="60"/>
      <c r="L121" s="61"/>
      <c r="M121" s="61"/>
      <c r="N121" s="61"/>
      <c r="O121" s="61"/>
      <c r="P121" s="61"/>
      <c r="Q121" s="61"/>
      <c r="R121" s="62"/>
      <c r="S121" s="62"/>
      <c r="T121" s="62"/>
    </row>
    <row r="122" spans="1:20" ht="15.75" customHeight="1" x14ac:dyDescent="0.3">
      <c r="A122" s="36"/>
      <c r="B122" s="36"/>
      <c r="C122" s="6"/>
      <c r="D122" s="36"/>
      <c r="E122" s="36"/>
      <c r="F122" s="6"/>
      <c r="G122" s="37"/>
      <c r="H122" s="36"/>
      <c r="I122" s="36"/>
      <c r="J122" s="60"/>
      <c r="L122" s="61"/>
      <c r="M122" s="61"/>
      <c r="N122" s="61"/>
      <c r="O122" s="61"/>
      <c r="P122" s="61"/>
      <c r="Q122" s="61"/>
      <c r="R122" s="62"/>
      <c r="S122" s="62"/>
      <c r="T122" s="62"/>
    </row>
    <row r="123" spans="1:20" ht="15.75" customHeight="1" x14ac:dyDescent="0.3">
      <c r="A123" s="36"/>
      <c r="B123" s="36"/>
      <c r="C123" s="6"/>
      <c r="D123" s="36"/>
      <c r="E123" s="36"/>
      <c r="F123" s="6"/>
      <c r="G123" s="37"/>
      <c r="H123" s="36"/>
      <c r="I123" s="36"/>
      <c r="J123" s="60"/>
      <c r="L123" s="61"/>
      <c r="M123" s="61"/>
      <c r="N123" s="61"/>
      <c r="O123" s="61"/>
      <c r="P123" s="61"/>
      <c r="Q123" s="61"/>
      <c r="R123" s="62"/>
      <c r="S123" s="62"/>
      <c r="T123" s="62"/>
    </row>
    <row r="124" spans="1:20" ht="15.75" customHeight="1" x14ac:dyDescent="0.3">
      <c r="A124" s="36"/>
      <c r="B124" s="36"/>
      <c r="C124" s="6"/>
      <c r="D124" s="36"/>
      <c r="E124" s="36"/>
      <c r="F124" s="6"/>
      <c r="G124" s="37"/>
      <c r="H124" s="36"/>
      <c r="I124" s="36"/>
      <c r="J124" s="60"/>
      <c r="L124" s="61"/>
      <c r="M124" s="61"/>
      <c r="N124" s="61"/>
      <c r="O124" s="61"/>
      <c r="P124" s="61"/>
      <c r="Q124" s="61"/>
      <c r="R124" s="62"/>
      <c r="S124" s="62"/>
      <c r="T124" s="62"/>
    </row>
    <row r="125" spans="1:20" ht="15.75" customHeight="1" x14ac:dyDescent="0.3">
      <c r="A125" s="36"/>
      <c r="B125" s="36"/>
      <c r="C125" s="6"/>
      <c r="D125" s="36"/>
      <c r="E125" s="36"/>
      <c r="F125" s="6"/>
      <c r="G125" s="37"/>
      <c r="H125" s="36"/>
      <c r="I125" s="36"/>
      <c r="J125" s="60"/>
      <c r="L125" s="61"/>
      <c r="M125" s="61"/>
      <c r="N125" s="61"/>
      <c r="O125" s="61"/>
      <c r="P125" s="61"/>
      <c r="Q125" s="61"/>
      <c r="R125" s="62"/>
      <c r="S125" s="62"/>
      <c r="T125" s="62"/>
    </row>
    <row r="126" spans="1:20" ht="15.75" customHeight="1" x14ac:dyDescent="0.3">
      <c r="A126" s="36"/>
      <c r="B126" s="36"/>
      <c r="C126" s="6"/>
      <c r="D126" s="36"/>
      <c r="E126" s="36"/>
      <c r="F126" s="6"/>
      <c r="G126" s="37"/>
      <c r="H126" s="36"/>
      <c r="I126" s="36"/>
      <c r="J126" s="60"/>
      <c r="L126" s="61"/>
      <c r="M126" s="61"/>
      <c r="N126" s="61"/>
      <c r="O126" s="61"/>
      <c r="P126" s="61"/>
      <c r="Q126" s="61"/>
      <c r="R126" s="62"/>
      <c r="S126" s="62"/>
      <c r="T126" s="62"/>
    </row>
    <row r="127" spans="1:20" ht="15.75" customHeight="1" x14ac:dyDescent="0.3">
      <c r="A127" s="36"/>
      <c r="B127" s="36"/>
      <c r="C127" s="6"/>
      <c r="D127" s="36"/>
      <c r="E127" s="36"/>
      <c r="F127" s="6"/>
      <c r="G127" s="37"/>
      <c r="H127" s="36"/>
      <c r="I127" s="36"/>
      <c r="J127" s="60"/>
      <c r="L127" s="61"/>
      <c r="M127" s="61"/>
      <c r="N127" s="61"/>
      <c r="O127" s="61"/>
      <c r="P127" s="61"/>
      <c r="Q127" s="61"/>
      <c r="R127" s="62"/>
      <c r="S127" s="62"/>
      <c r="T127" s="62"/>
    </row>
    <row r="128" spans="1:20" ht="15.75" customHeight="1" x14ac:dyDescent="0.3">
      <c r="A128" s="36"/>
      <c r="B128" s="36"/>
      <c r="C128" s="6"/>
      <c r="D128" s="36"/>
      <c r="E128" s="36"/>
      <c r="F128" s="6"/>
      <c r="G128" s="37"/>
      <c r="H128" s="36"/>
      <c r="I128" s="36"/>
      <c r="J128" s="60"/>
      <c r="L128" s="61"/>
      <c r="M128" s="61"/>
      <c r="N128" s="61"/>
      <c r="O128" s="61"/>
      <c r="P128" s="61"/>
      <c r="Q128" s="61"/>
      <c r="R128" s="62"/>
      <c r="S128" s="62"/>
      <c r="T128" s="62"/>
    </row>
    <row r="129" spans="1:20" ht="15.75" customHeight="1" x14ac:dyDescent="0.3">
      <c r="A129" s="36"/>
      <c r="B129" s="36"/>
      <c r="C129" s="6"/>
      <c r="D129" s="36"/>
      <c r="E129" s="36"/>
      <c r="F129" s="6"/>
      <c r="G129" s="37"/>
      <c r="H129" s="36"/>
      <c r="I129" s="36"/>
      <c r="J129" s="60"/>
      <c r="L129" s="61"/>
      <c r="M129" s="61"/>
      <c r="N129" s="61"/>
      <c r="O129" s="61"/>
      <c r="P129" s="61"/>
      <c r="Q129" s="61"/>
      <c r="R129" s="62"/>
      <c r="S129" s="62"/>
      <c r="T129" s="62"/>
    </row>
    <row r="130" spans="1:20" ht="15.75" customHeight="1" x14ac:dyDescent="0.3">
      <c r="A130" s="36"/>
      <c r="B130" s="36"/>
      <c r="C130" s="6"/>
      <c r="D130" s="36"/>
      <c r="E130" s="36"/>
      <c r="F130" s="6"/>
      <c r="G130" s="37"/>
      <c r="H130" s="36"/>
      <c r="I130" s="36"/>
      <c r="J130" s="60"/>
      <c r="L130" s="61"/>
      <c r="M130" s="61"/>
      <c r="N130" s="61"/>
      <c r="O130" s="61"/>
      <c r="P130" s="61"/>
      <c r="Q130" s="61"/>
      <c r="R130" s="62"/>
      <c r="S130" s="62"/>
      <c r="T130" s="62"/>
    </row>
    <row r="131" spans="1:20" ht="15.75" customHeight="1" x14ac:dyDescent="0.3">
      <c r="A131" s="36"/>
      <c r="B131" s="36"/>
      <c r="C131" s="6"/>
      <c r="D131" s="36"/>
      <c r="E131" s="36"/>
      <c r="F131" s="6"/>
      <c r="G131" s="37"/>
      <c r="H131" s="36"/>
      <c r="I131" s="36"/>
      <c r="J131" s="60"/>
      <c r="L131" s="61"/>
      <c r="M131" s="61"/>
      <c r="N131" s="61"/>
      <c r="O131" s="61"/>
      <c r="P131" s="61"/>
      <c r="Q131" s="61"/>
      <c r="R131" s="62"/>
      <c r="S131" s="62"/>
      <c r="T131" s="62"/>
    </row>
    <row r="132" spans="1:20" ht="15.75" customHeight="1" x14ac:dyDescent="0.3">
      <c r="A132" s="36"/>
      <c r="B132" s="36"/>
      <c r="C132" s="6"/>
      <c r="D132" s="36"/>
      <c r="E132" s="36"/>
      <c r="F132" s="6"/>
      <c r="G132" s="37"/>
      <c r="H132" s="36"/>
      <c r="I132" s="36"/>
      <c r="J132" s="60"/>
      <c r="L132" s="61"/>
      <c r="M132" s="61"/>
      <c r="N132" s="61"/>
      <c r="O132" s="61"/>
      <c r="P132" s="61"/>
      <c r="Q132" s="61"/>
      <c r="R132" s="62"/>
      <c r="S132" s="62"/>
      <c r="T132" s="62"/>
    </row>
    <row r="133" spans="1:20" ht="15.75" customHeight="1" x14ac:dyDescent="0.3">
      <c r="A133" s="36"/>
      <c r="B133" s="36"/>
      <c r="C133" s="6"/>
      <c r="D133" s="36"/>
      <c r="E133" s="36"/>
      <c r="F133" s="6"/>
      <c r="G133" s="37"/>
      <c r="H133" s="36"/>
      <c r="I133" s="36"/>
      <c r="J133" s="60"/>
      <c r="L133" s="61"/>
      <c r="M133" s="61"/>
      <c r="N133" s="61"/>
      <c r="O133" s="61"/>
      <c r="P133" s="61"/>
      <c r="Q133" s="61"/>
      <c r="R133" s="62"/>
      <c r="S133" s="62"/>
      <c r="T133" s="62"/>
    </row>
    <row r="134" spans="1:20" ht="15.75" customHeight="1" x14ac:dyDescent="0.3">
      <c r="A134" s="36"/>
      <c r="B134" s="36"/>
      <c r="C134" s="6"/>
      <c r="D134" s="36"/>
      <c r="E134" s="36"/>
      <c r="F134" s="6"/>
      <c r="G134" s="37"/>
      <c r="H134" s="36"/>
      <c r="I134" s="36"/>
      <c r="J134" s="60"/>
      <c r="L134" s="61"/>
      <c r="M134" s="61"/>
      <c r="N134" s="61"/>
      <c r="O134" s="61"/>
      <c r="P134" s="61"/>
      <c r="Q134" s="61"/>
      <c r="R134" s="62"/>
      <c r="S134" s="62"/>
      <c r="T134" s="62"/>
    </row>
    <row r="135" spans="1:20" ht="15.75" customHeight="1" x14ac:dyDescent="0.3">
      <c r="A135" s="36"/>
      <c r="B135" s="36"/>
      <c r="C135" s="6"/>
      <c r="D135" s="36"/>
      <c r="E135" s="36"/>
      <c r="F135" s="6"/>
      <c r="G135" s="37"/>
      <c r="H135" s="36"/>
      <c r="I135" s="36"/>
      <c r="J135" s="60"/>
      <c r="L135" s="61"/>
      <c r="M135" s="61"/>
      <c r="N135" s="61"/>
      <c r="O135" s="61"/>
      <c r="P135" s="61"/>
      <c r="Q135" s="61"/>
      <c r="R135" s="62"/>
      <c r="S135" s="62"/>
      <c r="T135" s="62"/>
    </row>
    <row r="136" spans="1:20" ht="15.75" customHeight="1" x14ac:dyDescent="0.3">
      <c r="A136" s="36"/>
      <c r="B136" s="36"/>
      <c r="C136" s="6"/>
      <c r="D136" s="36"/>
      <c r="E136" s="36"/>
      <c r="F136" s="6"/>
      <c r="G136" s="37"/>
      <c r="H136" s="36"/>
      <c r="I136" s="36"/>
      <c r="J136" s="60"/>
      <c r="L136" s="61"/>
      <c r="M136" s="61"/>
      <c r="N136" s="61"/>
      <c r="O136" s="61"/>
      <c r="P136" s="61"/>
      <c r="Q136" s="61"/>
      <c r="R136" s="62"/>
      <c r="S136" s="62"/>
      <c r="T136" s="62"/>
    </row>
    <row r="137" spans="1:20" ht="15.75" customHeight="1" x14ac:dyDescent="0.3">
      <c r="A137" s="36"/>
      <c r="B137" s="36"/>
      <c r="C137" s="6"/>
      <c r="D137" s="36"/>
      <c r="E137" s="36"/>
      <c r="F137" s="6"/>
      <c r="G137" s="37"/>
      <c r="H137" s="36"/>
      <c r="I137" s="36"/>
      <c r="J137" s="60"/>
      <c r="L137" s="61"/>
      <c r="M137" s="61"/>
      <c r="N137" s="61"/>
      <c r="O137" s="61"/>
      <c r="P137" s="61"/>
      <c r="Q137" s="61"/>
      <c r="R137" s="62"/>
      <c r="S137" s="62"/>
      <c r="T137" s="62"/>
    </row>
    <row r="138" spans="1:20" ht="15.75" customHeight="1" x14ac:dyDescent="0.3">
      <c r="A138" s="36"/>
      <c r="B138" s="36"/>
      <c r="C138" s="6"/>
      <c r="D138" s="36"/>
      <c r="E138" s="36"/>
      <c r="F138" s="6"/>
      <c r="G138" s="37"/>
      <c r="H138" s="36"/>
      <c r="I138" s="36"/>
      <c r="J138" s="60"/>
      <c r="L138" s="61"/>
      <c r="M138" s="61"/>
      <c r="N138" s="61"/>
      <c r="O138" s="61"/>
      <c r="P138" s="61"/>
      <c r="Q138" s="61"/>
      <c r="R138" s="62"/>
      <c r="S138" s="62"/>
      <c r="T138" s="62"/>
    </row>
    <row r="139" spans="1:20" ht="15.75" customHeight="1" x14ac:dyDescent="0.3">
      <c r="A139" s="36"/>
      <c r="B139" s="36"/>
      <c r="C139" s="6"/>
      <c r="D139" s="36"/>
      <c r="E139" s="36"/>
      <c r="F139" s="6"/>
      <c r="G139" s="37"/>
      <c r="H139" s="36"/>
      <c r="I139" s="36"/>
      <c r="J139" s="60"/>
      <c r="L139" s="61"/>
      <c r="M139" s="61"/>
      <c r="N139" s="61"/>
      <c r="O139" s="61"/>
      <c r="P139" s="61"/>
      <c r="Q139" s="61"/>
      <c r="R139" s="62"/>
      <c r="S139" s="62"/>
      <c r="T139" s="62"/>
    </row>
    <row r="140" spans="1:20" ht="15.75" customHeight="1" x14ac:dyDescent="0.3">
      <c r="A140" s="36"/>
      <c r="B140" s="36"/>
      <c r="C140" s="6"/>
      <c r="D140" s="36"/>
      <c r="E140" s="36"/>
      <c r="F140" s="6"/>
      <c r="G140" s="37"/>
      <c r="H140" s="36"/>
      <c r="I140" s="36"/>
      <c r="J140" s="60"/>
      <c r="L140" s="61"/>
      <c r="M140" s="61"/>
      <c r="N140" s="61"/>
      <c r="O140" s="61"/>
      <c r="P140" s="61"/>
      <c r="Q140" s="61"/>
      <c r="R140" s="62"/>
      <c r="S140" s="62"/>
      <c r="T140" s="62"/>
    </row>
    <row r="141" spans="1:20" ht="15.75" customHeight="1" x14ac:dyDescent="0.3">
      <c r="A141" s="36"/>
      <c r="B141" s="36"/>
      <c r="C141" s="6"/>
      <c r="D141" s="36"/>
      <c r="E141" s="36"/>
      <c r="F141" s="6"/>
      <c r="G141" s="37"/>
      <c r="H141" s="36"/>
      <c r="I141" s="36"/>
      <c r="J141" s="60"/>
      <c r="L141" s="61"/>
      <c r="M141" s="61"/>
      <c r="N141" s="61"/>
      <c r="O141" s="61"/>
      <c r="P141" s="61"/>
      <c r="Q141" s="61"/>
      <c r="R141" s="62"/>
      <c r="S141" s="62"/>
      <c r="T141" s="62"/>
    </row>
    <row r="142" spans="1:20" ht="15.75" customHeight="1" x14ac:dyDescent="0.3">
      <c r="A142" s="36"/>
      <c r="B142" s="36"/>
      <c r="C142" s="6"/>
      <c r="D142" s="36"/>
      <c r="E142" s="36"/>
      <c r="F142" s="6"/>
      <c r="G142" s="37"/>
      <c r="H142" s="36"/>
      <c r="I142" s="36"/>
      <c r="J142" s="60"/>
      <c r="L142" s="61"/>
      <c r="M142" s="61"/>
      <c r="N142" s="61"/>
      <c r="O142" s="61"/>
      <c r="P142" s="61"/>
      <c r="Q142" s="61"/>
      <c r="R142" s="62"/>
      <c r="S142" s="62"/>
      <c r="T142" s="62"/>
    </row>
    <row r="143" spans="1:20" ht="15.75" customHeight="1" x14ac:dyDescent="0.3">
      <c r="A143" s="36"/>
      <c r="B143" s="36"/>
      <c r="C143" s="6"/>
      <c r="D143" s="36"/>
      <c r="E143" s="36"/>
      <c r="F143" s="6"/>
      <c r="G143" s="37"/>
      <c r="H143" s="36"/>
      <c r="I143" s="36"/>
      <c r="J143" s="60"/>
      <c r="L143" s="61"/>
      <c r="M143" s="61"/>
      <c r="N143" s="61"/>
      <c r="O143" s="61"/>
      <c r="P143" s="61"/>
      <c r="Q143" s="61"/>
      <c r="R143" s="62"/>
      <c r="S143" s="62"/>
      <c r="T143" s="62"/>
    </row>
    <row r="144" spans="1:20" ht="15.75" customHeight="1" x14ac:dyDescent="0.3">
      <c r="A144" s="36"/>
      <c r="B144" s="36"/>
      <c r="C144" s="6"/>
      <c r="D144" s="36"/>
      <c r="E144" s="36"/>
      <c r="F144" s="6"/>
      <c r="G144" s="37"/>
      <c r="H144" s="36"/>
      <c r="I144" s="36"/>
      <c r="J144" s="60"/>
      <c r="L144" s="61"/>
      <c r="M144" s="61"/>
      <c r="N144" s="61"/>
      <c r="O144" s="61"/>
      <c r="P144" s="61"/>
      <c r="Q144" s="61"/>
      <c r="R144" s="62"/>
      <c r="S144" s="62"/>
      <c r="T144" s="62"/>
    </row>
    <row r="145" spans="1:20" ht="15.75" customHeight="1" x14ac:dyDescent="0.3">
      <c r="A145" s="36"/>
      <c r="B145" s="36"/>
      <c r="C145" s="6"/>
      <c r="D145" s="36"/>
      <c r="E145" s="36"/>
      <c r="F145" s="6"/>
      <c r="G145" s="37"/>
      <c r="H145" s="36"/>
      <c r="I145" s="36"/>
      <c r="J145" s="60"/>
      <c r="L145" s="61"/>
      <c r="M145" s="61"/>
      <c r="N145" s="61"/>
      <c r="O145" s="61"/>
      <c r="P145" s="61"/>
      <c r="Q145" s="61"/>
      <c r="R145" s="62"/>
      <c r="S145" s="62"/>
      <c r="T145" s="62"/>
    </row>
    <row r="146" spans="1:20" ht="15.75" customHeight="1" x14ac:dyDescent="0.3">
      <c r="A146" s="36"/>
      <c r="B146" s="36"/>
      <c r="C146" s="6"/>
      <c r="D146" s="36"/>
      <c r="E146" s="36"/>
      <c r="F146" s="6"/>
      <c r="G146" s="37"/>
      <c r="H146" s="36"/>
      <c r="I146" s="36"/>
      <c r="J146" s="60"/>
      <c r="L146" s="61"/>
      <c r="M146" s="61"/>
      <c r="N146" s="61"/>
      <c r="O146" s="61"/>
      <c r="P146" s="61"/>
      <c r="Q146" s="61"/>
      <c r="R146" s="62"/>
      <c r="S146" s="62"/>
      <c r="T146" s="62"/>
    </row>
    <row r="147" spans="1:20" ht="15.75" customHeight="1" x14ac:dyDescent="0.3">
      <c r="A147" s="36"/>
      <c r="B147" s="36"/>
      <c r="C147" s="6"/>
      <c r="D147" s="36"/>
      <c r="E147" s="36"/>
      <c r="F147" s="6"/>
      <c r="G147" s="37"/>
      <c r="H147" s="36"/>
      <c r="I147" s="36"/>
      <c r="J147" s="60"/>
      <c r="L147" s="61"/>
      <c r="M147" s="61"/>
      <c r="N147" s="61"/>
      <c r="O147" s="61"/>
      <c r="P147" s="61"/>
      <c r="Q147" s="61"/>
      <c r="R147" s="62"/>
      <c r="S147" s="62"/>
      <c r="T147" s="62"/>
    </row>
    <row r="148" spans="1:20" ht="15.75" customHeight="1" x14ac:dyDescent="0.3">
      <c r="A148" s="36"/>
      <c r="B148" s="36"/>
      <c r="C148" s="6"/>
      <c r="D148" s="36"/>
      <c r="E148" s="36"/>
      <c r="F148" s="6"/>
      <c r="G148" s="37"/>
      <c r="H148" s="36"/>
      <c r="I148" s="36"/>
      <c r="J148" s="60"/>
      <c r="L148" s="61"/>
      <c r="M148" s="61"/>
      <c r="N148" s="61"/>
      <c r="O148" s="61"/>
      <c r="P148" s="61"/>
      <c r="Q148" s="61"/>
      <c r="R148" s="62"/>
      <c r="S148" s="62"/>
      <c r="T148" s="62"/>
    </row>
    <row r="149" spans="1:20" ht="15.75" customHeight="1" x14ac:dyDescent="0.3">
      <c r="A149" s="36"/>
      <c r="B149" s="36"/>
      <c r="C149" s="6"/>
      <c r="D149" s="36"/>
      <c r="E149" s="36"/>
      <c r="F149" s="6"/>
      <c r="G149" s="37"/>
      <c r="H149" s="36"/>
      <c r="I149" s="36"/>
      <c r="J149" s="60"/>
      <c r="L149" s="61"/>
      <c r="M149" s="61"/>
      <c r="N149" s="61"/>
      <c r="O149" s="61"/>
      <c r="P149" s="61"/>
      <c r="Q149" s="61"/>
      <c r="R149" s="62"/>
      <c r="S149" s="62"/>
      <c r="T149" s="62"/>
    </row>
    <row r="150" spans="1:20" ht="15.75" customHeight="1" x14ac:dyDescent="0.3">
      <c r="A150" s="36"/>
      <c r="B150" s="36"/>
      <c r="C150" s="6"/>
      <c r="D150" s="36"/>
      <c r="E150" s="36"/>
      <c r="F150" s="6"/>
      <c r="G150" s="37"/>
      <c r="H150" s="36"/>
      <c r="I150" s="36"/>
      <c r="J150" s="60"/>
      <c r="L150" s="61"/>
      <c r="M150" s="61"/>
      <c r="N150" s="61"/>
      <c r="O150" s="61"/>
      <c r="P150" s="61"/>
      <c r="Q150" s="61"/>
      <c r="R150" s="62"/>
      <c r="S150" s="62"/>
      <c r="T150" s="62"/>
    </row>
    <row r="151" spans="1:20" ht="15.75" customHeight="1" x14ac:dyDescent="0.3">
      <c r="A151" s="36"/>
      <c r="B151" s="36"/>
      <c r="C151" s="6"/>
      <c r="D151" s="36"/>
      <c r="E151" s="36"/>
      <c r="F151" s="6"/>
      <c r="G151" s="37"/>
      <c r="H151" s="36"/>
      <c r="I151" s="36"/>
      <c r="J151" s="60"/>
      <c r="L151" s="61"/>
      <c r="M151" s="61"/>
      <c r="N151" s="61"/>
      <c r="O151" s="61"/>
      <c r="P151" s="61"/>
      <c r="Q151" s="61"/>
      <c r="R151" s="62"/>
      <c r="S151" s="62"/>
      <c r="T151" s="62"/>
    </row>
    <row r="152" spans="1:20" ht="15.75" customHeight="1" x14ac:dyDescent="0.3">
      <c r="A152" s="36"/>
      <c r="B152" s="36"/>
      <c r="C152" s="6"/>
      <c r="D152" s="36"/>
      <c r="E152" s="36"/>
      <c r="F152" s="6"/>
      <c r="G152" s="37"/>
      <c r="H152" s="36"/>
      <c r="I152" s="36"/>
      <c r="J152" s="60"/>
      <c r="L152" s="61"/>
      <c r="M152" s="61"/>
      <c r="N152" s="61"/>
      <c r="O152" s="61"/>
      <c r="P152" s="61"/>
      <c r="Q152" s="61"/>
      <c r="R152" s="62"/>
      <c r="S152" s="62"/>
      <c r="T152" s="62"/>
    </row>
    <row r="153" spans="1:20" ht="15.75" customHeight="1" x14ac:dyDescent="0.3">
      <c r="A153" s="36"/>
      <c r="B153" s="36"/>
      <c r="C153" s="6"/>
      <c r="D153" s="36"/>
      <c r="E153" s="36"/>
      <c r="F153" s="6"/>
      <c r="G153" s="37"/>
      <c r="H153" s="36"/>
      <c r="I153" s="36"/>
      <c r="J153" s="60"/>
      <c r="L153" s="61"/>
      <c r="M153" s="61"/>
      <c r="N153" s="61"/>
      <c r="O153" s="61"/>
      <c r="P153" s="61"/>
      <c r="Q153" s="61"/>
      <c r="R153" s="62"/>
      <c r="S153" s="62"/>
      <c r="T153" s="62"/>
    </row>
    <row r="154" spans="1:20" ht="15.75" customHeight="1" x14ac:dyDescent="0.3">
      <c r="A154" s="36"/>
      <c r="B154" s="36"/>
      <c r="C154" s="6"/>
      <c r="D154" s="36"/>
      <c r="E154" s="36"/>
      <c r="F154" s="6"/>
      <c r="G154" s="37"/>
      <c r="H154" s="36"/>
      <c r="I154" s="36"/>
      <c r="J154" s="60"/>
      <c r="L154" s="61"/>
      <c r="M154" s="61"/>
      <c r="N154" s="61"/>
      <c r="O154" s="61"/>
      <c r="P154" s="61"/>
      <c r="Q154" s="61"/>
      <c r="R154" s="62"/>
      <c r="S154" s="62"/>
      <c r="T154" s="62"/>
    </row>
    <row r="155" spans="1:20" ht="15.75" customHeight="1" x14ac:dyDescent="0.3">
      <c r="A155" s="36"/>
      <c r="B155" s="36"/>
      <c r="C155" s="6"/>
      <c r="D155" s="36"/>
      <c r="E155" s="36"/>
      <c r="F155" s="6"/>
      <c r="G155" s="37"/>
      <c r="H155" s="36"/>
      <c r="I155" s="36"/>
      <c r="J155" s="60"/>
      <c r="L155" s="61"/>
      <c r="M155" s="61"/>
      <c r="N155" s="61"/>
      <c r="O155" s="61"/>
      <c r="P155" s="61"/>
      <c r="Q155" s="61"/>
      <c r="R155" s="62"/>
      <c r="S155" s="62"/>
      <c r="T155" s="62"/>
    </row>
    <row r="156" spans="1:20" ht="15.75" customHeight="1" x14ac:dyDescent="0.3">
      <c r="A156" s="36"/>
      <c r="B156" s="36"/>
      <c r="C156" s="6"/>
      <c r="D156" s="36"/>
      <c r="E156" s="36"/>
      <c r="F156" s="6"/>
      <c r="G156" s="37"/>
      <c r="H156" s="36"/>
      <c r="I156" s="36"/>
      <c r="J156" s="60"/>
      <c r="L156" s="61"/>
      <c r="M156" s="61"/>
      <c r="N156" s="61"/>
      <c r="O156" s="61"/>
      <c r="P156" s="61"/>
      <c r="Q156" s="61"/>
      <c r="R156" s="62"/>
      <c r="S156" s="62"/>
      <c r="T156" s="62"/>
    </row>
    <row r="157" spans="1:20" ht="15.75" customHeight="1" x14ac:dyDescent="0.3">
      <c r="A157" s="36"/>
      <c r="B157" s="36"/>
      <c r="C157" s="6"/>
      <c r="D157" s="36"/>
      <c r="E157" s="36"/>
      <c r="F157" s="6"/>
      <c r="G157" s="37"/>
      <c r="H157" s="36"/>
      <c r="I157" s="36"/>
      <c r="J157" s="60"/>
      <c r="L157" s="61"/>
      <c r="M157" s="61"/>
      <c r="N157" s="61"/>
      <c r="O157" s="61"/>
      <c r="P157" s="61"/>
      <c r="Q157" s="61"/>
      <c r="R157" s="62"/>
      <c r="S157" s="62"/>
      <c r="T157" s="62"/>
    </row>
    <row r="158" spans="1:20" ht="15.75" customHeight="1" x14ac:dyDescent="0.3">
      <c r="A158" s="36"/>
      <c r="B158" s="36"/>
      <c r="C158" s="6"/>
      <c r="D158" s="36"/>
      <c r="E158" s="36"/>
      <c r="F158" s="6"/>
      <c r="G158" s="37"/>
      <c r="H158" s="36"/>
      <c r="I158" s="36"/>
      <c r="J158" s="60"/>
      <c r="L158" s="61"/>
      <c r="M158" s="61"/>
      <c r="N158" s="61"/>
      <c r="O158" s="61"/>
      <c r="P158" s="61"/>
      <c r="Q158" s="61"/>
      <c r="R158" s="62"/>
      <c r="S158" s="62"/>
      <c r="T158" s="62"/>
    </row>
    <row r="159" spans="1:20" ht="15.75" customHeight="1" x14ac:dyDescent="0.3">
      <c r="A159" s="36"/>
      <c r="B159" s="36"/>
      <c r="C159" s="6"/>
      <c r="D159" s="36"/>
      <c r="E159" s="36"/>
      <c r="F159" s="6"/>
      <c r="G159" s="37"/>
      <c r="H159" s="36"/>
      <c r="I159" s="36"/>
      <c r="J159" s="60"/>
      <c r="L159" s="61"/>
      <c r="M159" s="61"/>
      <c r="N159" s="61"/>
      <c r="O159" s="61"/>
      <c r="P159" s="61"/>
      <c r="Q159" s="61"/>
      <c r="R159" s="62"/>
      <c r="S159" s="62"/>
      <c r="T159" s="62"/>
    </row>
    <row r="160" spans="1:20" ht="15.75" customHeight="1" x14ac:dyDescent="0.3">
      <c r="A160" s="36"/>
      <c r="B160" s="36"/>
      <c r="C160" s="6"/>
      <c r="D160" s="36"/>
      <c r="E160" s="36"/>
      <c r="F160" s="6"/>
      <c r="G160" s="37"/>
      <c r="H160" s="36"/>
      <c r="I160" s="36"/>
      <c r="J160" s="60"/>
      <c r="L160" s="61"/>
      <c r="M160" s="61"/>
      <c r="N160" s="61"/>
      <c r="O160" s="61"/>
      <c r="P160" s="61"/>
      <c r="Q160" s="61"/>
      <c r="R160" s="62"/>
      <c r="S160" s="62"/>
      <c r="T160" s="62"/>
    </row>
    <row r="161" spans="1:20" ht="15.75" customHeight="1" x14ac:dyDescent="0.3">
      <c r="A161" s="36"/>
      <c r="B161" s="36"/>
      <c r="C161" s="6"/>
      <c r="D161" s="36"/>
      <c r="E161" s="36"/>
      <c r="F161" s="6"/>
      <c r="G161" s="37"/>
      <c r="H161" s="36"/>
      <c r="I161" s="36"/>
      <c r="J161" s="60"/>
      <c r="L161" s="61"/>
      <c r="M161" s="61"/>
      <c r="N161" s="61"/>
      <c r="O161" s="61"/>
      <c r="P161" s="61"/>
      <c r="Q161" s="61"/>
      <c r="R161" s="62"/>
      <c r="S161" s="62"/>
      <c r="T161" s="62"/>
    </row>
    <row r="162" spans="1:20" ht="15.75" customHeight="1" x14ac:dyDescent="0.3">
      <c r="A162" s="36"/>
      <c r="B162" s="36"/>
      <c r="C162" s="6"/>
      <c r="D162" s="36"/>
      <c r="E162" s="36"/>
      <c r="F162" s="6"/>
      <c r="G162" s="37"/>
      <c r="H162" s="36"/>
      <c r="I162" s="36"/>
      <c r="J162" s="60"/>
      <c r="L162" s="61"/>
      <c r="M162" s="61"/>
      <c r="N162" s="61"/>
      <c r="O162" s="61"/>
      <c r="P162" s="61"/>
      <c r="Q162" s="61"/>
      <c r="R162" s="62"/>
      <c r="S162" s="62"/>
      <c r="T162" s="62"/>
    </row>
    <row r="163" spans="1:20" ht="15.75" customHeight="1" x14ac:dyDescent="0.3">
      <c r="A163" s="36"/>
      <c r="B163" s="36"/>
      <c r="C163" s="6"/>
      <c r="D163" s="36"/>
      <c r="E163" s="36"/>
      <c r="F163" s="6"/>
      <c r="G163" s="37"/>
      <c r="H163" s="36"/>
      <c r="I163" s="36"/>
      <c r="J163" s="60"/>
      <c r="L163" s="61"/>
      <c r="M163" s="61"/>
      <c r="N163" s="61"/>
      <c r="O163" s="61"/>
      <c r="P163" s="61"/>
      <c r="Q163" s="61"/>
      <c r="R163" s="62"/>
      <c r="S163" s="62"/>
      <c r="T163" s="62"/>
    </row>
    <row r="164" spans="1:20" ht="15.75" customHeight="1" x14ac:dyDescent="0.3">
      <c r="A164" s="36"/>
      <c r="B164" s="36"/>
      <c r="C164" s="6"/>
      <c r="D164" s="36"/>
      <c r="E164" s="36"/>
      <c r="F164" s="6"/>
      <c r="G164" s="37"/>
      <c r="H164" s="36"/>
      <c r="I164" s="36"/>
      <c r="J164" s="60"/>
      <c r="L164" s="61"/>
      <c r="M164" s="61"/>
      <c r="N164" s="61"/>
      <c r="O164" s="61"/>
      <c r="P164" s="61"/>
      <c r="Q164" s="61"/>
      <c r="R164" s="62"/>
      <c r="S164" s="62"/>
      <c r="T164" s="62"/>
    </row>
    <row r="165" spans="1:20" ht="15.75" customHeight="1" x14ac:dyDescent="0.3">
      <c r="A165" s="36"/>
      <c r="B165" s="36"/>
      <c r="C165" s="6"/>
      <c r="D165" s="36"/>
      <c r="E165" s="36"/>
      <c r="F165" s="6"/>
      <c r="G165" s="37"/>
      <c r="H165" s="36"/>
      <c r="I165" s="36"/>
      <c r="J165" s="60"/>
      <c r="L165" s="61"/>
      <c r="M165" s="61"/>
      <c r="N165" s="61"/>
      <c r="O165" s="61"/>
      <c r="P165" s="61"/>
      <c r="Q165" s="61"/>
      <c r="R165" s="62"/>
      <c r="S165" s="62"/>
      <c r="T165" s="62"/>
    </row>
    <row r="166" spans="1:20" ht="15.75" customHeight="1" x14ac:dyDescent="0.3">
      <c r="A166" s="36"/>
      <c r="B166" s="36"/>
      <c r="C166" s="6"/>
      <c r="D166" s="36"/>
      <c r="E166" s="36"/>
      <c r="F166" s="6"/>
      <c r="G166" s="37"/>
      <c r="H166" s="36"/>
      <c r="I166" s="36"/>
      <c r="J166" s="60"/>
      <c r="L166" s="61"/>
      <c r="M166" s="61"/>
      <c r="N166" s="61"/>
      <c r="O166" s="61"/>
      <c r="P166" s="61"/>
      <c r="Q166" s="61"/>
      <c r="R166" s="62"/>
      <c r="S166" s="62"/>
      <c r="T166" s="62"/>
    </row>
    <row r="167" spans="1:20" ht="15.75" customHeight="1" x14ac:dyDescent="0.3">
      <c r="A167" s="36"/>
      <c r="B167" s="36"/>
      <c r="C167" s="6"/>
      <c r="D167" s="36"/>
      <c r="E167" s="36"/>
      <c r="F167" s="6"/>
      <c r="G167" s="37"/>
      <c r="H167" s="36"/>
      <c r="I167" s="36"/>
      <c r="J167" s="60"/>
      <c r="L167" s="61"/>
      <c r="M167" s="61"/>
      <c r="N167" s="61"/>
      <c r="O167" s="61"/>
      <c r="P167" s="61"/>
      <c r="Q167" s="61"/>
      <c r="R167" s="62"/>
      <c r="S167" s="62"/>
      <c r="T167" s="62"/>
    </row>
    <row r="168" spans="1:20" ht="15.75" customHeight="1" x14ac:dyDescent="0.3">
      <c r="A168" s="36"/>
      <c r="B168" s="36"/>
      <c r="C168" s="6"/>
      <c r="D168" s="36"/>
      <c r="E168" s="36"/>
      <c r="F168" s="6"/>
      <c r="G168" s="37"/>
      <c r="H168" s="36"/>
      <c r="I168" s="36"/>
      <c r="J168" s="60"/>
      <c r="L168" s="61"/>
      <c r="M168" s="61"/>
      <c r="N168" s="61"/>
      <c r="O168" s="61"/>
      <c r="P168" s="61"/>
      <c r="Q168" s="61"/>
      <c r="R168" s="62"/>
      <c r="S168" s="62"/>
      <c r="T168" s="62"/>
    </row>
    <row r="169" spans="1:20" ht="15.75" customHeight="1" x14ac:dyDescent="0.3">
      <c r="A169" s="36"/>
      <c r="B169" s="36"/>
      <c r="C169" s="6"/>
      <c r="D169" s="36"/>
      <c r="E169" s="36"/>
      <c r="F169" s="6"/>
      <c r="G169" s="37"/>
      <c r="H169" s="36"/>
      <c r="I169" s="36"/>
      <c r="J169" s="60"/>
      <c r="L169" s="61"/>
      <c r="M169" s="61"/>
      <c r="N169" s="61"/>
      <c r="O169" s="61"/>
      <c r="P169" s="61"/>
      <c r="Q169" s="61"/>
      <c r="R169" s="62"/>
      <c r="S169" s="62"/>
      <c r="T169" s="62"/>
    </row>
    <row r="170" spans="1:20" ht="15.75" customHeight="1" x14ac:dyDescent="0.3">
      <c r="A170" s="36"/>
      <c r="B170" s="36"/>
      <c r="C170" s="6"/>
      <c r="D170" s="36"/>
      <c r="E170" s="36"/>
      <c r="F170" s="6"/>
      <c r="G170" s="37"/>
      <c r="H170" s="36"/>
      <c r="I170" s="36"/>
      <c r="J170" s="60"/>
      <c r="L170" s="61"/>
      <c r="M170" s="61"/>
      <c r="N170" s="61"/>
      <c r="O170" s="61"/>
      <c r="P170" s="61"/>
      <c r="Q170" s="61"/>
      <c r="R170" s="62"/>
      <c r="S170" s="62"/>
      <c r="T170" s="62"/>
    </row>
    <row r="171" spans="1:20" ht="15.75" customHeight="1" x14ac:dyDescent="0.3">
      <c r="A171" s="36"/>
      <c r="B171" s="36"/>
      <c r="C171" s="6"/>
      <c r="D171" s="36"/>
      <c r="E171" s="36"/>
      <c r="F171" s="6"/>
      <c r="G171" s="37"/>
      <c r="H171" s="36"/>
      <c r="I171" s="36"/>
      <c r="J171" s="60"/>
      <c r="L171" s="61"/>
      <c r="M171" s="61"/>
      <c r="N171" s="61"/>
      <c r="O171" s="61"/>
      <c r="P171" s="61"/>
      <c r="Q171" s="61"/>
      <c r="R171" s="62"/>
      <c r="S171" s="62"/>
      <c r="T171" s="62"/>
    </row>
    <row r="172" spans="1:20" ht="15.75" customHeight="1" x14ac:dyDescent="0.3">
      <c r="A172" s="36"/>
      <c r="B172" s="36"/>
      <c r="C172" s="6"/>
      <c r="D172" s="36"/>
      <c r="E172" s="36"/>
      <c r="F172" s="6"/>
      <c r="G172" s="37"/>
      <c r="H172" s="36"/>
      <c r="I172" s="36"/>
      <c r="J172" s="60"/>
      <c r="L172" s="61"/>
      <c r="M172" s="61"/>
      <c r="N172" s="61"/>
      <c r="O172" s="61"/>
      <c r="P172" s="61"/>
      <c r="Q172" s="61"/>
      <c r="R172" s="62"/>
      <c r="S172" s="62"/>
      <c r="T172" s="62"/>
    </row>
    <row r="173" spans="1:20" ht="15.75" customHeight="1" x14ac:dyDescent="0.3">
      <c r="A173" s="36"/>
      <c r="B173" s="36"/>
      <c r="C173" s="6"/>
      <c r="D173" s="36"/>
      <c r="E173" s="36"/>
      <c r="F173" s="6"/>
      <c r="G173" s="37"/>
      <c r="H173" s="36"/>
      <c r="I173" s="36"/>
      <c r="J173" s="60"/>
      <c r="L173" s="61"/>
      <c r="M173" s="61"/>
      <c r="N173" s="61"/>
      <c r="O173" s="61"/>
      <c r="P173" s="61"/>
      <c r="Q173" s="61"/>
      <c r="R173" s="62"/>
      <c r="S173" s="62"/>
      <c r="T173" s="62"/>
    </row>
    <row r="174" spans="1:20" ht="15.75" customHeight="1" x14ac:dyDescent="0.3">
      <c r="A174" s="36"/>
      <c r="B174" s="36"/>
      <c r="C174" s="6"/>
      <c r="D174" s="36"/>
      <c r="E174" s="36"/>
      <c r="F174" s="6"/>
      <c r="G174" s="37"/>
      <c r="H174" s="36"/>
      <c r="I174" s="36"/>
      <c r="J174" s="60"/>
      <c r="L174" s="61"/>
      <c r="M174" s="61"/>
      <c r="N174" s="61"/>
      <c r="O174" s="61"/>
      <c r="P174" s="61"/>
      <c r="Q174" s="61"/>
      <c r="R174" s="62"/>
      <c r="S174" s="62"/>
      <c r="T174" s="62"/>
    </row>
    <row r="175" spans="1:20" ht="15.75" customHeight="1" x14ac:dyDescent="0.3">
      <c r="A175" s="36"/>
      <c r="B175" s="36"/>
      <c r="C175" s="6"/>
      <c r="D175" s="36"/>
      <c r="E175" s="36"/>
      <c r="F175" s="6"/>
      <c r="G175" s="37"/>
      <c r="H175" s="36"/>
      <c r="I175" s="36"/>
      <c r="J175" s="60"/>
      <c r="L175" s="61"/>
      <c r="M175" s="61"/>
      <c r="N175" s="61"/>
      <c r="O175" s="61"/>
      <c r="P175" s="61"/>
      <c r="Q175" s="61"/>
      <c r="R175" s="62"/>
      <c r="S175" s="62"/>
      <c r="T175" s="62"/>
    </row>
    <row r="176" spans="1:20" ht="15.75" customHeight="1" x14ac:dyDescent="0.3">
      <c r="A176" s="36"/>
      <c r="B176" s="36"/>
      <c r="C176" s="6"/>
      <c r="D176" s="36"/>
      <c r="E176" s="36"/>
      <c r="F176" s="6"/>
      <c r="G176" s="37"/>
      <c r="H176" s="36"/>
      <c r="I176" s="36"/>
      <c r="J176" s="60"/>
      <c r="L176" s="61"/>
      <c r="M176" s="61"/>
      <c r="N176" s="61"/>
      <c r="O176" s="61"/>
      <c r="P176" s="61"/>
      <c r="Q176" s="61"/>
      <c r="R176" s="62"/>
      <c r="S176" s="62"/>
      <c r="T176" s="62"/>
    </row>
    <row r="177" spans="1:20" ht="15.75" customHeight="1" x14ac:dyDescent="0.3">
      <c r="A177" s="36"/>
      <c r="B177" s="36"/>
      <c r="C177" s="6"/>
      <c r="D177" s="36"/>
      <c r="E177" s="36"/>
      <c r="F177" s="6"/>
      <c r="G177" s="37"/>
      <c r="H177" s="36"/>
      <c r="I177" s="36"/>
      <c r="J177" s="60"/>
      <c r="L177" s="61"/>
      <c r="M177" s="61"/>
      <c r="N177" s="61"/>
      <c r="O177" s="61"/>
      <c r="P177" s="61"/>
      <c r="Q177" s="61"/>
      <c r="R177" s="62"/>
      <c r="S177" s="62"/>
      <c r="T177" s="62"/>
    </row>
    <row r="178" spans="1:20" ht="15.75" customHeight="1" x14ac:dyDescent="0.3">
      <c r="A178" s="36"/>
      <c r="B178" s="36"/>
      <c r="C178" s="6"/>
      <c r="D178" s="36"/>
      <c r="E178" s="36"/>
      <c r="F178" s="6"/>
      <c r="G178" s="37"/>
      <c r="H178" s="36"/>
      <c r="I178" s="36"/>
      <c r="J178" s="60"/>
      <c r="L178" s="61"/>
      <c r="M178" s="61"/>
      <c r="N178" s="61"/>
      <c r="O178" s="61"/>
      <c r="P178" s="61"/>
      <c r="Q178" s="61"/>
      <c r="R178" s="62"/>
      <c r="S178" s="62"/>
      <c r="T178" s="62"/>
    </row>
    <row r="179" spans="1:20" ht="15.75" customHeight="1" x14ac:dyDescent="0.3">
      <c r="A179" s="36"/>
      <c r="B179" s="36"/>
      <c r="C179" s="6"/>
      <c r="D179" s="36"/>
      <c r="E179" s="36"/>
      <c r="F179" s="6"/>
      <c r="G179" s="37"/>
      <c r="H179" s="36"/>
      <c r="I179" s="36"/>
      <c r="J179" s="60"/>
      <c r="L179" s="61"/>
      <c r="M179" s="61"/>
      <c r="N179" s="61"/>
      <c r="O179" s="61"/>
      <c r="P179" s="61"/>
      <c r="Q179" s="61"/>
      <c r="R179" s="62"/>
      <c r="S179" s="62"/>
      <c r="T179" s="62"/>
    </row>
    <row r="180" spans="1:20" ht="15.75" customHeight="1" x14ac:dyDescent="0.3">
      <c r="A180" s="36"/>
      <c r="B180" s="36"/>
      <c r="C180" s="6"/>
      <c r="D180" s="36"/>
      <c r="E180" s="36"/>
      <c r="F180" s="6"/>
      <c r="G180" s="37"/>
      <c r="H180" s="36"/>
      <c r="I180" s="36"/>
      <c r="J180" s="60"/>
      <c r="L180" s="61"/>
      <c r="M180" s="61"/>
      <c r="N180" s="61"/>
      <c r="O180" s="61"/>
      <c r="P180" s="61"/>
      <c r="Q180" s="61"/>
      <c r="R180" s="62"/>
      <c r="S180" s="62"/>
      <c r="T180" s="62"/>
    </row>
    <row r="181" spans="1:20" ht="15.75" customHeight="1" x14ac:dyDescent="0.3">
      <c r="A181" s="36"/>
      <c r="B181" s="36"/>
      <c r="C181" s="6"/>
      <c r="D181" s="36"/>
      <c r="E181" s="36"/>
      <c r="F181" s="6"/>
      <c r="G181" s="37"/>
      <c r="H181" s="36"/>
      <c r="I181" s="36"/>
      <c r="J181" s="60"/>
      <c r="L181" s="61"/>
      <c r="M181" s="61"/>
      <c r="N181" s="61"/>
      <c r="O181" s="61"/>
      <c r="P181" s="61"/>
      <c r="Q181" s="61"/>
      <c r="R181" s="62"/>
      <c r="S181" s="62"/>
      <c r="T181" s="62"/>
    </row>
    <row r="182" spans="1:20" ht="15.75" customHeight="1" x14ac:dyDescent="0.3">
      <c r="A182" s="36"/>
      <c r="B182" s="36"/>
      <c r="C182" s="6"/>
      <c r="D182" s="36"/>
      <c r="E182" s="36"/>
      <c r="F182" s="6"/>
      <c r="G182" s="37"/>
      <c r="H182" s="36"/>
      <c r="I182" s="36"/>
      <c r="J182" s="60"/>
      <c r="L182" s="61"/>
      <c r="M182" s="61"/>
      <c r="N182" s="61"/>
      <c r="O182" s="61"/>
      <c r="P182" s="61"/>
      <c r="Q182" s="61"/>
      <c r="R182" s="62"/>
      <c r="S182" s="62"/>
      <c r="T182" s="62"/>
    </row>
    <row r="183" spans="1:20" ht="15.75" customHeight="1" x14ac:dyDescent="0.3">
      <c r="A183" s="36"/>
      <c r="B183" s="36"/>
      <c r="C183" s="6"/>
      <c r="D183" s="36"/>
      <c r="E183" s="36"/>
      <c r="F183" s="6"/>
      <c r="G183" s="37"/>
      <c r="H183" s="36"/>
      <c r="I183" s="36"/>
      <c r="J183" s="60"/>
      <c r="L183" s="61"/>
      <c r="M183" s="61"/>
      <c r="N183" s="61"/>
      <c r="O183" s="61"/>
      <c r="P183" s="61"/>
      <c r="Q183" s="61"/>
      <c r="R183" s="62"/>
      <c r="S183" s="62"/>
      <c r="T183" s="62"/>
    </row>
    <row r="184" spans="1:20" ht="15.75" customHeight="1" x14ac:dyDescent="0.3">
      <c r="A184" s="36"/>
      <c r="B184" s="36"/>
      <c r="C184" s="6"/>
      <c r="D184" s="36"/>
      <c r="E184" s="36"/>
      <c r="F184" s="6"/>
      <c r="G184" s="37"/>
      <c r="H184" s="36"/>
      <c r="I184" s="36"/>
      <c r="J184" s="60"/>
      <c r="L184" s="61"/>
      <c r="M184" s="61"/>
      <c r="N184" s="61"/>
      <c r="O184" s="61"/>
      <c r="P184" s="61"/>
      <c r="Q184" s="61"/>
      <c r="R184" s="62"/>
      <c r="S184" s="62"/>
      <c r="T184" s="62"/>
    </row>
    <row r="185" spans="1:20" ht="15.75" customHeight="1" x14ac:dyDescent="0.3">
      <c r="A185" s="36"/>
      <c r="B185" s="36"/>
      <c r="C185" s="6"/>
      <c r="D185" s="36"/>
      <c r="E185" s="36"/>
      <c r="F185" s="6"/>
      <c r="G185" s="37"/>
      <c r="H185" s="36"/>
      <c r="I185" s="36"/>
      <c r="J185" s="60"/>
      <c r="L185" s="61"/>
      <c r="M185" s="61"/>
      <c r="N185" s="61"/>
      <c r="O185" s="61"/>
      <c r="P185" s="61"/>
      <c r="Q185" s="61"/>
      <c r="R185" s="62"/>
      <c r="S185" s="62"/>
      <c r="T185" s="62"/>
    </row>
    <row r="186" spans="1:20" ht="15.75" customHeight="1" x14ac:dyDescent="0.3">
      <c r="A186" s="36"/>
      <c r="B186" s="36"/>
      <c r="C186" s="6"/>
      <c r="D186" s="36"/>
      <c r="E186" s="36"/>
      <c r="F186" s="6"/>
      <c r="G186" s="37"/>
      <c r="H186" s="36"/>
      <c r="I186" s="36"/>
      <c r="J186" s="60"/>
      <c r="L186" s="61"/>
      <c r="M186" s="61"/>
      <c r="N186" s="61"/>
      <c r="O186" s="61"/>
      <c r="P186" s="61"/>
      <c r="Q186" s="61"/>
      <c r="R186" s="62"/>
      <c r="S186" s="62"/>
      <c r="T186" s="62"/>
    </row>
    <row r="187" spans="1:20" ht="15.75" customHeight="1" x14ac:dyDescent="0.3">
      <c r="A187" s="36"/>
      <c r="B187" s="36"/>
      <c r="C187" s="6"/>
      <c r="D187" s="36"/>
      <c r="E187" s="36"/>
      <c r="F187" s="6"/>
      <c r="G187" s="37"/>
      <c r="H187" s="36"/>
      <c r="I187" s="36"/>
      <c r="J187" s="60"/>
      <c r="L187" s="61"/>
      <c r="M187" s="61"/>
      <c r="N187" s="61"/>
      <c r="O187" s="61"/>
      <c r="P187" s="61"/>
      <c r="Q187" s="61"/>
      <c r="R187" s="62"/>
      <c r="S187" s="62"/>
      <c r="T187" s="62"/>
    </row>
    <row r="188" spans="1:20" ht="15.75" customHeight="1" x14ac:dyDescent="0.3">
      <c r="A188" s="36"/>
      <c r="B188" s="36"/>
      <c r="C188" s="6"/>
      <c r="D188" s="36"/>
      <c r="E188" s="36"/>
      <c r="F188" s="6"/>
      <c r="G188" s="37"/>
      <c r="H188" s="36"/>
      <c r="I188" s="36"/>
      <c r="J188" s="60"/>
      <c r="L188" s="61"/>
      <c r="M188" s="61"/>
      <c r="N188" s="61"/>
      <c r="O188" s="61"/>
      <c r="P188" s="61"/>
      <c r="Q188" s="61"/>
      <c r="R188" s="62"/>
      <c r="S188" s="62"/>
      <c r="T188" s="62"/>
    </row>
    <row r="189" spans="1:20" ht="15.75" customHeight="1" x14ac:dyDescent="0.3">
      <c r="A189" s="36"/>
      <c r="B189" s="36"/>
      <c r="C189" s="6"/>
      <c r="D189" s="36"/>
      <c r="E189" s="36"/>
      <c r="F189" s="6"/>
      <c r="G189" s="37"/>
      <c r="H189" s="36"/>
      <c r="I189" s="36"/>
      <c r="J189" s="60"/>
      <c r="L189" s="61"/>
      <c r="M189" s="61"/>
      <c r="N189" s="61"/>
      <c r="O189" s="61"/>
      <c r="P189" s="61"/>
      <c r="Q189" s="61"/>
      <c r="R189" s="62"/>
      <c r="S189" s="62"/>
      <c r="T189" s="62"/>
    </row>
    <row r="190" spans="1:20" ht="15.75" customHeight="1" x14ac:dyDescent="0.3">
      <c r="A190" s="36"/>
      <c r="B190" s="36"/>
      <c r="C190" s="6"/>
      <c r="D190" s="36"/>
      <c r="E190" s="36"/>
      <c r="F190" s="6"/>
      <c r="G190" s="37"/>
      <c r="H190" s="36"/>
      <c r="I190" s="36"/>
      <c r="J190" s="60"/>
      <c r="L190" s="61"/>
      <c r="M190" s="61"/>
      <c r="N190" s="61"/>
      <c r="O190" s="61"/>
      <c r="P190" s="61"/>
      <c r="Q190" s="61"/>
      <c r="R190" s="62"/>
      <c r="S190" s="62"/>
      <c r="T190" s="62"/>
    </row>
    <row r="191" spans="1:20" ht="15.75" customHeight="1" x14ac:dyDescent="0.3">
      <c r="A191" s="36"/>
      <c r="B191" s="36"/>
      <c r="C191" s="6"/>
      <c r="D191" s="36"/>
      <c r="E191" s="36"/>
      <c r="F191" s="6"/>
      <c r="G191" s="37"/>
      <c r="H191" s="36"/>
      <c r="I191" s="36"/>
      <c r="J191" s="60"/>
      <c r="L191" s="61"/>
      <c r="M191" s="61"/>
      <c r="N191" s="61"/>
      <c r="O191" s="61"/>
      <c r="P191" s="61"/>
      <c r="Q191" s="61"/>
      <c r="R191" s="62"/>
      <c r="S191" s="62"/>
      <c r="T191" s="62"/>
    </row>
    <row r="192" spans="1:20" ht="15.75" customHeight="1" x14ac:dyDescent="0.3">
      <c r="A192" s="36"/>
      <c r="B192" s="36"/>
      <c r="C192" s="6"/>
      <c r="D192" s="36"/>
      <c r="E192" s="36"/>
      <c r="F192" s="6"/>
      <c r="G192" s="37"/>
      <c r="H192" s="36"/>
      <c r="I192" s="36"/>
      <c r="J192" s="60"/>
      <c r="L192" s="61"/>
      <c r="M192" s="61"/>
      <c r="N192" s="61"/>
      <c r="O192" s="61"/>
      <c r="P192" s="61"/>
      <c r="Q192" s="61"/>
      <c r="R192" s="62"/>
      <c r="S192" s="62"/>
      <c r="T192" s="62"/>
    </row>
    <row r="193" spans="1:20" ht="15.75" customHeight="1" x14ac:dyDescent="0.3">
      <c r="A193" s="36"/>
      <c r="B193" s="36"/>
      <c r="C193" s="6"/>
      <c r="D193" s="36"/>
      <c r="E193" s="36"/>
      <c r="F193" s="6"/>
      <c r="G193" s="37"/>
      <c r="H193" s="36"/>
      <c r="I193" s="36"/>
      <c r="J193" s="60"/>
      <c r="L193" s="61"/>
      <c r="M193" s="61"/>
      <c r="N193" s="61"/>
      <c r="O193" s="61"/>
      <c r="P193" s="61"/>
      <c r="Q193" s="61"/>
      <c r="R193" s="62"/>
      <c r="S193" s="62"/>
      <c r="T193" s="62"/>
    </row>
    <row r="194" spans="1:20" ht="15.75" customHeight="1" x14ac:dyDescent="0.3">
      <c r="A194" s="36"/>
      <c r="B194" s="36"/>
      <c r="C194" s="6"/>
      <c r="D194" s="36"/>
      <c r="E194" s="36"/>
      <c r="F194" s="6"/>
      <c r="G194" s="37"/>
      <c r="H194" s="36"/>
      <c r="I194" s="36"/>
      <c r="J194" s="60"/>
      <c r="L194" s="61"/>
      <c r="M194" s="61"/>
      <c r="N194" s="61"/>
      <c r="O194" s="61"/>
      <c r="P194" s="61"/>
      <c r="Q194" s="61"/>
      <c r="R194" s="62"/>
      <c r="S194" s="62"/>
      <c r="T194" s="62"/>
    </row>
    <row r="195" spans="1:20" ht="15.75" customHeight="1" x14ac:dyDescent="0.3">
      <c r="A195" s="36"/>
      <c r="B195" s="36"/>
      <c r="C195" s="6"/>
      <c r="D195" s="36"/>
      <c r="E195" s="36"/>
      <c r="F195" s="6"/>
      <c r="G195" s="37"/>
      <c r="H195" s="36"/>
      <c r="I195" s="36"/>
      <c r="J195" s="60"/>
      <c r="L195" s="61"/>
      <c r="M195" s="61"/>
      <c r="N195" s="61"/>
      <c r="O195" s="61"/>
      <c r="P195" s="61"/>
      <c r="Q195" s="61"/>
      <c r="R195" s="62"/>
      <c r="S195" s="62"/>
      <c r="T195" s="62"/>
    </row>
    <row r="196" spans="1:20" ht="15.75" customHeight="1" x14ac:dyDescent="0.3">
      <c r="A196" s="36"/>
      <c r="B196" s="36"/>
      <c r="C196" s="6"/>
      <c r="D196" s="36"/>
      <c r="E196" s="36"/>
      <c r="F196" s="6"/>
      <c r="G196" s="37"/>
      <c r="H196" s="36"/>
      <c r="I196" s="36"/>
      <c r="J196" s="60"/>
      <c r="L196" s="61"/>
      <c r="M196" s="61"/>
      <c r="N196" s="61"/>
      <c r="O196" s="61"/>
      <c r="P196" s="61"/>
      <c r="Q196" s="61"/>
      <c r="R196" s="62"/>
      <c r="S196" s="62"/>
      <c r="T196" s="62"/>
    </row>
    <row r="197" spans="1:20" ht="15.75" customHeight="1" x14ac:dyDescent="0.3">
      <c r="A197" s="36"/>
      <c r="B197" s="36"/>
      <c r="C197" s="6"/>
      <c r="D197" s="36"/>
      <c r="E197" s="36"/>
      <c r="F197" s="6"/>
      <c r="G197" s="37"/>
      <c r="H197" s="36"/>
      <c r="I197" s="36"/>
      <c r="J197" s="60"/>
      <c r="L197" s="61"/>
      <c r="M197" s="61"/>
      <c r="N197" s="61"/>
      <c r="O197" s="61"/>
      <c r="P197" s="61"/>
      <c r="Q197" s="61"/>
      <c r="R197" s="62"/>
      <c r="S197" s="62"/>
      <c r="T197" s="62"/>
    </row>
    <row r="198" spans="1:20" ht="15.75" customHeight="1" x14ac:dyDescent="0.3">
      <c r="A198" s="36"/>
      <c r="B198" s="36"/>
      <c r="C198" s="6"/>
      <c r="D198" s="36"/>
      <c r="E198" s="36"/>
      <c r="F198" s="6"/>
      <c r="G198" s="37"/>
      <c r="H198" s="36"/>
      <c r="I198" s="36"/>
      <c r="J198" s="60"/>
      <c r="L198" s="61"/>
      <c r="M198" s="61"/>
      <c r="N198" s="61"/>
      <c r="O198" s="61"/>
      <c r="P198" s="61"/>
      <c r="Q198" s="61"/>
      <c r="R198" s="62"/>
      <c r="S198" s="62"/>
      <c r="T198" s="62"/>
    </row>
    <row r="199" spans="1:20" ht="15.75" customHeight="1" x14ac:dyDescent="0.3">
      <c r="A199" s="36"/>
      <c r="B199" s="36"/>
      <c r="C199" s="6"/>
      <c r="D199" s="36"/>
      <c r="E199" s="36"/>
      <c r="F199" s="6"/>
      <c r="G199" s="37"/>
      <c r="H199" s="36"/>
      <c r="I199" s="36"/>
      <c r="J199" s="60"/>
      <c r="L199" s="61"/>
      <c r="M199" s="61"/>
      <c r="N199" s="61"/>
      <c r="O199" s="61"/>
      <c r="P199" s="61"/>
      <c r="Q199" s="61"/>
      <c r="R199" s="62"/>
      <c r="S199" s="62"/>
      <c r="T199" s="62"/>
    </row>
    <row r="200" spans="1:20" ht="15.75" customHeight="1" x14ac:dyDescent="0.3">
      <c r="A200" s="36"/>
      <c r="B200" s="36"/>
      <c r="C200" s="6"/>
      <c r="D200" s="36"/>
      <c r="E200" s="36"/>
      <c r="F200" s="6"/>
      <c r="G200" s="37"/>
      <c r="H200" s="36"/>
      <c r="I200" s="36"/>
      <c r="J200" s="60"/>
      <c r="L200" s="61"/>
      <c r="M200" s="61"/>
      <c r="N200" s="61"/>
      <c r="O200" s="61"/>
      <c r="P200" s="61"/>
      <c r="Q200" s="61"/>
      <c r="R200" s="62"/>
      <c r="S200" s="62"/>
      <c r="T200" s="62"/>
    </row>
    <row r="201" spans="1:20" ht="15.75" customHeight="1" x14ac:dyDescent="0.3">
      <c r="A201" s="36"/>
      <c r="B201" s="36"/>
      <c r="C201" s="6"/>
      <c r="D201" s="36"/>
      <c r="E201" s="36"/>
      <c r="F201" s="6"/>
      <c r="G201" s="37"/>
      <c r="H201" s="36"/>
      <c r="I201" s="36"/>
      <c r="J201" s="60"/>
      <c r="L201" s="61"/>
      <c r="M201" s="61"/>
      <c r="N201" s="61"/>
      <c r="O201" s="61"/>
      <c r="P201" s="61"/>
      <c r="Q201" s="61"/>
      <c r="R201" s="62"/>
      <c r="S201" s="62"/>
      <c r="T201" s="62"/>
    </row>
    <row r="202" spans="1:20" ht="15.75" customHeight="1" x14ac:dyDescent="0.3">
      <c r="A202" s="36"/>
      <c r="B202" s="36"/>
      <c r="C202" s="6"/>
      <c r="D202" s="36"/>
      <c r="E202" s="36"/>
      <c r="F202" s="6"/>
      <c r="G202" s="37"/>
      <c r="H202" s="36"/>
      <c r="I202" s="36"/>
      <c r="J202" s="60"/>
      <c r="L202" s="61"/>
      <c r="M202" s="61"/>
      <c r="N202" s="61"/>
      <c r="O202" s="61"/>
      <c r="P202" s="61"/>
      <c r="Q202" s="61"/>
      <c r="R202" s="62"/>
      <c r="S202" s="62"/>
      <c r="T202" s="62"/>
    </row>
    <row r="203" spans="1:20" ht="15.75" customHeight="1" x14ac:dyDescent="0.3">
      <c r="A203" s="36"/>
      <c r="B203" s="36"/>
      <c r="C203" s="6"/>
      <c r="D203" s="36"/>
      <c r="E203" s="36"/>
      <c r="F203" s="6"/>
      <c r="G203" s="37"/>
      <c r="H203" s="36"/>
      <c r="I203" s="36"/>
      <c r="J203" s="60"/>
      <c r="L203" s="61"/>
      <c r="M203" s="61"/>
      <c r="N203" s="61"/>
      <c r="O203" s="61"/>
      <c r="P203" s="61"/>
      <c r="Q203" s="61"/>
      <c r="R203" s="62"/>
      <c r="S203" s="62"/>
      <c r="T203" s="62"/>
    </row>
    <row r="204" spans="1:20" ht="15.75" customHeight="1" x14ac:dyDescent="0.3">
      <c r="A204" s="36"/>
      <c r="B204" s="36"/>
      <c r="C204" s="6"/>
      <c r="D204" s="36"/>
      <c r="E204" s="36"/>
      <c r="F204" s="6"/>
      <c r="G204" s="37"/>
      <c r="H204" s="36"/>
      <c r="I204" s="36"/>
      <c r="J204" s="60"/>
      <c r="L204" s="61"/>
      <c r="M204" s="61"/>
      <c r="N204" s="61"/>
      <c r="O204" s="61"/>
      <c r="P204" s="61"/>
      <c r="Q204" s="61"/>
      <c r="R204" s="62"/>
      <c r="S204" s="62"/>
      <c r="T204" s="62"/>
    </row>
    <row r="205" spans="1:20" ht="15.75" customHeight="1" x14ac:dyDescent="0.3">
      <c r="A205" s="36"/>
      <c r="B205" s="36"/>
      <c r="C205" s="6"/>
      <c r="D205" s="36"/>
      <c r="E205" s="36"/>
      <c r="F205" s="6"/>
      <c r="G205" s="37"/>
      <c r="H205" s="36"/>
      <c r="I205" s="36"/>
      <c r="J205" s="60"/>
      <c r="L205" s="61"/>
      <c r="M205" s="61"/>
      <c r="N205" s="61"/>
      <c r="O205" s="61"/>
      <c r="P205" s="61"/>
      <c r="Q205" s="61"/>
      <c r="R205" s="62"/>
      <c r="S205" s="62"/>
      <c r="T205" s="62"/>
    </row>
    <row r="206" spans="1:20" ht="15.75" customHeight="1" x14ac:dyDescent="0.3">
      <c r="A206" s="36"/>
      <c r="B206" s="36"/>
      <c r="C206" s="6"/>
      <c r="D206" s="36"/>
      <c r="E206" s="36"/>
      <c r="F206" s="6"/>
      <c r="G206" s="37"/>
      <c r="H206" s="36"/>
      <c r="I206" s="36"/>
      <c r="J206" s="60"/>
      <c r="L206" s="61"/>
      <c r="M206" s="61"/>
      <c r="N206" s="61"/>
      <c r="O206" s="61"/>
      <c r="P206" s="61"/>
      <c r="Q206" s="61"/>
      <c r="R206" s="62"/>
      <c r="S206" s="62"/>
      <c r="T206" s="62"/>
    </row>
    <row r="207" spans="1:20" ht="15.75" customHeight="1" x14ac:dyDescent="0.3">
      <c r="A207" s="36"/>
      <c r="B207" s="36"/>
      <c r="C207" s="6"/>
      <c r="D207" s="36"/>
      <c r="E207" s="36"/>
      <c r="F207" s="6"/>
      <c r="G207" s="37"/>
      <c r="H207" s="36"/>
      <c r="I207" s="36"/>
      <c r="J207" s="60"/>
      <c r="L207" s="61"/>
      <c r="M207" s="61"/>
      <c r="N207" s="61"/>
      <c r="O207" s="61"/>
      <c r="P207" s="61"/>
      <c r="Q207" s="61"/>
      <c r="R207" s="62"/>
      <c r="S207" s="62"/>
      <c r="T207" s="62"/>
    </row>
    <row r="208" spans="1:20" ht="15.75" customHeight="1" x14ac:dyDescent="0.3">
      <c r="A208" s="36"/>
      <c r="B208" s="36"/>
      <c r="C208" s="6"/>
      <c r="D208" s="36"/>
      <c r="E208" s="36"/>
      <c r="F208" s="6"/>
      <c r="G208" s="37"/>
      <c r="H208" s="36"/>
      <c r="I208" s="36"/>
      <c r="J208" s="60"/>
      <c r="L208" s="61"/>
      <c r="M208" s="61"/>
      <c r="N208" s="61"/>
      <c r="O208" s="61"/>
      <c r="P208" s="61"/>
      <c r="Q208" s="61"/>
      <c r="R208" s="62"/>
      <c r="S208" s="62"/>
      <c r="T208" s="62"/>
    </row>
    <row r="209" spans="1:20" ht="15.75" customHeight="1" x14ac:dyDescent="0.3">
      <c r="A209" s="36"/>
      <c r="B209" s="36"/>
      <c r="C209" s="6"/>
      <c r="D209" s="36"/>
      <c r="E209" s="36"/>
      <c r="F209" s="6"/>
      <c r="G209" s="37"/>
      <c r="H209" s="36"/>
      <c r="I209" s="36"/>
      <c r="J209" s="60"/>
      <c r="L209" s="61"/>
      <c r="M209" s="61"/>
      <c r="N209" s="61"/>
      <c r="O209" s="61"/>
      <c r="P209" s="61"/>
      <c r="Q209" s="61"/>
      <c r="R209" s="62"/>
      <c r="S209" s="62"/>
      <c r="T209" s="62"/>
    </row>
    <row r="210" spans="1:20" ht="15.75" customHeight="1" x14ac:dyDescent="0.3">
      <c r="A210" s="36"/>
      <c r="B210" s="36"/>
      <c r="C210" s="6"/>
      <c r="D210" s="36"/>
      <c r="E210" s="36"/>
      <c r="F210" s="6"/>
      <c r="G210" s="37"/>
      <c r="H210" s="36"/>
      <c r="I210" s="36"/>
      <c r="J210" s="60"/>
      <c r="L210" s="61"/>
      <c r="M210" s="61"/>
      <c r="N210" s="61"/>
      <c r="O210" s="61"/>
      <c r="P210" s="61"/>
      <c r="Q210" s="61"/>
      <c r="R210" s="62"/>
      <c r="S210" s="62"/>
      <c r="T210" s="62"/>
    </row>
    <row r="211" spans="1:20" ht="15.75" customHeight="1" x14ac:dyDescent="0.3">
      <c r="A211" s="36"/>
      <c r="B211" s="36"/>
      <c r="C211" s="6"/>
      <c r="D211" s="36"/>
      <c r="E211" s="36"/>
      <c r="F211" s="6"/>
      <c r="G211" s="37"/>
      <c r="H211" s="36"/>
      <c r="I211" s="36"/>
      <c r="J211" s="60"/>
      <c r="L211" s="61"/>
      <c r="M211" s="61"/>
      <c r="N211" s="61"/>
      <c r="O211" s="61"/>
      <c r="P211" s="61"/>
      <c r="Q211" s="61"/>
      <c r="R211" s="62"/>
      <c r="S211" s="62"/>
      <c r="T211" s="62"/>
    </row>
    <row r="212" spans="1:20" ht="15.75" customHeight="1" x14ac:dyDescent="0.3">
      <c r="A212" s="36"/>
      <c r="B212" s="36"/>
      <c r="C212" s="6"/>
      <c r="D212" s="36"/>
      <c r="E212" s="36"/>
      <c r="F212" s="6"/>
      <c r="G212" s="37"/>
      <c r="H212" s="36"/>
      <c r="I212" s="36"/>
      <c r="J212" s="60"/>
      <c r="L212" s="61"/>
      <c r="M212" s="61"/>
      <c r="N212" s="61"/>
      <c r="O212" s="61"/>
      <c r="P212" s="61"/>
      <c r="Q212" s="61"/>
      <c r="R212" s="62"/>
      <c r="S212" s="62"/>
      <c r="T212" s="62"/>
    </row>
    <row r="213" spans="1:20" ht="15.75" customHeight="1" x14ac:dyDescent="0.3">
      <c r="A213" s="36"/>
      <c r="B213" s="36"/>
      <c r="C213" s="6"/>
      <c r="D213" s="36"/>
      <c r="E213" s="36"/>
      <c r="F213" s="6"/>
      <c r="G213" s="37"/>
      <c r="H213" s="36"/>
      <c r="I213" s="36"/>
      <c r="J213" s="60"/>
      <c r="L213" s="61"/>
      <c r="M213" s="61"/>
      <c r="N213" s="61"/>
      <c r="O213" s="61"/>
      <c r="P213" s="61"/>
      <c r="Q213" s="61"/>
      <c r="R213" s="62"/>
      <c r="S213" s="62"/>
      <c r="T213" s="62"/>
    </row>
    <row r="214" spans="1:20" ht="15.75" customHeight="1" x14ac:dyDescent="0.3">
      <c r="A214" s="36"/>
      <c r="B214" s="36"/>
      <c r="C214" s="6"/>
      <c r="D214" s="36"/>
      <c r="E214" s="36"/>
      <c r="F214" s="6"/>
      <c r="G214" s="37"/>
      <c r="H214" s="36"/>
      <c r="I214" s="36"/>
      <c r="J214" s="60"/>
      <c r="L214" s="61"/>
      <c r="M214" s="61"/>
      <c r="N214" s="61"/>
      <c r="O214" s="61"/>
      <c r="P214" s="61"/>
      <c r="Q214" s="61"/>
      <c r="R214" s="62"/>
      <c r="S214" s="62"/>
      <c r="T214" s="62"/>
    </row>
    <row r="215" spans="1:20" ht="15.75" customHeight="1" x14ac:dyDescent="0.3">
      <c r="A215" s="36"/>
      <c r="B215" s="36"/>
      <c r="C215" s="6"/>
      <c r="D215" s="36"/>
      <c r="E215" s="36"/>
      <c r="F215" s="6"/>
      <c r="G215" s="37"/>
      <c r="H215" s="36"/>
      <c r="I215" s="36"/>
      <c r="J215" s="60"/>
      <c r="L215" s="61"/>
      <c r="M215" s="61"/>
      <c r="N215" s="61"/>
      <c r="O215" s="61"/>
      <c r="P215" s="61"/>
      <c r="Q215" s="61"/>
      <c r="R215" s="62"/>
      <c r="S215" s="62"/>
      <c r="T215" s="62"/>
    </row>
    <row r="216" spans="1:20" ht="15.75" customHeight="1" x14ac:dyDescent="0.3">
      <c r="A216" s="36"/>
      <c r="B216" s="36"/>
      <c r="C216" s="6"/>
      <c r="D216" s="36"/>
      <c r="E216" s="36"/>
      <c r="F216" s="6"/>
      <c r="G216" s="37"/>
      <c r="H216" s="36"/>
      <c r="I216" s="36"/>
      <c r="J216" s="60"/>
      <c r="L216" s="61"/>
      <c r="M216" s="61"/>
      <c r="N216" s="61"/>
      <c r="O216" s="61"/>
      <c r="P216" s="61"/>
      <c r="Q216" s="61"/>
      <c r="R216" s="62"/>
      <c r="S216" s="62"/>
      <c r="T216" s="62"/>
    </row>
    <row r="217" spans="1:20" ht="15.75" customHeight="1" x14ac:dyDescent="0.3">
      <c r="A217" s="36"/>
      <c r="B217" s="36"/>
      <c r="C217" s="6"/>
      <c r="D217" s="36"/>
      <c r="E217" s="36"/>
      <c r="F217" s="6"/>
      <c r="G217" s="37"/>
      <c r="H217" s="36"/>
      <c r="I217" s="36"/>
      <c r="J217" s="60"/>
      <c r="L217" s="61"/>
      <c r="M217" s="61"/>
      <c r="N217" s="61"/>
      <c r="O217" s="61"/>
      <c r="P217" s="61"/>
      <c r="Q217" s="61"/>
      <c r="R217" s="62"/>
      <c r="S217" s="62"/>
      <c r="T217" s="62"/>
    </row>
    <row r="218" spans="1:20" ht="15.75" customHeight="1" x14ac:dyDescent="0.3">
      <c r="A218" s="36"/>
      <c r="B218" s="36"/>
      <c r="C218" s="6"/>
      <c r="D218" s="36"/>
      <c r="E218" s="36"/>
      <c r="F218" s="6"/>
      <c r="G218" s="37"/>
      <c r="H218" s="36"/>
      <c r="I218" s="36"/>
      <c r="J218" s="60"/>
      <c r="L218" s="61"/>
      <c r="M218" s="61"/>
      <c r="N218" s="61"/>
      <c r="O218" s="61"/>
      <c r="P218" s="61"/>
      <c r="Q218" s="61"/>
      <c r="R218" s="62"/>
      <c r="S218" s="62"/>
      <c r="T218" s="62"/>
    </row>
    <row r="219" spans="1:20" ht="15.75" customHeight="1" x14ac:dyDescent="0.3">
      <c r="A219" s="36"/>
      <c r="B219" s="36"/>
      <c r="C219" s="6"/>
      <c r="D219" s="36"/>
      <c r="E219" s="36"/>
      <c r="F219" s="6"/>
      <c r="G219" s="37"/>
      <c r="H219" s="36"/>
      <c r="I219" s="36"/>
      <c r="J219" s="60"/>
      <c r="L219" s="61"/>
      <c r="M219" s="61"/>
      <c r="N219" s="61"/>
      <c r="O219" s="61"/>
      <c r="P219" s="61"/>
      <c r="Q219" s="61"/>
      <c r="R219" s="62"/>
      <c r="S219" s="62"/>
      <c r="T219" s="62"/>
    </row>
    <row r="220" spans="1:20" ht="15.75" customHeight="1" x14ac:dyDescent="0.3">
      <c r="A220" s="36"/>
      <c r="B220" s="36"/>
      <c r="C220" s="6"/>
      <c r="D220" s="36"/>
      <c r="E220" s="36"/>
      <c r="F220" s="6"/>
      <c r="G220" s="37"/>
      <c r="H220" s="36"/>
      <c r="I220" s="36"/>
      <c r="J220" s="60"/>
      <c r="L220" s="61"/>
      <c r="M220" s="61"/>
      <c r="N220" s="61"/>
      <c r="O220" s="61"/>
      <c r="P220" s="61"/>
      <c r="Q220" s="61"/>
      <c r="R220" s="62"/>
      <c r="S220" s="62"/>
      <c r="T220" s="62"/>
    </row>
    <row r="221" spans="1:20" ht="15.75" customHeight="1" x14ac:dyDescent="0.3">
      <c r="A221" s="36"/>
      <c r="B221" s="36"/>
      <c r="C221" s="6"/>
      <c r="D221" s="36"/>
      <c r="E221" s="36"/>
      <c r="F221" s="6"/>
      <c r="G221" s="37"/>
      <c r="H221" s="36"/>
      <c r="I221" s="36"/>
      <c r="J221" s="60"/>
      <c r="L221" s="61"/>
      <c r="M221" s="61"/>
      <c r="N221" s="61"/>
      <c r="O221" s="61"/>
      <c r="P221" s="61"/>
      <c r="Q221" s="61"/>
      <c r="R221" s="62"/>
      <c r="S221" s="62"/>
      <c r="T221" s="62"/>
    </row>
    <row r="222" spans="1:20" ht="15.75" customHeight="1" x14ac:dyDescent="0.3">
      <c r="A222" s="36"/>
      <c r="B222" s="36"/>
      <c r="C222" s="6"/>
      <c r="D222" s="36"/>
      <c r="E222" s="36"/>
      <c r="F222" s="6"/>
      <c r="G222" s="37"/>
      <c r="H222" s="36"/>
      <c r="I222" s="36"/>
      <c r="J222" s="60"/>
      <c r="L222" s="61"/>
      <c r="M222" s="61"/>
      <c r="N222" s="61"/>
      <c r="O222" s="61"/>
      <c r="P222" s="61"/>
      <c r="Q222" s="61"/>
      <c r="R222" s="62"/>
      <c r="S222" s="62"/>
      <c r="T222" s="62"/>
    </row>
    <row r="223" spans="1:20" ht="15.75" customHeight="1" x14ac:dyDescent="0.3">
      <c r="A223" s="36"/>
      <c r="B223" s="36"/>
      <c r="C223" s="6"/>
      <c r="D223" s="36"/>
      <c r="E223" s="36"/>
      <c r="F223" s="6"/>
      <c r="G223" s="37"/>
      <c r="H223" s="36"/>
      <c r="I223" s="36"/>
      <c r="J223" s="60"/>
      <c r="L223" s="61"/>
      <c r="M223" s="61"/>
      <c r="N223" s="61"/>
      <c r="O223" s="61"/>
      <c r="P223" s="61"/>
      <c r="Q223" s="61"/>
      <c r="R223" s="62"/>
      <c r="S223" s="62"/>
      <c r="T223" s="62"/>
    </row>
    <row r="224" spans="1:20" ht="15.75" customHeight="1" x14ac:dyDescent="0.3">
      <c r="A224" s="36"/>
      <c r="B224" s="36"/>
      <c r="C224" s="6"/>
      <c r="D224" s="36"/>
      <c r="E224" s="36"/>
      <c r="F224" s="6"/>
      <c r="G224" s="37"/>
      <c r="H224" s="36"/>
      <c r="I224" s="36"/>
      <c r="J224" s="60"/>
      <c r="L224" s="61"/>
      <c r="M224" s="61"/>
      <c r="N224" s="61"/>
      <c r="O224" s="61"/>
      <c r="P224" s="61"/>
      <c r="Q224" s="61"/>
      <c r="R224" s="62"/>
      <c r="S224" s="62"/>
      <c r="T224" s="62"/>
    </row>
    <row r="225" spans="1:20" ht="15.75" customHeight="1" x14ac:dyDescent="0.3">
      <c r="A225" s="36"/>
      <c r="B225" s="36"/>
      <c r="C225" s="6"/>
      <c r="D225" s="36"/>
      <c r="E225" s="36"/>
      <c r="F225" s="6"/>
      <c r="G225" s="37"/>
      <c r="H225" s="36"/>
      <c r="I225" s="36"/>
      <c r="J225" s="60"/>
      <c r="L225" s="61"/>
      <c r="M225" s="61"/>
      <c r="N225" s="61"/>
      <c r="O225" s="61"/>
      <c r="P225" s="61"/>
      <c r="Q225" s="61"/>
      <c r="R225" s="62"/>
      <c r="S225" s="62"/>
      <c r="T225" s="62"/>
    </row>
    <row r="226" spans="1:20" ht="15.75" customHeight="1" x14ac:dyDescent="0.3">
      <c r="A226" s="36"/>
      <c r="B226" s="36"/>
      <c r="C226" s="6"/>
      <c r="D226" s="36"/>
      <c r="E226" s="36"/>
      <c r="F226" s="6"/>
      <c r="G226" s="37"/>
      <c r="H226" s="36"/>
      <c r="I226" s="36"/>
      <c r="J226" s="60"/>
      <c r="L226" s="61"/>
      <c r="M226" s="61"/>
      <c r="N226" s="61"/>
      <c r="O226" s="61"/>
      <c r="P226" s="61"/>
      <c r="Q226" s="61"/>
      <c r="R226" s="62"/>
      <c r="S226" s="62"/>
      <c r="T226" s="62"/>
    </row>
    <row r="227" spans="1:20" ht="15.75" customHeight="1" x14ac:dyDescent="0.3">
      <c r="A227" s="36"/>
      <c r="B227" s="36"/>
      <c r="C227" s="6"/>
      <c r="D227" s="36"/>
      <c r="E227" s="36"/>
      <c r="F227" s="6"/>
      <c r="G227" s="37"/>
      <c r="H227" s="36"/>
      <c r="I227" s="36"/>
      <c r="J227" s="60"/>
      <c r="L227" s="61"/>
      <c r="M227" s="61"/>
      <c r="N227" s="61"/>
      <c r="O227" s="61"/>
      <c r="P227" s="61"/>
      <c r="Q227" s="61"/>
      <c r="R227" s="62"/>
      <c r="S227" s="62"/>
      <c r="T227" s="62"/>
    </row>
    <row r="228" spans="1:20" ht="15.75" customHeight="1" x14ac:dyDescent="0.3">
      <c r="A228" s="36"/>
      <c r="B228" s="36"/>
      <c r="C228" s="6"/>
      <c r="D228" s="36"/>
      <c r="E228" s="36"/>
      <c r="F228" s="6"/>
      <c r="G228" s="37"/>
      <c r="H228" s="36"/>
      <c r="I228" s="36"/>
      <c r="J228" s="60"/>
      <c r="L228" s="61"/>
      <c r="M228" s="61"/>
      <c r="N228" s="61"/>
      <c r="O228" s="61"/>
      <c r="P228" s="61"/>
      <c r="Q228" s="61"/>
      <c r="R228" s="62"/>
      <c r="S228" s="62"/>
      <c r="T228" s="62"/>
    </row>
    <row r="229" spans="1:20" ht="15.75" customHeight="1" x14ac:dyDescent="0.3">
      <c r="A229" s="36"/>
      <c r="B229" s="36"/>
      <c r="C229" s="6"/>
      <c r="D229" s="36"/>
      <c r="E229" s="36"/>
      <c r="F229" s="6"/>
      <c r="G229" s="37"/>
      <c r="H229" s="36"/>
      <c r="I229" s="36"/>
      <c r="J229" s="60"/>
      <c r="L229" s="61"/>
      <c r="M229" s="61"/>
      <c r="N229" s="61"/>
      <c r="O229" s="61"/>
      <c r="P229" s="61"/>
      <c r="Q229" s="61"/>
      <c r="R229" s="62"/>
      <c r="S229" s="62"/>
      <c r="T229" s="62"/>
    </row>
    <row r="230" spans="1:20" ht="15.75" customHeight="1" x14ac:dyDescent="0.3">
      <c r="A230" s="36"/>
      <c r="B230" s="36"/>
      <c r="C230" s="6"/>
      <c r="D230" s="36"/>
      <c r="E230" s="36"/>
      <c r="F230" s="6"/>
      <c r="G230" s="37"/>
      <c r="H230" s="36"/>
      <c r="I230" s="36"/>
      <c r="J230" s="60"/>
      <c r="L230" s="61"/>
      <c r="M230" s="61"/>
      <c r="N230" s="61"/>
      <c r="O230" s="61"/>
      <c r="P230" s="61"/>
      <c r="Q230" s="61"/>
      <c r="R230" s="62"/>
      <c r="S230" s="62"/>
      <c r="T230" s="62"/>
    </row>
    <row r="231" spans="1:20" ht="15.75" customHeight="1" x14ac:dyDescent="0.3">
      <c r="A231" s="36"/>
      <c r="B231" s="36"/>
      <c r="C231" s="6"/>
      <c r="D231" s="36"/>
      <c r="E231" s="36"/>
      <c r="F231" s="6"/>
      <c r="G231" s="37"/>
      <c r="H231" s="36"/>
      <c r="I231" s="36"/>
      <c r="J231" s="60"/>
      <c r="L231" s="61"/>
      <c r="M231" s="61"/>
      <c r="N231" s="61"/>
      <c r="O231" s="61"/>
      <c r="P231" s="61"/>
      <c r="Q231" s="61"/>
      <c r="R231" s="62"/>
      <c r="S231" s="62"/>
      <c r="T231" s="62"/>
    </row>
    <row r="232" spans="1:20" ht="15.75" customHeight="1" x14ac:dyDescent="0.3">
      <c r="A232" s="36"/>
      <c r="B232" s="36"/>
      <c r="C232" s="6"/>
      <c r="D232" s="36"/>
      <c r="E232" s="36"/>
      <c r="F232" s="6"/>
      <c r="G232" s="37"/>
      <c r="H232" s="36"/>
      <c r="I232" s="36"/>
      <c r="J232" s="60"/>
      <c r="L232" s="61"/>
      <c r="M232" s="61"/>
      <c r="N232" s="61"/>
      <c r="O232" s="61"/>
      <c r="P232" s="61"/>
      <c r="Q232" s="61"/>
      <c r="R232" s="62"/>
      <c r="S232" s="62"/>
      <c r="T232" s="62"/>
    </row>
    <row r="233" spans="1:20" ht="15.75" customHeight="1" x14ac:dyDescent="0.3">
      <c r="A233" s="36"/>
      <c r="B233" s="36"/>
      <c r="C233" s="6"/>
      <c r="D233" s="36"/>
      <c r="E233" s="36"/>
      <c r="F233" s="6"/>
      <c r="G233" s="37"/>
      <c r="H233" s="36"/>
      <c r="I233" s="36"/>
      <c r="J233" s="60"/>
      <c r="L233" s="61"/>
      <c r="M233" s="61"/>
      <c r="N233" s="61"/>
      <c r="O233" s="61"/>
      <c r="P233" s="61"/>
      <c r="Q233" s="61"/>
      <c r="R233" s="62"/>
      <c r="S233" s="62"/>
      <c r="T233" s="62"/>
    </row>
    <row r="234" spans="1:20" ht="15.75" customHeight="1" x14ac:dyDescent="0.3">
      <c r="A234" s="36"/>
      <c r="B234" s="36"/>
      <c r="C234" s="6"/>
      <c r="D234" s="36"/>
      <c r="E234" s="36"/>
      <c r="F234" s="6"/>
      <c r="G234" s="37"/>
      <c r="H234" s="36"/>
      <c r="I234" s="36"/>
      <c r="J234" s="60"/>
      <c r="L234" s="61"/>
      <c r="M234" s="61"/>
      <c r="N234" s="61"/>
      <c r="O234" s="61"/>
      <c r="P234" s="61"/>
      <c r="Q234" s="61"/>
      <c r="R234" s="62"/>
      <c r="S234" s="62"/>
      <c r="T234" s="62"/>
    </row>
    <row r="235" spans="1:20" ht="15.75" customHeight="1" x14ac:dyDescent="0.3">
      <c r="A235" s="36"/>
      <c r="B235" s="36"/>
      <c r="C235" s="6"/>
      <c r="D235" s="36"/>
      <c r="E235" s="36"/>
      <c r="F235" s="6"/>
      <c r="G235" s="37"/>
      <c r="H235" s="36"/>
      <c r="I235" s="36"/>
      <c r="J235" s="60"/>
      <c r="L235" s="61"/>
      <c r="M235" s="61"/>
      <c r="N235" s="61"/>
      <c r="O235" s="61"/>
      <c r="P235" s="61"/>
      <c r="Q235" s="61"/>
      <c r="R235" s="62"/>
      <c r="S235" s="62"/>
      <c r="T235" s="62"/>
    </row>
    <row r="236" spans="1:20" ht="15.75" customHeight="1" x14ac:dyDescent="0.3">
      <c r="A236" s="36"/>
      <c r="B236" s="36"/>
      <c r="C236" s="6"/>
      <c r="D236" s="36"/>
      <c r="E236" s="36"/>
      <c r="F236" s="6"/>
      <c r="G236" s="37"/>
      <c r="H236" s="36"/>
      <c r="I236" s="36"/>
      <c r="J236" s="60"/>
      <c r="L236" s="61"/>
      <c r="M236" s="61"/>
      <c r="N236" s="61"/>
      <c r="O236" s="61"/>
      <c r="P236" s="61"/>
      <c r="Q236" s="61"/>
      <c r="R236" s="62"/>
      <c r="S236" s="62"/>
      <c r="T236" s="62"/>
    </row>
    <row r="237" spans="1:20" ht="15.75" customHeight="1" x14ac:dyDescent="0.3">
      <c r="A237" s="36"/>
      <c r="B237" s="36"/>
      <c r="C237" s="6"/>
      <c r="D237" s="36"/>
      <c r="E237" s="36"/>
      <c r="F237" s="6"/>
      <c r="G237" s="37"/>
      <c r="H237" s="36"/>
      <c r="I237" s="36"/>
      <c r="J237" s="60"/>
      <c r="L237" s="61"/>
      <c r="M237" s="61"/>
      <c r="N237" s="61"/>
      <c r="O237" s="61"/>
      <c r="P237" s="61"/>
      <c r="Q237" s="61"/>
      <c r="R237" s="62"/>
      <c r="S237" s="62"/>
      <c r="T237" s="62"/>
    </row>
    <row r="238" spans="1:20" ht="15.75" customHeight="1" x14ac:dyDescent="0.3">
      <c r="A238" s="36"/>
      <c r="B238" s="36"/>
      <c r="C238" s="6"/>
      <c r="D238" s="36"/>
      <c r="E238" s="36"/>
      <c r="F238" s="6"/>
      <c r="G238" s="37"/>
      <c r="H238" s="36"/>
      <c r="I238" s="36"/>
      <c r="J238" s="60"/>
      <c r="L238" s="61"/>
      <c r="M238" s="61"/>
      <c r="N238" s="61"/>
      <c r="O238" s="61"/>
      <c r="P238" s="61"/>
      <c r="Q238" s="61"/>
      <c r="R238" s="62"/>
      <c r="S238" s="62"/>
      <c r="T238" s="62"/>
    </row>
    <row r="239" spans="1:20" ht="15.75" customHeight="1" x14ac:dyDescent="0.3">
      <c r="A239" s="36"/>
      <c r="B239" s="36"/>
      <c r="C239" s="6"/>
      <c r="D239" s="36"/>
      <c r="E239" s="36"/>
      <c r="F239" s="6"/>
      <c r="G239" s="37"/>
      <c r="H239" s="36"/>
      <c r="I239" s="36"/>
      <c r="J239" s="60"/>
      <c r="L239" s="61"/>
      <c r="M239" s="61"/>
      <c r="N239" s="61"/>
      <c r="O239" s="61"/>
      <c r="P239" s="61"/>
      <c r="Q239" s="61"/>
      <c r="R239" s="62"/>
      <c r="S239" s="62"/>
      <c r="T239" s="62"/>
    </row>
    <row r="240" spans="1:20" ht="15.75" customHeight="1" x14ac:dyDescent="0.3">
      <c r="A240" s="36"/>
      <c r="B240" s="36"/>
      <c r="C240" s="6"/>
      <c r="D240" s="36"/>
      <c r="E240" s="36"/>
      <c r="F240" s="6"/>
      <c r="G240" s="37"/>
      <c r="H240" s="36"/>
      <c r="I240" s="36"/>
      <c r="J240" s="60"/>
      <c r="L240" s="61"/>
      <c r="M240" s="61"/>
      <c r="N240" s="61"/>
      <c r="O240" s="61"/>
      <c r="P240" s="61"/>
      <c r="Q240" s="61"/>
      <c r="R240" s="62"/>
      <c r="S240" s="62"/>
      <c r="T240" s="62"/>
    </row>
    <row r="241" spans="1:20" ht="15.75" customHeight="1" x14ac:dyDescent="0.3">
      <c r="A241" s="36"/>
      <c r="B241" s="36"/>
      <c r="C241" s="6"/>
      <c r="D241" s="36"/>
      <c r="E241" s="36"/>
      <c r="F241" s="6"/>
      <c r="G241" s="37"/>
      <c r="H241" s="36"/>
      <c r="I241" s="36"/>
      <c r="J241" s="60"/>
      <c r="L241" s="61"/>
      <c r="M241" s="61"/>
      <c r="N241" s="61"/>
      <c r="O241" s="61"/>
      <c r="P241" s="61"/>
      <c r="Q241" s="61"/>
      <c r="R241" s="62"/>
      <c r="S241" s="62"/>
      <c r="T241" s="62"/>
    </row>
    <row r="242" spans="1:20" ht="15.75" customHeight="1" x14ac:dyDescent="0.3">
      <c r="A242" s="36"/>
      <c r="B242" s="36"/>
      <c r="C242" s="6"/>
      <c r="D242" s="36"/>
      <c r="E242" s="36"/>
      <c r="F242" s="6"/>
      <c r="G242" s="37"/>
      <c r="H242" s="36"/>
      <c r="I242" s="36"/>
      <c r="J242" s="60"/>
      <c r="L242" s="61"/>
      <c r="M242" s="61"/>
      <c r="N242" s="61"/>
      <c r="O242" s="61"/>
      <c r="P242" s="61"/>
      <c r="Q242" s="61"/>
      <c r="R242" s="62"/>
      <c r="S242" s="62"/>
      <c r="T242" s="62"/>
    </row>
    <row r="243" spans="1:20" ht="15.75" customHeight="1" x14ac:dyDescent="0.3">
      <c r="A243" s="36"/>
      <c r="B243" s="36"/>
      <c r="C243" s="6"/>
      <c r="D243" s="36"/>
      <c r="E243" s="36"/>
      <c r="F243" s="6"/>
      <c r="G243" s="37"/>
      <c r="H243" s="36"/>
      <c r="I243" s="36"/>
      <c r="J243" s="60"/>
      <c r="L243" s="61"/>
      <c r="M243" s="61"/>
      <c r="N243" s="61"/>
      <c r="O243" s="61"/>
      <c r="P243" s="61"/>
      <c r="Q243" s="61"/>
      <c r="R243" s="62"/>
      <c r="S243" s="62"/>
      <c r="T243" s="62"/>
    </row>
    <row r="244" spans="1:20" ht="15.75" customHeight="1" x14ac:dyDescent="0.3">
      <c r="A244" s="36"/>
      <c r="B244" s="36"/>
      <c r="C244" s="6"/>
      <c r="D244" s="36"/>
      <c r="E244" s="36"/>
      <c r="F244" s="6"/>
      <c r="G244" s="37"/>
      <c r="H244" s="36"/>
      <c r="I244" s="36"/>
      <c r="J244" s="60"/>
      <c r="L244" s="61"/>
      <c r="M244" s="61"/>
      <c r="N244" s="61"/>
      <c r="O244" s="61"/>
      <c r="P244" s="61"/>
      <c r="Q244" s="61"/>
      <c r="R244" s="62"/>
      <c r="S244" s="62"/>
      <c r="T244" s="62"/>
    </row>
    <row r="245" spans="1:20" ht="15.75" customHeight="1" x14ac:dyDescent="0.3">
      <c r="A245" s="36"/>
      <c r="B245" s="36"/>
      <c r="C245" s="6"/>
      <c r="D245" s="36"/>
      <c r="E245" s="36"/>
      <c r="F245" s="6"/>
      <c r="G245" s="37"/>
      <c r="H245" s="36"/>
      <c r="I245" s="36"/>
      <c r="J245" s="60"/>
      <c r="L245" s="61"/>
      <c r="M245" s="61"/>
      <c r="N245" s="61"/>
      <c r="O245" s="61"/>
      <c r="P245" s="61"/>
      <c r="Q245" s="61"/>
      <c r="R245" s="62"/>
      <c r="S245" s="62"/>
      <c r="T245" s="62"/>
    </row>
    <row r="246" spans="1:20" ht="15.75" customHeight="1" x14ac:dyDescent="0.3">
      <c r="A246" s="36"/>
      <c r="B246" s="36"/>
      <c r="C246" s="6"/>
      <c r="D246" s="36"/>
      <c r="E246" s="36"/>
      <c r="F246" s="6"/>
      <c r="G246" s="37"/>
      <c r="H246" s="36"/>
      <c r="I246" s="36"/>
      <c r="J246" s="60"/>
      <c r="L246" s="61"/>
      <c r="M246" s="61"/>
      <c r="N246" s="61"/>
      <c r="O246" s="61"/>
      <c r="P246" s="61"/>
      <c r="Q246" s="61"/>
      <c r="R246" s="62"/>
      <c r="S246" s="62"/>
      <c r="T246" s="62"/>
    </row>
    <row r="247" spans="1:20" ht="15.75" customHeight="1" x14ac:dyDescent="0.3">
      <c r="A247" s="36"/>
      <c r="B247" s="36"/>
      <c r="C247" s="6"/>
      <c r="D247" s="36"/>
      <c r="E247" s="36"/>
      <c r="F247" s="6"/>
      <c r="G247" s="37"/>
      <c r="H247" s="36"/>
      <c r="I247" s="36"/>
      <c r="J247" s="60"/>
      <c r="L247" s="61"/>
      <c r="M247" s="61"/>
      <c r="N247" s="61"/>
      <c r="O247" s="61"/>
      <c r="P247" s="61"/>
      <c r="Q247" s="61"/>
      <c r="R247" s="62"/>
      <c r="S247" s="62"/>
      <c r="T247" s="62"/>
    </row>
    <row r="248" spans="1:20" ht="15.75" customHeight="1" x14ac:dyDescent="0.3">
      <c r="A248" s="36"/>
      <c r="B248" s="36"/>
      <c r="C248" s="6"/>
      <c r="D248" s="36"/>
      <c r="E248" s="36"/>
      <c r="F248" s="6"/>
      <c r="G248" s="37"/>
      <c r="H248" s="36"/>
      <c r="I248" s="36"/>
      <c r="J248" s="60"/>
      <c r="L248" s="61"/>
      <c r="M248" s="61"/>
      <c r="N248" s="61"/>
      <c r="O248" s="61"/>
      <c r="P248" s="61"/>
      <c r="Q248" s="61"/>
      <c r="R248" s="62"/>
      <c r="S248" s="62"/>
      <c r="T248" s="62"/>
    </row>
    <row r="249" spans="1:20" ht="15.75" customHeight="1" x14ac:dyDescent="0.3">
      <c r="A249" s="36"/>
      <c r="B249" s="36"/>
      <c r="C249" s="6"/>
      <c r="D249" s="36"/>
      <c r="E249" s="36"/>
      <c r="F249" s="6"/>
      <c r="G249" s="37"/>
      <c r="H249" s="36"/>
      <c r="I249" s="36"/>
      <c r="J249" s="60"/>
      <c r="L249" s="61"/>
      <c r="M249" s="61"/>
      <c r="N249" s="61"/>
      <c r="O249" s="61"/>
      <c r="P249" s="61"/>
      <c r="Q249" s="61"/>
      <c r="R249" s="62"/>
      <c r="S249" s="62"/>
      <c r="T249" s="62"/>
    </row>
    <row r="250" spans="1:20" ht="15.75" customHeight="1" x14ac:dyDescent="0.3">
      <c r="A250" s="36"/>
      <c r="B250" s="36"/>
      <c r="C250" s="6"/>
      <c r="D250" s="36"/>
      <c r="E250" s="36"/>
      <c r="F250" s="6"/>
      <c r="G250" s="37"/>
      <c r="H250" s="36"/>
      <c r="I250" s="36"/>
      <c r="J250" s="60"/>
      <c r="L250" s="61"/>
      <c r="M250" s="61"/>
      <c r="N250" s="61"/>
      <c r="O250" s="61"/>
      <c r="P250" s="61"/>
      <c r="Q250" s="61"/>
      <c r="R250" s="62"/>
      <c r="S250" s="62"/>
      <c r="T250" s="62"/>
    </row>
    <row r="251" spans="1:20" ht="15.75" customHeight="1" x14ac:dyDescent="0.3">
      <c r="A251" s="36"/>
      <c r="B251" s="36"/>
      <c r="C251" s="6"/>
      <c r="D251" s="36"/>
      <c r="E251" s="36"/>
      <c r="F251" s="6"/>
      <c r="G251" s="37"/>
      <c r="H251" s="36"/>
      <c r="I251" s="36"/>
      <c r="J251" s="60"/>
      <c r="L251" s="61"/>
      <c r="M251" s="61"/>
      <c r="N251" s="61"/>
      <c r="O251" s="61"/>
      <c r="P251" s="61"/>
      <c r="Q251" s="61"/>
      <c r="R251" s="62"/>
      <c r="S251" s="62"/>
      <c r="T251" s="62"/>
    </row>
    <row r="252" spans="1:20" ht="15.75" customHeight="1" x14ac:dyDescent="0.3">
      <c r="A252" s="36"/>
      <c r="B252" s="36"/>
      <c r="C252" s="6"/>
      <c r="D252" s="36"/>
      <c r="E252" s="36"/>
      <c r="F252" s="6"/>
      <c r="G252" s="37"/>
      <c r="H252" s="36"/>
      <c r="I252" s="36"/>
      <c r="J252" s="60"/>
      <c r="L252" s="61"/>
      <c r="M252" s="61"/>
      <c r="N252" s="61"/>
      <c r="O252" s="61"/>
      <c r="P252" s="61"/>
      <c r="Q252" s="61"/>
      <c r="R252" s="62"/>
      <c r="S252" s="62"/>
      <c r="T252" s="62"/>
    </row>
    <row r="253" spans="1:20" ht="15.75" customHeight="1" x14ac:dyDescent="0.3">
      <c r="A253" s="36"/>
      <c r="B253" s="36"/>
      <c r="C253" s="6"/>
      <c r="D253" s="36"/>
      <c r="E253" s="36"/>
      <c r="F253" s="6"/>
      <c r="G253" s="37"/>
      <c r="H253" s="36"/>
      <c r="I253" s="36"/>
      <c r="J253" s="60"/>
      <c r="L253" s="61"/>
      <c r="M253" s="61"/>
      <c r="N253" s="61"/>
      <c r="O253" s="61"/>
      <c r="P253" s="61"/>
      <c r="Q253" s="61"/>
      <c r="R253" s="62"/>
      <c r="S253" s="62"/>
      <c r="T253" s="62"/>
    </row>
    <row r="254" spans="1:20" ht="15.75" customHeight="1" x14ac:dyDescent="0.3">
      <c r="A254" s="36"/>
      <c r="B254" s="36"/>
      <c r="C254" s="6"/>
      <c r="D254" s="36"/>
      <c r="E254" s="36"/>
      <c r="F254" s="6"/>
      <c r="G254" s="37"/>
      <c r="H254" s="36"/>
      <c r="I254" s="36"/>
      <c r="J254" s="60"/>
      <c r="L254" s="61"/>
      <c r="M254" s="61"/>
      <c r="N254" s="61"/>
      <c r="O254" s="61"/>
      <c r="P254" s="61"/>
      <c r="Q254" s="61"/>
      <c r="R254" s="62"/>
      <c r="S254" s="62"/>
      <c r="T254" s="62"/>
    </row>
    <row r="255" spans="1:20" ht="15.75" customHeight="1" x14ac:dyDescent="0.3">
      <c r="A255" s="36"/>
      <c r="B255" s="36"/>
      <c r="C255" s="6"/>
      <c r="D255" s="36"/>
      <c r="E255" s="36"/>
      <c r="F255" s="6"/>
      <c r="G255" s="37"/>
      <c r="H255" s="36"/>
      <c r="I255" s="36"/>
      <c r="J255" s="60"/>
      <c r="L255" s="61"/>
      <c r="M255" s="61"/>
      <c r="N255" s="61"/>
      <c r="O255" s="61"/>
      <c r="P255" s="61"/>
      <c r="Q255" s="61"/>
      <c r="R255" s="62"/>
      <c r="S255" s="62"/>
      <c r="T255" s="62"/>
    </row>
    <row r="256" spans="1:20" ht="15.75" customHeight="1" x14ac:dyDescent="0.3">
      <c r="A256" s="36"/>
      <c r="B256" s="36"/>
      <c r="C256" s="6"/>
      <c r="D256" s="36"/>
      <c r="E256" s="36"/>
      <c r="F256" s="6"/>
      <c r="G256" s="37"/>
      <c r="H256" s="36"/>
      <c r="I256" s="36"/>
      <c r="J256" s="60"/>
      <c r="L256" s="61"/>
      <c r="M256" s="61"/>
      <c r="N256" s="61"/>
      <c r="O256" s="61"/>
      <c r="P256" s="61"/>
      <c r="Q256" s="61"/>
      <c r="R256" s="62"/>
      <c r="S256" s="62"/>
      <c r="T256" s="62"/>
    </row>
    <row r="257" spans="1:20" ht="15.75" customHeight="1" x14ac:dyDescent="0.3">
      <c r="A257" s="36"/>
      <c r="B257" s="36"/>
      <c r="C257" s="6"/>
      <c r="D257" s="36"/>
      <c r="E257" s="36"/>
      <c r="F257" s="6"/>
      <c r="G257" s="37"/>
      <c r="H257" s="36"/>
      <c r="I257" s="36"/>
      <c r="J257" s="60"/>
      <c r="L257" s="61"/>
      <c r="M257" s="61"/>
      <c r="N257" s="61"/>
      <c r="O257" s="61"/>
      <c r="P257" s="61"/>
      <c r="Q257" s="61"/>
      <c r="R257" s="62"/>
      <c r="S257" s="62"/>
      <c r="T257" s="62"/>
    </row>
    <row r="258" spans="1:20" ht="15.75" customHeight="1" x14ac:dyDescent="0.3">
      <c r="A258" s="36"/>
      <c r="B258" s="36"/>
      <c r="C258" s="6"/>
      <c r="D258" s="36"/>
      <c r="E258" s="36"/>
      <c r="F258" s="6"/>
      <c r="G258" s="37"/>
      <c r="H258" s="36"/>
      <c r="I258" s="36"/>
      <c r="J258" s="60"/>
      <c r="L258" s="61"/>
      <c r="M258" s="61"/>
      <c r="N258" s="61"/>
      <c r="O258" s="61"/>
      <c r="P258" s="61"/>
      <c r="Q258" s="61"/>
      <c r="R258" s="62"/>
      <c r="S258" s="62"/>
      <c r="T258" s="62"/>
    </row>
    <row r="259" spans="1:20" ht="15.75" customHeight="1" x14ac:dyDescent="0.3">
      <c r="A259" s="36"/>
      <c r="B259" s="36"/>
      <c r="C259" s="6"/>
      <c r="D259" s="36"/>
      <c r="E259" s="36"/>
      <c r="F259" s="6"/>
      <c r="G259" s="37"/>
      <c r="H259" s="36"/>
      <c r="I259" s="36"/>
      <c r="J259" s="60"/>
      <c r="L259" s="61"/>
      <c r="M259" s="61"/>
      <c r="N259" s="61"/>
      <c r="O259" s="61"/>
      <c r="P259" s="61"/>
      <c r="Q259" s="61"/>
      <c r="R259" s="62"/>
      <c r="S259" s="62"/>
      <c r="T259" s="62"/>
    </row>
    <row r="260" spans="1:20" ht="15.75" customHeight="1" x14ac:dyDescent="0.3">
      <c r="A260" s="36"/>
      <c r="B260" s="36"/>
      <c r="C260" s="6"/>
      <c r="D260" s="36"/>
      <c r="E260" s="36"/>
      <c r="F260" s="6"/>
      <c r="G260" s="37"/>
      <c r="H260" s="36"/>
      <c r="I260" s="36"/>
      <c r="J260" s="60"/>
      <c r="L260" s="61"/>
      <c r="M260" s="61"/>
      <c r="N260" s="61"/>
      <c r="O260" s="61"/>
      <c r="P260" s="61"/>
      <c r="Q260" s="61"/>
      <c r="R260" s="62"/>
      <c r="S260" s="62"/>
      <c r="T260" s="62"/>
    </row>
    <row r="261" spans="1:20" ht="15.75" customHeight="1" x14ac:dyDescent="0.3">
      <c r="A261" s="36"/>
      <c r="B261" s="36"/>
      <c r="C261" s="6"/>
      <c r="D261" s="36"/>
      <c r="E261" s="36"/>
      <c r="F261" s="6"/>
      <c r="G261" s="37"/>
      <c r="H261" s="36"/>
      <c r="I261" s="36"/>
      <c r="J261" s="60"/>
      <c r="L261" s="61"/>
      <c r="M261" s="61"/>
      <c r="N261" s="61"/>
      <c r="O261" s="61"/>
      <c r="P261" s="61"/>
      <c r="Q261" s="61"/>
      <c r="R261" s="62"/>
      <c r="S261" s="62"/>
      <c r="T261" s="62"/>
    </row>
    <row r="262" spans="1:20" ht="15.75" customHeight="1" x14ac:dyDescent="0.3">
      <c r="A262" s="36"/>
      <c r="B262" s="36"/>
      <c r="C262" s="6"/>
      <c r="D262" s="36"/>
      <c r="E262" s="36"/>
      <c r="F262" s="6"/>
      <c r="G262" s="37"/>
      <c r="H262" s="36"/>
      <c r="I262" s="36"/>
      <c r="J262" s="60"/>
      <c r="L262" s="61"/>
      <c r="M262" s="61"/>
      <c r="N262" s="61"/>
      <c r="O262" s="61"/>
      <c r="P262" s="61"/>
      <c r="Q262" s="61"/>
      <c r="R262" s="62"/>
      <c r="S262" s="62"/>
      <c r="T262" s="62"/>
    </row>
    <row r="263" spans="1:20" ht="15.75" customHeight="1" x14ac:dyDescent="0.3">
      <c r="A263" s="36"/>
      <c r="B263" s="36"/>
      <c r="C263" s="6"/>
      <c r="D263" s="36"/>
      <c r="E263" s="36"/>
      <c r="F263" s="6"/>
      <c r="G263" s="37"/>
      <c r="H263" s="36"/>
      <c r="I263" s="36"/>
      <c r="J263" s="60"/>
      <c r="L263" s="61"/>
      <c r="M263" s="61"/>
      <c r="N263" s="61"/>
      <c r="O263" s="61"/>
      <c r="P263" s="61"/>
      <c r="Q263" s="61"/>
      <c r="R263" s="62"/>
      <c r="S263" s="62"/>
      <c r="T263" s="62"/>
    </row>
    <row r="264" spans="1:20" ht="15.75" customHeight="1" x14ac:dyDescent="0.3">
      <c r="A264" s="36"/>
      <c r="B264" s="36"/>
      <c r="C264" s="6"/>
      <c r="D264" s="36"/>
      <c r="E264" s="36"/>
      <c r="F264" s="6"/>
      <c r="G264" s="37"/>
      <c r="H264" s="36"/>
      <c r="I264" s="36"/>
      <c r="J264" s="60"/>
      <c r="L264" s="61"/>
      <c r="M264" s="61"/>
      <c r="N264" s="61"/>
      <c r="O264" s="61"/>
      <c r="P264" s="61"/>
      <c r="Q264" s="61"/>
      <c r="R264" s="62"/>
      <c r="S264" s="62"/>
      <c r="T264" s="62"/>
    </row>
    <row r="265" spans="1:20" ht="15.75" customHeight="1" x14ac:dyDescent="0.3">
      <c r="A265" s="36"/>
      <c r="B265" s="36"/>
      <c r="C265" s="6"/>
      <c r="D265" s="36"/>
      <c r="E265" s="36"/>
      <c r="F265" s="6"/>
      <c r="G265" s="37"/>
      <c r="H265" s="36"/>
      <c r="I265" s="36"/>
      <c r="J265" s="60"/>
      <c r="L265" s="61"/>
      <c r="M265" s="61"/>
      <c r="N265" s="61"/>
      <c r="O265" s="61"/>
      <c r="P265" s="61"/>
      <c r="Q265" s="61"/>
      <c r="R265" s="62"/>
      <c r="S265" s="62"/>
      <c r="T265" s="62"/>
    </row>
    <row r="266" spans="1:20" ht="15.75" customHeight="1" x14ac:dyDescent="0.3">
      <c r="A266" s="36"/>
      <c r="B266" s="36"/>
      <c r="C266" s="6"/>
      <c r="D266" s="36"/>
      <c r="E266" s="36"/>
      <c r="F266" s="6"/>
      <c r="G266" s="37"/>
      <c r="H266" s="36"/>
      <c r="I266" s="36"/>
      <c r="J266" s="60"/>
      <c r="L266" s="61"/>
      <c r="M266" s="61"/>
      <c r="N266" s="61"/>
      <c r="O266" s="61"/>
      <c r="P266" s="61"/>
      <c r="Q266" s="61"/>
      <c r="R266" s="62"/>
      <c r="S266" s="62"/>
      <c r="T266" s="62"/>
    </row>
    <row r="267" spans="1:20" ht="15.75" customHeight="1" x14ac:dyDescent="0.3">
      <c r="A267" s="36"/>
      <c r="B267" s="36"/>
      <c r="C267" s="6"/>
      <c r="D267" s="36"/>
      <c r="E267" s="36"/>
      <c r="F267" s="6"/>
      <c r="G267" s="37"/>
      <c r="H267" s="36"/>
      <c r="I267" s="36"/>
      <c r="J267" s="60"/>
      <c r="L267" s="61"/>
      <c r="M267" s="61"/>
      <c r="N267" s="61"/>
      <c r="O267" s="61"/>
      <c r="P267" s="61"/>
      <c r="Q267" s="61"/>
      <c r="R267" s="62"/>
      <c r="S267" s="62"/>
      <c r="T267" s="62"/>
    </row>
    <row r="268" spans="1:20" ht="15.75" customHeight="1" x14ac:dyDescent="0.3">
      <c r="A268" s="36"/>
      <c r="B268" s="36"/>
      <c r="C268" s="6"/>
      <c r="D268" s="36"/>
      <c r="E268" s="36"/>
      <c r="F268" s="6"/>
      <c r="G268" s="37"/>
      <c r="H268" s="36"/>
      <c r="I268" s="36"/>
      <c r="J268" s="60"/>
      <c r="L268" s="61"/>
      <c r="M268" s="61"/>
      <c r="N268" s="61"/>
      <c r="O268" s="61"/>
      <c r="P268" s="61"/>
      <c r="Q268" s="61"/>
      <c r="R268" s="62"/>
      <c r="S268" s="62"/>
      <c r="T268" s="62"/>
    </row>
    <row r="269" spans="1:20" ht="15.75" customHeight="1" x14ac:dyDescent="0.3">
      <c r="A269" s="36"/>
      <c r="B269" s="36"/>
      <c r="C269" s="6"/>
      <c r="D269" s="36"/>
      <c r="E269" s="36"/>
      <c r="F269" s="6"/>
      <c r="G269" s="37"/>
      <c r="H269" s="36"/>
      <c r="I269" s="36"/>
      <c r="J269" s="60"/>
      <c r="L269" s="61"/>
      <c r="M269" s="61"/>
      <c r="N269" s="61"/>
      <c r="O269" s="61"/>
      <c r="P269" s="61"/>
      <c r="Q269" s="61"/>
      <c r="R269" s="62"/>
      <c r="S269" s="62"/>
      <c r="T269" s="62"/>
    </row>
    <row r="270" spans="1:20" ht="15.75" customHeight="1" x14ac:dyDescent="0.3">
      <c r="A270" s="36"/>
      <c r="B270" s="36"/>
      <c r="C270" s="6"/>
      <c r="D270" s="36"/>
      <c r="E270" s="36"/>
      <c r="F270" s="6"/>
      <c r="G270" s="37"/>
      <c r="H270" s="36"/>
      <c r="I270" s="36"/>
      <c r="J270" s="60"/>
      <c r="L270" s="61"/>
      <c r="M270" s="61"/>
      <c r="N270" s="61"/>
      <c r="O270" s="61"/>
      <c r="P270" s="61"/>
      <c r="Q270" s="61"/>
      <c r="R270" s="62"/>
      <c r="S270" s="62"/>
      <c r="T270" s="62"/>
    </row>
    <row r="271" spans="1:20" ht="15.75" customHeight="1" x14ac:dyDescent="0.3">
      <c r="A271" s="36"/>
      <c r="B271" s="36"/>
      <c r="C271" s="6"/>
      <c r="D271" s="36"/>
      <c r="E271" s="36"/>
      <c r="F271" s="6"/>
      <c r="G271" s="37"/>
      <c r="H271" s="36"/>
      <c r="I271" s="36"/>
      <c r="J271" s="60"/>
      <c r="L271" s="61"/>
      <c r="M271" s="61"/>
      <c r="N271" s="61"/>
      <c r="O271" s="61"/>
      <c r="P271" s="61"/>
      <c r="Q271" s="61"/>
      <c r="R271" s="62"/>
      <c r="S271" s="62"/>
      <c r="T271" s="62"/>
    </row>
    <row r="272" spans="1:20" ht="15.75" customHeight="1" x14ac:dyDescent="0.3">
      <c r="A272" s="36"/>
      <c r="B272" s="36"/>
      <c r="C272" s="6"/>
      <c r="D272" s="36"/>
      <c r="E272" s="36"/>
      <c r="F272" s="6"/>
      <c r="G272" s="37"/>
      <c r="H272" s="36"/>
      <c r="I272" s="36"/>
      <c r="J272" s="60"/>
      <c r="L272" s="61"/>
      <c r="M272" s="61"/>
      <c r="N272" s="61"/>
      <c r="O272" s="61"/>
      <c r="P272" s="61"/>
      <c r="Q272" s="61"/>
      <c r="R272" s="62"/>
      <c r="S272" s="62"/>
      <c r="T272" s="62"/>
    </row>
    <row r="273" spans="1:20" ht="15.75" customHeight="1" x14ac:dyDescent="0.3">
      <c r="A273" s="36"/>
      <c r="B273" s="36"/>
      <c r="C273" s="6"/>
      <c r="D273" s="36"/>
      <c r="E273" s="36"/>
      <c r="F273" s="6"/>
      <c r="G273" s="37"/>
      <c r="H273" s="36"/>
      <c r="I273" s="36"/>
      <c r="J273" s="60"/>
      <c r="L273" s="61"/>
      <c r="M273" s="61"/>
      <c r="N273" s="61"/>
      <c r="O273" s="61"/>
      <c r="P273" s="61"/>
      <c r="Q273" s="61"/>
      <c r="R273" s="62"/>
      <c r="S273" s="62"/>
      <c r="T273" s="62"/>
    </row>
    <row r="274" spans="1:20" ht="15.75" customHeight="1" x14ac:dyDescent="0.3">
      <c r="A274" s="36"/>
      <c r="B274" s="36"/>
      <c r="C274" s="6"/>
      <c r="D274" s="36"/>
      <c r="E274" s="36"/>
      <c r="F274" s="6"/>
      <c r="G274" s="37"/>
      <c r="H274" s="36"/>
      <c r="I274" s="36"/>
      <c r="J274" s="60"/>
      <c r="L274" s="61"/>
      <c r="M274" s="61"/>
      <c r="N274" s="61"/>
      <c r="O274" s="61"/>
      <c r="P274" s="61"/>
      <c r="Q274" s="61"/>
      <c r="R274" s="62"/>
      <c r="S274" s="62"/>
      <c r="T274" s="62"/>
    </row>
    <row r="275" spans="1:20" ht="15.75" customHeight="1" x14ac:dyDescent="0.3">
      <c r="A275" s="36"/>
      <c r="B275" s="36"/>
      <c r="C275" s="6"/>
      <c r="D275" s="36"/>
      <c r="E275" s="36"/>
      <c r="F275" s="6"/>
      <c r="G275" s="37"/>
      <c r="H275" s="36"/>
      <c r="I275" s="36"/>
      <c r="J275" s="60"/>
      <c r="L275" s="61"/>
      <c r="M275" s="61"/>
      <c r="N275" s="61"/>
      <c r="O275" s="61"/>
      <c r="P275" s="61"/>
      <c r="Q275" s="61"/>
      <c r="R275" s="62"/>
      <c r="S275" s="62"/>
      <c r="T275" s="62"/>
    </row>
    <row r="276" spans="1:20" ht="15.75" customHeight="1" x14ac:dyDescent="0.3">
      <c r="A276" s="36"/>
      <c r="B276" s="36"/>
      <c r="C276" s="6"/>
      <c r="D276" s="36"/>
      <c r="E276" s="36"/>
      <c r="F276" s="6"/>
      <c r="G276" s="37"/>
      <c r="H276" s="36"/>
      <c r="I276" s="36"/>
      <c r="J276" s="60"/>
      <c r="L276" s="61"/>
      <c r="M276" s="61"/>
      <c r="N276" s="61"/>
      <c r="O276" s="61"/>
      <c r="P276" s="61"/>
      <c r="Q276" s="61"/>
      <c r="R276" s="62"/>
      <c r="S276" s="62"/>
      <c r="T276" s="62"/>
    </row>
    <row r="277" spans="1:20" ht="15.75" customHeight="1" x14ac:dyDescent="0.3">
      <c r="A277" s="36"/>
      <c r="B277" s="36"/>
      <c r="C277" s="6"/>
      <c r="D277" s="36"/>
      <c r="E277" s="36"/>
      <c r="F277" s="6"/>
      <c r="G277" s="37"/>
      <c r="H277" s="36"/>
      <c r="I277" s="36"/>
      <c r="J277" s="60"/>
      <c r="L277" s="61"/>
      <c r="M277" s="61"/>
      <c r="N277" s="61"/>
      <c r="O277" s="61"/>
      <c r="P277" s="61"/>
      <c r="Q277" s="61"/>
      <c r="R277" s="62"/>
      <c r="S277" s="62"/>
      <c r="T277" s="62"/>
    </row>
    <row r="278" spans="1:20" ht="15.75" customHeight="1" x14ac:dyDescent="0.3">
      <c r="A278" s="36"/>
      <c r="B278" s="36"/>
      <c r="C278" s="6"/>
      <c r="D278" s="36"/>
      <c r="E278" s="36"/>
      <c r="F278" s="6"/>
      <c r="G278" s="37"/>
      <c r="H278" s="36"/>
      <c r="I278" s="36"/>
      <c r="J278" s="60"/>
      <c r="L278" s="61"/>
      <c r="M278" s="61"/>
      <c r="N278" s="61"/>
      <c r="O278" s="61"/>
      <c r="P278" s="61"/>
      <c r="Q278" s="61"/>
      <c r="R278" s="62"/>
      <c r="S278" s="62"/>
      <c r="T278" s="62"/>
    </row>
    <row r="279" spans="1:20" ht="15.75" customHeight="1" x14ac:dyDescent="0.3">
      <c r="A279" s="36"/>
      <c r="B279" s="36"/>
      <c r="C279" s="6"/>
      <c r="D279" s="36"/>
      <c r="E279" s="36"/>
      <c r="F279" s="6"/>
      <c r="G279" s="37"/>
      <c r="H279" s="36"/>
      <c r="I279" s="36"/>
      <c r="J279" s="60"/>
      <c r="L279" s="61"/>
      <c r="M279" s="61"/>
      <c r="N279" s="61"/>
      <c r="O279" s="61"/>
      <c r="P279" s="61"/>
      <c r="Q279" s="61"/>
      <c r="R279" s="62"/>
      <c r="S279" s="62"/>
      <c r="T279" s="62"/>
    </row>
    <row r="280" spans="1:20" ht="15.75" customHeight="1" x14ac:dyDescent="0.3">
      <c r="A280" s="36"/>
      <c r="B280" s="36"/>
      <c r="C280" s="6"/>
      <c r="D280" s="36"/>
      <c r="E280" s="36"/>
      <c r="F280" s="6"/>
      <c r="G280" s="37"/>
      <c r="H280" s="36"/>
      <c r="I280" s="36"/>
      <c r="J280" s="60"/>
      <c r="L280" s="61"/>
      <c r="M280" s="61"/>
      <c r="N280" s="61"/>
      <c r="O280" s="61"/>
      <c r="P280" s="61"/>
      <c r="Q280" s="61"/>
      <c r="R280" s="62"/>
      <c r="S280" s="62"/>
      <c r="T280" s="62"/>
    </row>
    <row r="281" spans="1:20" ht="15.75" customHeight="1" x14ac:dyDescent="0.3">
      <c r="A281" s="36"/>
      <c r="B281" s="36"/>
      <c r="C281" s="6"/>
      <c r="D281" s="36"/>
      <c r="E281" s="36"/>
      <c r="F281" s="6"/>
      <c r="G281" s="37"/>
      <c r="H281" s="36"/>
      <c r="I281" s="36"/>
      <c r="J281" s="60"/>
      <c r="L281" s="61"/>
      <c r="M281" s="61"/>
      <c r="N281" s="61"/>
      <c r="O281" s="61"/>
      <c r="P281" s="61"/>
      <c r="Q281" s="61"/>
      <c r="R281" s="62"/>
      <c r="S281" s="62"/>
      <c r="T281" s="62"/>
    </row>
    <row r="282" spans="1:20" ht="15.75" customHeight="1" x14ac:dyDescent="0.3">
      <c r="A282" s="36"/>
      <c r="B282" s="36"/>
      <c r="C282" s="6"/>
      <c r="D282" s="36"/>
      <c r="E282" s="36"/>
      <c r="F282" s="6"/>
      <c r="G282" s="37"/>
      <c r="H282" s="36"/>
      <c r="I282" s="36"/>
      <c r="J282" s="60"/>
      <c r="L282" s="61"/>
      <c r="M282" s="61"/>
      <c r="N282" s="61"/>
      <c r="O282" s="61"/>
      <c r="P282" s="61"/>
      <c r="Q282" s="61"/>
      <c r="R282" s="62"/>
      <c r="S282" s="62"/>
      <c r="T282" s="62"/>
    </row>
    <row r="283" spans="1:20" ht="15.75" customHeight="1" x14ac:dyDescent="0.3">
      <c r="A283" s="36"/>
      <c r="B283" s="36"/>
      <c r="C283" s="6"/>
      <c r="D283" s="36"/>
      <c r="E283" s="36"/>
      <c r="F283" s="6"/>
      <c r="G283" s="37"/>
      <c r="H283" s="36"/>
      <c r="I283" s="36"/>
      <c r="J283" s="60"/>
      <c r="L283" s="61"/>
      <c r="M283" s="61"/>
      <c r="N283" s="61"/>
      <c r="O283" s="61"/>
      <c r="P283" s="61"/>
      <c r="Q283" s="61"/>
      <c r="R283" s="62"/>
      <c r="S283" s="62"/>
      <c r="T283" s="62"/>
    </row>
    <row r="284" spans="1:20" ht="15.75" customHeight="1" x14ac:dyDescent="0.3">
      <c r="A284" s="36"/>
      <c r="B284" s="36"/>
      <c r="C284" s="6"/>
      <c r="D284" s="36"/>
      <c r="E284" s="36"/>
      <c r="F284" s="6"/>
      <c r="G284" s="37"/>
      <c r="H284" s="36"/>
      <c r="I284" s="36"/>
      <c r="J284" s="60"/>
      <c r="L284" s="61"/>
      <c r="M284" s="61"/>
      <c r="N284" s="61"/>
      <c r="O284" s="61"/>
      <c r="P284" s="61"/>
      <c r="Q284" s="61"/>
      <c r="R284" s="62"/>
      <c r="S284" s="62"/>
      <c r="T284" s="62"/>
    </row>
    <row r="285" spans="1:20" ht="15.75" customHeight="1" x14ac:dyDescent="0.3">
      <c r="A285" s="36"/>
      <c r="B285" s="36"/>
      <c r="C285" s="6"/>
      <c r="D285" s="36"/>
      <c r="E285" s="36"/>
      <c r="F285" s="6"/>
      <c r="G285" s="37"/>
      <c r="H285" s="36"/>
      <c r="I285" s="36"/>
      <c r="J285" s="60"/>
      <c r="L285" s="61"/>
      <c r="M285" s="61"/>
      <c r="N285" s="61"/>
      <c r="O285" s="61"/>
      <c r="P285" s="61"/>
      <c r="Q285" s="61"/>
      <c r="R285" s="62"/>
      <c r="S285" s="62"/>
      <c r="T285" s="62"/>
    </row>
    <row r="286" spans="1:20" ht="15.75" customHeight="1" x14ac:dyDescent="0.3">
      <c r="A286" s="36"/>
      <c r="B286" s="36"/>
      <c r="C286" s="6"/>
      <c r="D286" s="36"/>
      <c r="E286" s="36"/>
      <c r="F286" s="6"/>
      <c r="G286" s="37"/>
      <c r="H286" s="36"/>
      <c r="I286" s="36"/>
      <c r="J286" s="60"/>
      <c r="L286" s="61"/>
      <c r="M286" s="61"/>
      <c r="N286" s="61"/>
      <c r="O286" s="61"/>
      <c r="P286" s="61"/>
      <c r="Q286" s="61"/>
      <c r="R286" s="62"/>
      <c r="S286" s="62"/>
      <c r="T286" s="62"/>
    </row>
    <row r="287" spans="1:20" ht="15.75" customHeight="1" x14ac:dyDescent="0.3">
      <c r="A287" s="36"/>
      <c r="B287" s="36"/>
      <c r="C287" s="6"/>
      <c r="D287" s="36"/>
      <c r="E287" s="36"/>
      <c r="F287" s="6"/>
      <c r="G287" s="37"/>
      <c r="H287" s="36"/>
      <c r="I287" s="36"/>
      <c r="J287" s="60"/>
      <c r="L287" s="61"/>
      <c r="M287" s="61"/>
      <c r="N287" s="61"/>
      <c r="O287" s="61"/>
      <c r="P287" s="61"/>
      <c r="Q287" s="61"/>
      <c r="R287" s="62"/>
      <c r="S287" s="62"/>
      <c r="T287" s="62"/>
    </row>
    <row r="288" spans="1:20" ht="15.75" customHeight="1" x14ac:dyDescent="0.3">
      <c r="A288" s="36"/>
      <c r="B288" s="36"/>
      <c r="C288" s="6"/>
      <c r="D288" s="36"/>
      <c r="E288" s="36"/>
      <c r="F288" s="6"/>
      <c r="G288" s="37"/>
      <c r="H288" s="36"/>
      <c r="I288" s="36"/>
      <c r="J288" s="60"/>
      <c r="L288" s="61"/>
      <c r="M288" s="61"/>
      <c r="N288" s="61"/>
      <c r="O288" s="61"/>
      <c r="P288" s="61"/>
      <c r="Q288" s="61"/>
      <c r="R288" s="62"/>
      <c r="S288" s="62"/>
      <c r="T288" s="62"/>
    </row>
    <row r="289" spans="1:20" ht="15.75" customHeight="1" x14ac:dyDescent="0.3">
      <c r="A289" s="36"/>
      <c r="B289" s="36"/>
      <c r="C289" s="6"/>
      <c r="D289" s="36"/>
      <c r="E289" s="36"/>
      <c r="F289" s="6"/>
      <c r="G289" s="37"/>
      <c r="H289" s="36"/>
      <c r="I289" s="36"/>
      <c r="J289" s="60"/>
      <c r="L289" s="61"/>
      <c r="M289" s="61"/>
      <c r="N289" s="61"/>
      <c r="O289" s="61"/>
      <c r="P289" s="61"/>
      <c r="Q289" s="61"/>
      <c r="R289" s="62"/>
      <c r="S289" s="62"/>
      <c r="T289" s="62"/>
    </row>
    <row r="290" spans="1:20" ht="15.75" customHeight="1" x14ac:dyDescent="0.3">
      <c r="A290" s="36"/>
      <c r="B290" s="36"/>
      <c r="C290" s="6"/>
      <c r="D290" s="36"/>
      <c r="E290" s="36"/>
      <c r="F290" s="6"/>
      <c r="G290" s="37"/>
      <c r="H290" s="36"/>
      <c r="I290" s="36"/>
      <c r="J290" s="60"/>
      <c r="L290" s="61"/>
      <c r="M290" s="61"/>
      <c r="N290" s="61"/>
      <c r="O290" s="61"/>
      <c r="P290" s="61"/>
      <c r="Q290" s="61"/>
      <c r="R290" s="62"/>
      <c r="S290" s="62"/>
      <c r="T290" s="62"/>
    </row>
    <row r="291" spans="1:20" ht="15.75" customHeight="1" x14ac:dyDescent="0.3">
      <c r="A291" s="36"/>
      <c r="B291" s="36"/>
      <c r="C291" s="6"/>
      <c r="D291" s="36"/>
      <c r="E291" s="36"/>
      <c r="F291" s="6"/>
      <c r="G291" s="37"/>
      <c r="H291" s="36"/>
      <c r="I291" s="36"/>
      <c r="J291" s="60"/>
      <c r="L291" s="61"/>
      <c r="M291" s="61"/>
      <c r="N291" s="61"/>
      <c r="O291" s="61"/>
      <c r="P291" s="61"/>
      <c r="Q291" s="61"/>
      <c r="R291" s="62"/>
      <c r="S291" s="62"/>
      <c r="T291" s="62"/>
    </row>
    <row r="292" spans="1:20" ht="15.75" customHeight="1" x14ac:dyDescent="0.3">
      <c r="A292" s="36"/>
      <c r="B292" s="36"/>
      <c r="C292" s="6"/>
      <c r="D292" s="36"/>
      <c r="E292" s="36"/>
      <c r="F292" s="6"/>
      <c r="G292" s="37"/>
      <c r="H292" s="36"/>
      <c r="I292" s="36"/>
      <c r="J292" s="60"/>
      <c r="L292" s="61"/>
      <c r="M292" s="61"/>
      <c r="N292" s="61"/>
      <c r="O292" s="61"/>
      <c r="P292" s="61"/>
      <c r="Q292" s="61"/>
      <c r="R292" s="62"/>
      <c r="S292" s="62"/>
      <c r="T292" s="62"/>
    </row>
    <row r="293" spans="1:20" ht="15.75" customHeight="1" x14ac:dyDescent="0.3">
      <c r="A293" s="36"/>
      <c r="B293" s="36"/>
      <c r="C293" s="6"/>
      <c r="D293" s="36"/>
      <c r="E293" s="36"/>
      <c r="F293" s="6"/>
      <c r="G293" s="37"/>
      <c r="H293" s="36"/>
      <c r="I293" s="36"/>
      <c r="J293" s="60"/>
      <c r="L293" s="61"/>
      <c r="M293" s="61"/>
      <c r="N293" s="61"/>
      <c r="O293" s="61"/>
      <c r="P293" s="61"/>
      <c r="Q293" s="61"/>
      <c r="R293" s="62"/>
      <c r="S293" s="62"/>
      <c r="T293" s="62"/>
    </row>
    <row r="294" spans="1:20" ht="15.75" customHeight="1" x14ac:dyDescent="0.3">
      <c r="A294" s="36"/>
      <c r="B294" s="36"/>
      <c r="C294" s="6"/>
      <c r="D294" s="36"/>
      <c r="E294" s="36"/>
      <c r="F294" s="6"/>
      <c r="G294" s="37"/>
      <c r="H294" s="36"/>
      <c r="I294" s="36"/>
      <c r="J294" s="60"/>
      <c r="L294" s="61"/>
      <c r="M294" s="61"/>
      <c r="N294" s="61"/>
      <c r="O294" s="61"/>
      <c r="P294" s="61"/>
      <c r="Q294" s="61"/>
      <c r="R294" s="62"/>
      <c r="S294" s="62"/>
      <c r="T294" s="62"/>
    </row>
    <row r="295" spans="1:20" ht="15.75" customHeight="1" x14ac:dyDescent="0.3">
      <c r="A295" s="36"/>
      <c r="B295" s="36"/>
      <c r="C295" s="6"/>
      <c r="D295" s="36"/>
      <c r="E295" s="36"/>
      <c r="F295" s="6"/>
      <c r="G295" s="37"/>
      <c r="H295" s="36"/>
      <c r="I295" s="36"/>
      <c r="J295" s="60"/>
      <c r="L295" s="61"/>
      <c r="M295" s="61"/>
      <c r="N295" s="61"/>
      <c r="O295" s="61"/>
      <c r="P295" s="61"/>
      <c r="Q295" s="61"/>
      <c r="R295" s="62"/>
      <c r="S295" s="62"/>
      <c r="T295" s="62"/>
    </row>
    <row r="296" spans="1:20" ht="15.75" customHeight="1" x14ac:dyDescent="0.3">
      <c r="A296" s="36"/>
      <c r="B296" s="36"/>
      <c r="C296" s="6"/>
      <c r="D296" s="36"/>
      <c r="E296" s="36"/>
      <c r="F296" s="6"/>
      <c r="G296" s="37"/>
      <c r="H296" s="36"/>
      <c r="I296" s="36"/>
      <c r="J296" s="60"/>
      <c r="L296" s="61"/>
      <c r="M296" s="61"/>
      <c r="N296" s="61"/>
      <c r="O296" s="61"/>
      <c r="P296" s="61"/>
      <c r="Q296" s="61"/>
      <c r="R296" s="62"/>
      <c r="S296" s="62"/>
      <c r="T296" s="62"/>
    </row>
    <row r="297" spans="1:20" ht="15.75" customHeight="1" x14ac:dyDescent="0.3">
      <c r="A297" s="36"/>
      <c r="B297" s="36"/>
      <c r="C297" s="6"/>
      <c r="D297" s="36"/>
      <c r="E297" s="36"/>
      <c r="F297" s="6"/>
      <c r="G297" s="37"/>
      <c r="H297" s="36"/>
      <c r="I297" s="36"/>
      <c r="J297" s="60"/>
      <c r="L297" s="61"/>
      <c r="M297" s="61"/>
      <c r="N297" s="61"/>
      <c r="O297" s="61"/>
      <c r="P297" s="61"/>
      <c r="Q297" s="61"/>
      <c r="R297" s="62"/>
      <c r="S297" s="62"/>
      <c r="T297" s="62"/>
    </row>
    <row r="298" spans="1:20" ht="15.75" customHeight="1" x14ac:dyDescent="0.3">
      <c r="A298" s="36"/>
      <c r="B298" s="36"/>
      <c r="C298" s="6"/>
      <c r="D298" s="36"/>
      <c r="E298" s="36"/>
      <c r="F298" s="6"/>
      <c r="G298" s="37"/>
      <c r="H298" s="36"/>
      <c r="I298" s="36"/>
      <c r="J298" s="60"/>
      <c r="L298" s="61"/>
      <c r="M298" s="61"/>
      <c r="N298" s="61"/>
      <c r="O298" s="61"/>
      <c r="P298" s="61"/>
      <c r="Q298" s="61"/>
      <c r="R298" s="62"/>
      <c r="S298" s="62"/>
      <c r="T298" s="62"/>
    </row>
    <row r="299" spans="1:20" ht="15.75" customHeight="1" x14ac:dyDescent="0.3">
      <c r="A299" s="36"/>
      <c r="B299" s="36"/>
      <c r="C299" s="6"/>
      <c r="D299" s="36"/>
      <c r="E299" s="36"/>
      <c r="F299" s="6"/>
      <c r="G299" s="37"/>
      <c r="H299" s="36"/>
      <c r="I299" s="36"/>
      <c r="J299" s="60"/>
      <c r="L299" s="61"/>
      <c r="M299" s="61"/>
      <c r="N299" s="61"/>
      <c r="O299" s="61"/>
      <c r="P299" s="61"/>
      <c r="Q299" s="61"/>
      <c r="R299" s="62"/>
      <c r="S299" s="62"/>
      <c r="T299" s="62"/>
    </row>
    <row r="300" spans="1:20" ht="15.75" customHeight="1" x14ac:dyDescent="0.3">
      <c r="A300" s="36"/>
      <c r="B300" s="36"/>
      <c r="C300" s="6"/>
      <c r="D300" s="36"/>
      <c r="E300" s="36"/>
      <c r="F300" s="6"/>
      <c r="G300" s="37"/>
      <c r="H300" s="36"/>
      <c r="I300" s="36"/>
      <c r="J300" s="60"/>
      <c r="L300" s="61"/>
      <c r="M300" s="61"/>
      <c r="N300" s="61"/>
      <c r="O300" s="61"/>
      <c r="P300" s="61"/>
      <c r="Q300" s="61"/>
      <c r="R300" s="62"/>
      <c r="S300" s="62"/>
      <c r="T300" s="62"/>
    </row>
    <row r="301" spans="1:20" ht="15.75" customHeight="1" x14ac:dyDescent="0.3">
      <c r="A301" s="36"/>
      <c r="B301" s="36"/>
      <c r="C301" s="6"/>
      <c r="D301" s="36"/>
      <c r="E301" s="36"/>
      <c r="F301" s="6"/>
      <c r="G301" s="37"/>
      <c r="H301" s="36"/>
      <c r="I301" s="36"/>
      <c r="J301" s="60"/>
      <c r="L301" s="61"/>
      <c r="M301" s="61"/>
      <c r="N301" s="61"/>
      <c r="O301" s="61"/>
      <c r="P301" s="61"/>
      <c r="Q301" s="61"/>
      <c r="R301" s="62"/>
      <c r="S301" s="62"/>
      <c r="T301" s="62"/>
    </row>
    <row r="302" spans="1:20" ht="15.75" customHeight="1" x14ac:dyDescent="0.3">
      <c r="A302" s="36"/>
      <c r="B302" s="36"/>
      <c r="C302" s="6"/>
      <c r="D302" s="36"/>
      <c r="E302" s="36"/>
      <c r="F302" s="6"/>
      <c r="G302" s="37"/>
      <c r="H302" s="36"/>
      <c r="I302" s="36"/>
      <c r="J302" s="60"/>
      <c r="L302" s="61"/>
      <c r="M302" s="61"/>
      <c r="N302" s="61"/>
      <c r="O302" s="61"/>
      <c r="P302" s="61"/>
      <c r="Q302" s="61"/>
      <c r="R302" s="62"/>
      <c r="S302" s="62"/>
      <c r="T302" s="62"/>
    </row>
    <row r="303" spans="1:20" ht="15.75" customHeight="1" x14ac:dyDescent="0.3">
      <c r="A303" s="36"/>
      <c r="B303" s="36"/>
      <c r="C303" s="6"/>
      <c r="D303" s="36"/>
      <c r="E303" s="36"/>
      <c r="F303" s="6"/>
      <c r="G303" s="37"/>
      <c r="H303" s="36"/>
      <c r="I303" s="36"/>
      <c r="J303" s="60"/>
      <c r="L303" s="61"/>
      <c r="M303" s="61"/>
      <c r="N303" s="61"/>
      <c r="O303" s="61"/>
      <c r="P303" s="61"/>
      <c r="Q303" s="61"/>
      <c r="R303" s="62"/>
      <c r="S303" s="62"/>
      <c r="T303" s="62"/>
    </row>
    <row r="304" spans="1:20" ht="15.75" customHeight="1" x14ac:dyDescent="0.3">
      <c r="A304" s="36"/>
      <c r="B304" s="36"/>
      <c r="C304" s="6"/>
      <c r="D304" s="36"/>
      <c r="E304" s="36"/>
      <c r="F304" s="6"/>
      <c r="G304" s="37"/>
      <c r="H304" s="36"/>
      <c r="I304" s="36"/>
      <c r="J304" s="60"/>
      <c r="L304" s="61"/>
      <c r="M304" s="61"/>
      <c r="N304" s="61"/>
      <c r="O304" s="61"/>
      <c r="P304" s="61"/>
      <c r="Q304" s="61"/>
      <c r="R304" s="62"/>
      <c r="S304" s="62"/>
      <c r="T304" s="62"/>
    </row>
    <row r="305" spans="1:20" ht="15.75" customHeight="1" x14ac:dyDescent="0.3">
      <c r="A305" s="36"/>
      <c r="B305" s="36"/>
      <c r="C305" s="6"/>
      <c r="D305" s="36"/>
      <c r="E305" s="36"/>
      <c r="F305" s="6"/>
      <c r="G305" s="37"/>
      <c r="H305" s="36"/>
      <c r="I305" s="36"/>
      <c r="J305" s="60"/>
      <c r="L305" s="61"/>
      <c r="M305" s="61"/>
      <c r="N305" s="61"/>
      <c r="O305" s="61"/>
      <c r="P305" s="61"/>
      <c r="Q305" s="61"/>
      <c r="R305" s="62"/>
      <c r="S305" s="62"/>
      <c r="T305" s="62"/>
    </row>
    <row r="306" spans="1:20" ht="15.75" customHeight="1" x14ac:dyDescent="0.3">
      <c r="A306" s="36"/>
      <c r="B306" s="36"/>
      <c r="C306" s="6"/>
      <c r="D306" s="36"/>
      <c r="E306" s="36"/>
      <c r="F306" s="6"/>
      <c r="G306" s="37"/>
      <c r="H306" s="36"/>
      <c r="I306" s="36"/>
      <c r="J306" s="60"/>
      <c r="L306" s="61"/>
      <c r="M306" s="61"/>
      <c r="N306" s="61"/>
      <c r="O306" s="61"/>
      <c r="P306" s="61"/>
      <c r="Q306" s="61"/>
      <c r="R306" s="62"/>
      <c r="S306" s="62"/>
      <c r="T306" s="62"/>
    </row>
    <row r="307" spans="1:20" ht="15.75" customHeight="1" x14ac:dyDescent="0.3">
      <c r="A307" s="36"/>
      <c r="B307" s="36"/>
      <c r="C307" s="6"/>
      <c r="D307" s="36"/>
      <c r="E307" s="36"/>
      <c r="F307" s="6"/>
      <c r="G307" s="37"/>
      <c r="H307" s="36"/>
      <c r="I307" s="36"/>
      <c r="J307" s="60"/>
      <c r="L307" s="61"/>
      <c r="M307" s="61"/>
      <c r="N307" s="61"/>
      <c r="O307" s="61"/>
      <c r="P307" s="61"/>
      <c r="Q307" s="61"/>
      <c r="R307" s="62"/>
      <c r="S307" s="62"/>
      <c r="T307" s="62"/>
    </row>
    <row r="308" spans="1:20" ht="15.75" customHeight="1" x14ac:dyDescent="0.3">
      <c r="A308" s="36"/>
      <c r="B308" s="36"/>
      <c r="C308" s="6"/>
      <c r="D308" s="36"/>
      <c r="E308" s="36"/>
      <c r="F308" s="6"/>
      <c r="G308" s="37"/>
      <c r="H308" s="36"/>
      <c r="I308" s="36"/>
      <c r="J308" s="60"/>
      <c r="L308" s="61"/>
      <c r="M308" s="61"/>
      <c r="N308" s="61"/>
      <c r="O308" s="61"/>
      <c r="P308" s="61"/>
      <c r="Q308" s="61"/>
      <c r="R308" s="62"/>
      <c r="S308" s="62"/>
      <c r="T308" s="62"/>
    </row>
    <row r="309" spans="1:20" ht="15.75" customHeight="1" x14ac:dyDescent="0.3">
      <c r="A309" s="36"/>
      <c r="B309" s="36"/>
      <c r="C309" s="6"/>
      <c r="D309" s="36"/>
      <c r="E309" s="36"/>
      <c r="F309" s="6"/>
      <c r="G309" s="37"/>
      <c r="H309" s="36"/>
      <c r="I309" s="36"/>
      <c r="J309" s="60"/>
      <c r="L309" s="61"/>
      <c r="M309" s="61"/>
      <c r="N309" s="61"/>
      <c r="O309" s="61"/>
      <c r="P309" s="61"/>
      <c r="Q309" s="61"/>
      <c r="R309" s="62"/>
      <c r="S309" s="62"/>
      <c r="T309" s="62"/>
    </row>
    <row r="310" spans="1:20" ht="15.75" customHeight="1" x14ac:dyDescent="0.3">
      <c r="A310" s="36"/>
      <c r="B310" s="36"/>
      <c r="C310" s="6"/>
      <c r="D310" s="36"/>
      <c r="E310" s="36"/>
      <c r="F310" s="6"/>
      <c r="G310" s="37"/>
      <c r="H310" s="36"/>
      <c r="I310" s="36"/>
      <c r="J310" s="60"/>
      <c r="L310" s="61"/>
      <c r="M310" s="61"/>
      <c r="N310" s="61"/>
      <c r="O310" s="61"/>
      <c r="P310" s="61"/>
      <c r="Q310" s="61"/>
      <c r="R310" s="62"/>
      <c r="S310" s="62"/>
      <c r="T310" s="62"/>
    </row>
    <row r="311" spans="1:20" ht="15.75" customHeight="1" x14ac:dyDescent="0.3">
      <c r="A311" s="36"/>
      <c r="B311" s="36"/>
      <c r="C311" s="6"/>
      <c r="D311" s="36"/>
      <c r="E311" s="36"/>
      <c r="F311" s="6"/>
      <c r="G311" s="37"/>
      <c r="H311" s="36"/>
      <c r="I311" s="36"/>
      <c r="J311" s="60"/>
      <c r="L311" s="61"/>
      <c r="M311" s="61"/>
      <c r="N311" s="61"/>
      <c r="O311" s="61"/>
      <c r="P311" s="61"/>
      <c r="Q311" s="61"/>
      <c r="R311" s="62"/>
      <c r="S311" s="62"/>
      <c r="T311" s="62"/>
    </row>
    <row r="312" spans="1:20" ht="15.75" customHeight="1" x14ac:dyDescent="0.3">
      <c r="A312" s="36"/>
      <c r="B312" s="36"/>
      <c r="C312" s="6"/>
      <c r="D312" s="36"/>
      <c r="E312" s="36"/>
      <c r="F312" s="6"/>
      <c r="G312" s="37"/>
      <c r="H312" s="36"/>
      <c r="I312" s="36"/>
      <c r="J312" s="60"/>
      <c r="L312" s="61"/>
      <c r="M312" s="61"/>
      <c r="N312" s="61"/>
      <c r="O312" s="61"/>
      <c r="P312" s="61"/>
      <c r="Q312" s="61"/>
      <c r="R312" s="62"/>
      <c r="S312" s="62"/>
      <c r="T312" s="62"/>
    </row>
    <row r="313" spans="1:20" ht="15.75" customHeight="1" x14ac:dyDescent="0.3">
      <c r="A313" s="36"/>
      <c r="B313" s="36"/>
      <c r="C313" s="6"/>
      <c r="D313" s="36"/>
      <c r="E313" s="36"/>
      <c r="F313" s="6"/>
      <c r="G313" s="37"/>
      <c r="H313" s="36"/>
      <c r="I313" s="36"/>
      <c r="J313" s="60"/>
      <c r="L313" s="61"/>
      <c r="M313" s="61"/>
      <c r="N313" s="61"/>
      <c r="O313" s="61"/>
      <c r="P313" s="61"/>
      <c r="Q313" s="61"/>
      <c r="R313" s="62"/>
      <c r="S313" s="62"/>
      <c r="T313" s="62"/>
    </row>
    <row r="314" spans="1:20" ht="15.75" customHeight="1" x14ac:dyDescent="0.3">
      <c r="A314" s="36"/>
      <c r="B314" s="36"/>
      <c r="C314" s="6"/>
      <c r="D314" s="36"/>
      <c r="E314" s="36"/>
      <c r="F314" s="6"/>
      <c r="G314" s="37"/>
      <c r="H314" s="36"/>
      <c r="I314" s="36"/>
      <c r="J314" s="60"/>
      <c r="L314" s="61"/>
      <c r="M314" s="61"/>
      <c r="N314" s="61"/>
      <c r="O314" s="61"/>
      <c r="P314" s="61"/>
      <c r="Q314" s="61"/>
      <c r="R314" s="62"/>
      <c r="S314" s="62"/>
      <c r="T314" s="62"/>
    </row>
    <row r="315" spans="1:20" ht="15.75" customHeight="1" x14ac:dyDescent="0.3">
      <c r="A315" s="36"/>
      <c r="B315" s="36"/>
      <c r="C315" s="6"/>
      <c r="D315" s="36"/>
      <c r="E315" s="36"/>
      <c r="F315" s="6"/>
      <c r="G315" s="37"/>
      <c r="H315" s="36"/>
      <c r="I315" s="36"/>
      <c r="J315" s="60"/>
      <c r="L315" s="61"/>
      <c r="M315" s="61"/>
      <c r="N315" s="61"/>
      <c r="O315" s="61"/>
      <c r="P315" s="61"/>
      <c r="Q315" s="61"/>
      <c r="R315" s="62"/>
      <c r="S315" s="62"/>
      <c r="T315" s="62"/>
    </row>
    <row r="316" spans="1:20" ht="15.75" customHeight="1" x14ac:dyDescent="0.3">
      <c r="A316" s="36"/>
      <c r="B316" s="36"/>
      <c r="C316" s="6"/>
      <c r="D316" s="36"/>
      <c r="E316" s="36"/>
      <c r="F316" s="6"/>
      <c r="G316" s="37"/>
      <c r="H316" s="36"/>
      <c r="I316" s="36"/>
      <c r="J316" s="60"/>
      <c r="L316" s="61"/>
      <c r="M316" s="61"/>
      <c r="N316" s="61"/>
      <c r="O316" s="61"/>
      <c r="P316" s="61"/>
      <c r="Q316" s="61"/>
      <c r="R316" s="62"/>
      <c r="S316" s="62"/>
      <c r="T316" s="62"/>
    </row>
    <row r="317" spans="1:20" ht="15.75" customHeight="1" x14ac:dyDescent="0.3">
      <c r="A317" s="36"/>
      <c r="B317" s="36"/>
      <c r="C317" s="6"/>
      <c r="D317" s="36"/>
      <c r="E317" s="36"/>
      <c r="F317" s="6"/>
      <c r="G317" s="37"/>
      <c r="H317" s="36"/>
      <c r="I317" s="36"/>
      <c r="J317" s="60"/>
      <c r="L317" s="61"/>
      <c r="M317" s="61"/>
      <c r="N317" s="61"/>
      <c r="O317" s="61"/>
      <c r="P317" s="61"/>
      <c r="Q317" s="61"/>
      <c r="R317" s="62"/>
      <c r="S317" s="62"/>
      <c r="T317" s="62"/>
    </row>
    <row r="318" spans="1:20" ht="15.75" customHeight="1" x14ac:dyDescent="0.3">
      <c r="A318" s="36"/>
      <c r="B318" s="36"/>
      <c r="C318" s="6"/>
      <c r="D318" s="36"/>
      <c r="E318" s="36"/>
      <c r="F318" s="6"/>
      <c r="G318" s="37"/>
      <c r="H318" s="36"/>
      <c r="I318" s="36"/>
      <c r="J318" s="60"/>
      <c r="L318" s="61"/>
      <c r="M318" s="61"/>
      <c r="N318" s="61"/>
      <c r="O318" s="61"/>
      <c r="P318" s="61"/>
      <c r="Q318" s="61"/>
      <c r="R318" s="62"/>
      <c r="S318" s="62"/>
      <c r="T318" s="62"/>
    </row>
    <row r="319" spans="1:20" ht="15.75" customHeight="1" x14ac:dyDescent="0.3">
      <c r="A319" s="36"/>
      <c r="B319" s="36"/>
      <c r="C319" s="6"/>
      <c r="D319" s="36"/>
      <c r="E319" s="36"/>
      <c r="F319" s="6"/>
      <c r="G319" s="37"/>
      <c r="H319" s="36"/>
      <c r="I319" s="36"/>
      <c r="J319" s="60"/>
      <c r="L319" s="61"/>
      <c r="M319" s="61"/>
      <c r="N319" s="61"/>
      <c r="O319" s="61"/>
      <c r="P319" s="61"/>
      <c r="Q319" s="61"/>
      <c r="R319" s="62"/>
      <c r="S319" s="62"/>
      <c r="T319" s="62"/>
    </row>
    <row r="320" spans="1:20" ht="15.75" customHeight="1" x14ac:dyDescent="0.3">
      <c r="A320" s="36"/>
      <c r="B320" s="36"/>
      <c r="C320" s="6"/>
      <c r="D320" s="36"/>
      <c r="E320" s="36"/>
      <c r="F320" s="6"/>
      <c r="G320" s="37"/>
      <c r="H320" s="36"/>
      <c r="I320" s="36"/>
      <c r="J320" s="60"/>
      <c r="L320" s="61"/>
      <c r="M320" s="61"/>
      <c r="N320" s="61"/>
      <c r="O320" s="61"/>
      <c r="P320" s="61"/>
      <c r="Q320" s="61"/>
      <c r="R320" s="62"/>
      <c r="S320" s="62"/>
      <c r="T320" s="62"/>
    </row>
    <row r="321" spans="1:20" ht="15.75" customHeight="1" x14ac:dyDescent="0.3">
      <c r="A321" s="36"/>
      <c r="B321" s="36"/>
      <c r="C321" s="6"/>
      <c r="D321" s="36"/>
      <c r="E321" s="36"/>
      <c r="F321" s="6"/>
      <c r="G321" s="37"/>
      <c r="H321" s="36"/>
      <c r="I321" s="36"/>
      <c r="J321" s="60"/>
      <c r="L321" s="61"/>
      <c r="M321" s="61"/>
      <c r="N321" s="61"/>
      <c r="O321" s="61"/>
      <c r="P321" s="61"/>
      <c r="Q321" s="61"/>
      <c r="R321" s="62"/>
      <c r="S321" s="62"/>
      <c r="T321" s="62"/>
    </row>
    <row r="322" spans="1:20" ht="15.75" customHeight="1" x14ac:dyDescent="0.3">
      <c r="A322" s="36"/>
      <c r="B322" s="36"/>
      <c r="C322" s="6"/>
      <c r="D322" s="36"/>
      <c r="E322" s="36"/>
      <c r="F322" s="6"/>
      <c r="G322" s="37"/>
      <c r="H322" s="36"/>
      <c r="I322" s="36"/>
      <c r="J322" s="60"/>
      <c r="L322" s="61"/>
      <c r="M322" s="61"/>
      <c r="N322" s="61"/>
      <c r="O322" s="61"/>
      <c r="P322" s="61"/>
      <c r="Q322" s="61"/>
      <c r="R322" s="62"/>
      <c r="S322" s="62"/>
      <c r="T322" s="62"/>
    </row>
    <row r="323" spans="1:20" ht="15.75" customHeight="1" x14ac:dyDescent="0.3">
      <c r="A323" s="36"/>
      <c r="B323" s="36"/>
      <c r="C323" s="6"/>
      <c r="D323" s="36"/>
      <c r="E323" s="36"/>
      <c r="F323" s="6"/>
      <c r="G323" s="37"/>
      <c r="H323" s="36"/>
      <c r="I323" s="36"/>
      <c r="J323" s="60"/>
      <c r="L323" s="61"/>
      <c r="M323" s="61"/>
      <c r="N323" s="61"/>
      <c r="O323" s="61"/>
      <c r="P323" s="61"/>
      <c r="Q323" s="61"/>
      <c r="R323" s="62"/>
      <c r="S323" s="62"/>
      <c r="T323" s="62"/>
    </row>
    <row r="324" spans="1:20" ht="15.75" customHeight="1" x14ac:dyDescent="0.3">
      <c r="A324" s="36"/>
      <c r="B324" s="36"/>
      <c r="C324" s="6"/>
      <c r="D324" s="36"/>
      <c r="E324" s="36"/>
      <c r="F324" s="6"/>
      <c r="G324" s="37"/>
      <c r="H324" s="36"/>
      <c r="I324" s="36"/>
      <c r="J324" s="60"/>
      <c r="L324" s="61"/>
      <c r="M324" s="61"/>
      <c r="N324" s="61"/>
      <c r="O324" s="61"/>
      <c r="P324" s="61"/>
      <c r="Q324" s="61"/>
      <c r="R324" s="62"/>
      <c r="S324" s="62"/>
      <c r="T324" s="62"/>
    </row>
    <row r="325" spans="1:20" ht="15.75" customHeight="1" x14ac:dyDescent="0.3">
      <c r="A325" s="36"/>
      <c r="B325" s="36"/>
      <c r="C325" s="6"/>
      <c r="D325" s="36"/>
      <c r="E325" s="36"/>
      <c r="F325" s="6"/>
      <c r="G325" s="37"/>
      <c r="H325" s="36"/>
      <c r="I325" s="36"/>
      <c r="J325" s="60"/>
      <c r="L325" s="61"/>
      <c r="M325" s="61"/>
      <c r="N325" s="61"/>
      <c r="O325" s="61"/>
      <c r="P325" s="61"/>
      <c r="Q325" s="61"/>
      <c r="R325" s="62"/>
      <c r="S325" s="62"/>
      <c r="T325" s="62"/>
    </row>
    <row r="326" spans="1:20" ht="15.75" customHeight="1" x14ac:dyDescent="0.3">
      <c r="A326" s="36"/>
      <c r="B326" s="36"/>
      <c r="C326" s="6"/>
      <c r="D326" s="36"/>
      <c r="E326" s="36"/>
      <c r="F326" s="6"/>
      <c r="G326" s="37"/>
      <c r="H326" s="36"/>
      <c r="I326" s="36"/>
      <c r="J326" s="60"/>
      <c r="L326" s="61"/>
      <c r="M326" s="61"/>
      <c r="N326" s="61"/>
      <c r="O326" s="61"/>
      <c r="P326" s="61"/>
      <c r="Q326" s="61"/>
      <c r="R326" s="62"/>
      <c r="S326" s="62"/>
      <c r="T326" s="62"/>
    </row>
    <row r="327" spans="1:20" ht="15.75" customHeight="1" x14ac:dyDescent="0.3">
      <c r="A327" s="36"/>
      <c r="B327" s="36"/>
      <c r="C327" s="6"/>
      <c r="D327" s="36"/>
      <c r="E327" s="36"/>
      <c r="F327" s="6"/>
      <c r="G327" s="37"/>
      <c r="H327" s="36"/>
      <c r="I327" s="36"/>
      <c r="J327" s="60"/>
      <c r="L327" s="61"/>
      <c r="M327" s="61"/>
      <c r="N327" s="61"/>
      <c r="O327" s="61"/>
      <c r="P327" s="61"/>
      <c r="Q327" s="61"/>
      <c r="R327" s="62"/>
      <c r="S327" s="62"/>
      <c r="T327" s="62"/>
    </row>
    <row r="328" spans="1:20" ht="15.75" customHeight="1" x14ac:dyDescent="0.3">
      <c r="A328" s="36"/>
      <c r="B328" s="36"/>
      <c r="C328" s="6"/>
      <c r="D328" s="36"/>
      <c r="E328" s="36"/>
      <c r="F328" s="6"/>
      <c r="G328" s="37"/>
      <c r="H328" s="36"/>
      <c r="I328" s="36"/>
      <c r="J328" s="60"/>
      <c r="L328" s="61"/>
      <c r="M328" s="61"/>
      <c r="N328" s="61"/>
      <c r="O328" s="61"/>
      <c r="P328" s="61"/>
      <c r="Q328" s="61"/>
      <c r="R328" s="62"/>
      <c r="S328" s="62"/>
      <c r="T328" s="62"/>
    </row>
    <row r="329" spans="1:20" ht="15.75" customHeight="1" x14ac:dyDescent="0.3">
      <c r="A329" s="36"/>
      <c r="B329" s="36"/>
      <c r="C329" s="6"/>
      <c r="D329" s="36"/>
      <c r="E329" s="36"/>
      <c r="F329" s="6"/>
      <c r="G329" s="37"/>
      <c r="H329" s="36"/>
      <c r="I329" s="36"/>
      <c r="J329" s="60"/>
      <c r="L329" s="61"/>
      <c r="M329" s="61"/>
      <c r="N329" s="61"/>
      <c r="O329" s="61"/>
      <c r="P329" s="61"/>
      <c r="Q329" s="61"/>
      <c r="R329" s="62"/>
      <c r="S329" s="62"/>
      <c r="T329" s="62"/>
    </row>
    <row r="330" spans="1:20" ht="15.75" customHeight="1" x14ac:dyDescent="0.3">
      <c r="A330" s="36"/>
      <c r="B330" s="36"/>
      <c r="C330" s="6"/>
      <c r="D330" s="36"/>
      <c r="E330" s="36"/>
      <c r="F330" s="6"/>
      <c r="G330" s="37"/>
      <c r="H330" s="36"/>
      <c r="I330" s="36"/>
      <c r="J330" s="60"/>
      <c r="L330" s="61"/>
      <c r="M330" s="61"/>
      <c r="N330" s="61"/>
      <c r="O330" s="61"/>
      <c r="P330" s="61"/>
      <c r="Q330" s="61"/>
      <c r="R330" s="62"/>
      <c r="S330" s="62"/>
      <c r="T330" s="62"/>
    </row>
    <row r="331" spans="1:20" ht="15.75" customHeight="1" x14ac:dyDescent="0.3">
      <c r="A331" s="36"/>
      <c r="B331" s="36"/>
      <c r="C331" s="6"/>
      <c r="D331" s="36"/>
      <c r="E331" s="36"/>
      <c r="F331" s="6"/>
      <c r="G331" s="37"/>
      <c r="H331" s="36"/>
      <c r="I331" s="36"/>
      <c r="J331" s="60"/>
      <c r="L331" s="61"/>
      <c r="M331" s="61"/>
      <c r="N331" s="61"/>
      <c r="O331" s="61"/>
      <c r="P331" s="61"/>
      <c r="Q331" s="61"/>
      <c r="R331" s="62"/>
      <c r="S331" s="62"/>
      <c r="T331" s="62"/>
    </row>
    <row r="332" spans="1:20" ht="15.75" customHeight="1" x14ac:dyDescent="0.3">
      <c r="A332" s="36"/>
      <c r="B332" s="36"/>
      <c r="C332" s="6"/>
      <c r="D332" s="36"/>
      <c r="E332" s="36"/>
      <c r="F332" s="6"/>
      <c r="G332" s="37"/>
      <c r="H332" s="36"/>
      <c r="I332" s="36"/>
      <c r="J332" s="60"/>
      <c r="L332" s="61"/>
      <c r="M332" s="61"/>
      <c r="N332" s="61"/>
      <c r="O332" s="61"/>
      <c r="P332" s="61"/>
      <c r="Q332" s="61"/>
      <c r="R332" s="62"/>
      <c r="S332" s="62"/>
      <c r="T332" s="62"/>
    </row>
    <row r="333" spans="1:20" ht="15.75" customHeight="1" x14ac:dyDescent="0.3">
      <c r="A333" s="36"/>
      <c r="B333" s="36"/>
      <c r="C333" s="6"/>
      <c r="D333" s="36"/>
      <c r="E333" s="36"/>
      <c r="F333" s="6"/>
      <c r="G333" s="37"/>
      <c r="H333" s="36"/>
      <c r="I333" s="36"/>
      <c r="J333" s="60"/>
      <c r="L333" s="61"/>
      <c r="M333" s="61"/>
      <c r="N333" s="61"/>
      <c r="O333" s="61"/>
      <c r="P333" s="61"/>
      <c r="Q333" s="61"/>
      <c r="R333" s="62"/>
      <c r="S333" s="62"/>
      <c r="T333" s="62"/>
    </row>
    <row r="334" spans="1:20" ht="15.75" customHeight="1" x14ac:dyDescent="0.3">
      <c r="A334" s="36"/>
      <c r="B334" s="36"/>
      <c r="C334" s="6"/>
      <c r="D334" s="36"/>
      <c r="E334" s="36"/>
      <c r="F334" s="6"/>
      <c r="G334" s="37"/>
      <c r="H334" s="36"/>
      <c r="I334" s="36"/>
      <c r="J334" s="60"/>
      <c r="L334" s="61"/>
      <c r="M334" s="61"/>
      <c r="N334" s="61"/>
      <c r="O334" s="61"/>
      <c r="P334" s="61"/>
      <c r="Q334" s="61"/>
      <c r="R334" s="62"/>
      <c r="S334" s="62"/>
      <c r="T334" s="62"/>
    </row>
    <row r="335" spans="1:20" ht="15.75" customHeight="1" x14ac:dyDescent="0.3">
      <c r="A335" s="36"/>
      <c r="B335" s="36"/>
      <c r="C335" s="6"/>
      <c r="D335" s="36"/>
      <c r="E335" s="36"/>
      <c r="F335" s="6"/>
      <c r="G335" s="37"/>
      <c r="H335" s="36"/>
      <c r="I335" s="36"/>
      <c r="J335" s="60"/>
      <c r="L335" s="61"/>
      <c r="M335" s="61"/>
      <c r="N335" s="61"/>
      <c r="O335" s="61"/>
      <c r="P335" s="61"/>
      <c r="Q335" s="61"/>
      <c r="R335" s="62"/>
      <c r="S335" s="62"/>
      <c r="T335" s="62"/>
    </row>
    <row r="336" spans="1:20" ht="15.75" customHeight="1" x14ac:dyDescent="0.3">
      <c r="A336" s="36"/>
      <c r="B336" s="36"/>
      <c r="C336" s="6"/>
      <c r="D336" s="36"/>
      <c r="E336" s="36"/>
      <c r="F336" s="6"/>
      <c r="G336" s="37"/>
      <c r="H336" s="36"/>
      <c r="I336" s="36"/>
      <c r="J336" s="60"/>
      <c r="L336" s="61"/>
      <c r="M336" s="61"/>
      <c r="N336" s="61"/>
      <c r="O336" s="61"/>
      <c r="P336" s="61"/>
      <c r="Q336" s="61"/>
      <c r="R336" s="62"/>
      <c r="S336" s="62"/>
      <c r="T336" s="62"/>
    </row>
    <row r="337" spans="1:20" ht="15.75" customHeight="1" x14ac:dyDescent="0.3">
      <c r="A337" s="36"/>
      <c r="B337" s="36"/>
      <c r="C337" s="6"/>
      <c r="D337" s="36"/>
      <c r="E337" s="36"/>
      <c r="F337" s="6"/>
      <c r="G337" s="37"/>
      <c r="H337" s="36"/>
      <c r="I337" s="36"/>
      <c r="J337" s="60"/>
      <c r="L337" s="61"/>
      <c r="M337" s="61"/>
      <c r="N337" s="61"/>
      <c r="O337" s="61"/>
      <c r="P337" s="61"/>
      <c r="Q337" s="61"/>
      <c r="R337" s="62"/>
      <c r="S337" s="62"/>
      <c r="T337" s="62"/>
    </row>
    <row r="338" spans="1:20" ht="15.75" customHeight="1" x14ac:dyDescent="0.3">
      <c r="A338" s="36"/>
      <c r="B338" s="36"/>
      <c r="C338" s="6"/>
      <c r="D338" s="36"/>
      <c r="E338" s="36"/>
      <c r="F338" s="6"/>
      <c r="G338" s="37"/>
      <c r="H338" s="36"/>
      <c r="I338" s="36"/>
      <c r="J338" s="60"/>
      <c r="L338" s="61"/>
      <c r="M338" s="61"/>
      <c r="N338" s="61"/>
      <c r="O338" s="61"/>
      <c r="P338" s="61"/>
      <c r="Q338" s="61"/>
      <c r="R338" s="62"/>
      <c r="S338" s="62"/>
      <c r="T338" s="62"/>
    </row>
    <row r="339" spans="1:20" ht="15.75" customHeight="1" x14ac:dyDescent="0.3">
      <c r="A339" s="36"/>
      <c r="B339" s="36"/>
      <c r="C339" s="6"/>
      <c r="D339" s="36"/>
      <c r="E339" s="36"/>
      <c r="F339" s="6"/>
      <c r="G339" s="37"/>
      <c r="H339" s="36"/>
      <c r="I339" s="36"/>
      <c r="J339" s="60"/>
      <c r="L339" s="61"/>
      <c r="M339" s="61"/>
      <c r="N339" s="61"/>
      <c r="O339" s="61"/>
      <c r="P339" s="61"/>
      <c r="Q339" s="61"/>
      <c r="R339" s="62"/>
      <c r="S339" s="62"/>
      <c r="T339" s="62"/>
    </row>
    <row r="340" spans="1:20" ht="15.75" customHeight="1" x14ac:dyDescent="0.3">
      <c r="A340" s="36"/>
      <c r="B340" s="36"/>
      <c r="C340" s="6"/>
      <c r="D340" s="36"/>
      <c r="E340" s="36"/>
      <c r="F340" s="6"/>
      <c r="G340" s="37"/>
      <c r="H340" s="36"/>
      <c r="I340" s="36"/>
      <c r="J340" s="60"/>
      <c r="L340" s="61"/>
      <c r="M340" s="61"/>
      <c r="N340" s="61"/>
      <c r="O340" s="61"/>
      <c r="P340" s="61"/>
      <c r="Q340" s="61"/>
      <c r="R340" s="62"/>
      <c r="S340" s="62"/>
      <c r="T340" s="62"/>
    </row>
    <row r="341" spans="1:20" ht="15.75" customHeight="1" x14ac:dyDescent="0.3">
      <c r="A341" s="36"/>
      <c r="B341" s="36"/>
      <c r="C341" s="6"/>
      <c r="D341" s="36"/>
      <c r="E341" s="36"/>
      <c r="F341" s="6"/>
      <c r="G341" s="37"/>
      <c r="H341" s="36"/>
      <c r="I341" s="36"/>
      <c r="J341" s="60"/>
      <c r="L341" s="61"/>
      <c r="M341" s="61"/>
      <c r="N341" s="61"/>
      <c r="O341" s="61"/>
      <c r="P341" s="61"/>
      <c r="Q341" s="61"/>
      <c r="R341" s="62"/>
      <c r="S341" s="62"/>
      <c r="T341" s="62"/>
    </row>
    <row r="342" spans="1:20" ht="15.75" customHeight="1" x14ac:dyDescent="0.3">
      <c r="A342" s="36"/>
      <c r="B342" s="36"/>
      <c r="C342" s="6"/>
      <c r="D342" s="36"/>
      <c r="E342" s="36"/>
      <c r="F342" s="6"/>
      <c r="G342" s="37"/>
      <c r="H342" s="36"/>
      <c r="I342" s="36"/>
      <c r="J342" s="60"/>
      <c r="L342" s="61"/>
      <c r="M342" s="61"/>
      <c r="N342" s="61"/>
      <c r="O342" s="61"/>
      <c r="P342" s="61"/>
      <c r="Q342" s="61"/>
      <c r="R342" s="62"/>
      <c r="S342" s="62"/>
      <c r="T342" s="62"/>
    </row>
    <row r="343" spans="1:20" ht="15.75" customHeight="1" x14ac:dyDescent="0.3">
      <c r="A343" s="36"/>
      <c r="B343" s="36"/>
      <c r="C343" s="6"/>
      <c r="D343" s="36"/>
      <c r="E343" s="36"/>
      <c r="F343" s="6"/>
      <c r="G343" s="37"/>
      <c r="H343" s="36"/>
      <c r="I343" s="36"/>
      <c r="J343" s="60"/>
      <c r="L343" s="61"/>
      <c r="M343" s="61"/>
      <c r="N343" s="61"/>
      <c r="O343" s="61"/>
      <c r="P343" s="61"/>
      <c r="Q343" s="61"/>
      <c r="R343" s="62"/>
      <c r="S343" s="62"/>
      <c r="T343" s="62"/>
    </row>
    <row r="344" spans="1:20" ht="15.75" customHeight="1" x14ac:dyDescent="0.3">
      <c r="A344" s="36"/>
      <c r="B344" s="36"/>
      <c r="C344" s="6"/>
      <c r="D344" s="36"/>
      <c r="E344" s="36"/>
      <c r="F344" s="6"/>
      <c r="G344" s="37"/>
      <c r="H344" s="36"/>
      <c r="I344" s="36"/>
      <c r="J344" s="60"/>
      <c r="L344" s="61"/>
      <c r="M344" s="61"/>
      <c r="N344" s="61"/>
      <c r="O344" s="61"/>
      <c r="P344" s="61"/>
      <c r="Q344" s="61"/>
      <c r="R344" s="62"/>
      <c r="S344" s="62"/>
      <c r="T344" s="62"/>
    </row>
    <row r="345" spans="1:20" ht="15.75" customHeight="1" x14ac:dyDescent="0.3">
      <c r="A345" s="36"/>
      <c r="B345" s="36"/>
      <c r="C345" s="6"/>
      <c r="D345" s="36"/>
      <c r="E345" s="36"/>
      <c r="F345" s="6"/>
      <c r="G345" s="37"/>
      <c r="H345" s="36"/>
      <c r="I345" s="36"/>
      <c r="J345" s="60"/>
      <c r="L345" s="61"/>
      <c r="M345" s="61"/>
      <c r="N345" s="61"/>
      <c r="O345" s="61"/>
      <c r="P345" s="61"/>
      <c r="Q345" s="61"/>
      <c r="R345" s="62"/>
      <c r="S345" s="62"/>
      <c r="T345" s="62"/>
    </row>
    <row r="346" spans="1:20" ht="15.75" customHeight="1" x14ac:dyDescent="0.3">
      <c r="A346" s="36"/>
      <c r="B346" s="36"/>
      <c r="C346" s="6"/>
      <c r="D346" s="36"/>
      <c r="E346" s="36"/>
      <c r="F346" s="6"/>
      <c r="G346" s="37"/>
      <c r="H346" s="36"/>
      <c r="I346" s="36"/>
      <c r="J346" s="60"/>
      <c r="L346" s="61"/>
      <c r="M346" s="61"/>
      <c r="N346" s="61"/>
      <c r="O346" s="61"/>
      <c r="P346" s="61"/>
      <c r="Q346" s="61"/>
      <c r="R346" s="62"/>
      <c r="S346" s="62"/>
      <c r="T346" s="62"/>
    </row>
    <row r="347" spans="1:20" ht="15.75" customHeight="1" x14ac:dyDescent="0.3">
      <c r="A347" s="36"/>
      <c r="B347" s="36"/>
      <c r="C347" s="6"/>
      <c r="D347" s="36"/>
      <c r="E347" s="36"/>
      <c r="F347" s="6"/>
      <c r="G347" s="37"/>
      <c r="H347" s="36"/>
      <c r="I347" s="36"/>
      <c r="J347" s="60"/>
      <c r="L347" s="61"/>
      <c r="M347" s="61"/>
      <c r="N347" s="61"/>
      <c r="O347" s="61"/>
      <c r="P347" s="61"/>
      <c r="Q347" s="61"/>
      <c r="R347" s="62"/>
      <c r="S347" s="62"/>
      <c r="T347" s="62"/>
    </row>
    <row r="348" spans="1:20" ht="15.75" customHeight="1" x14ac:dyDescent="0.3">
      <c r="A348" s="36"/>
      <c r="B348" s="36"/>
      <c r="C348" s="6"/>
      <c r="D348" s="36"/>
      <c r="E348" s="36"/>
      <c r="F348" s="6"/>
      <c r="G348" s="37"/>
      <c r="H348" s="36"/>
      <c r="I348" s="36"/>
      <c r="J348" s="60"/>
      <c r="L348" s="61"/>
      <c r="M348" s="61"/>
      <c r="N348" s="61"/>
      <c r="O348" s="61"/>
      <c r="P348" s="61"/>
      <c r="Q348" s="61"/>
      <c r="R348" s="62"/>
      <c r="S348" s="62"/>
      <c r="T348" s="62"/>
    </row>
    <row r="349" spans="1:20" ht="15.75" customHeight="1" x14ac:dyDescent="0.3">
      <c r="A349" s="36"/>
      <c r="B349" s="36"/>
      <c r="C349" s="6"/>
      <c r="D349" s="36"/>
      <c r="E349" s="36"/>
      <c r="F349" s="6"/>
      <c r="G349" s="37"/>
      <c r="H349" s="36"/>
      <c r="I349" s="36"/>
      <c r="J349" s="60"/>
      <c r="L349" s="61"/>
      <c r="M349" s="61"/>
      <c r="N349" s="61"/>
      <c r="O349" s="61"/>
      <c r="P349" s="61"/>
      <c r="Q349" s="61"/>
      <c r="R349" s="62"/>
      <c r="S349" s="62"/>
      <c r="T349" s="62"/>
    </row>
    <row r="350" spans="1:20" ht="15.75" customHeight="1" x14ac:dyDescent="0.3">
      <c r="A350" s="36"/>
      <c r="B350" s="36"/>
      <c r="C350" s="6"/>
      <c r="D350" s="36"/>
      <c r="E350" s="36"/>
      <c r="F350" s="6"/>
      <c r="G350" s="37"/>
      <c r="H350" s="36"/>
      <c r="I350" s="36"/>
      <c r="J350" s="60"/>
      <c r="L350" s="61"/>
      <c r="M350" s="61"/>
      <c r="N350" s="61"/>
      <c r="O350" s="61"/>
      <c r="P350" s="61"/>
      <c r="Q350" s="61"/>
      <c r="R350" s="62"/>
      <c r="S350" s="62"/>
      <c r="T350" s="62"/>
    </row>
    <row r="351" spans="1:20" ht="15.75" customHeight="1" x14ac:dyDescent="0.3">
      <c r="A351" s="36"/>
      <c r="B351" s="36"/>
      <c r="C351" s="6"/>
      <c r="D351" s="36"/>
      <c r="E351" s="36"/>
      <c r="F351" s="6"/>
      <c r="G351" s="37"/>
      <c r="H351" s="36"/>
      <c r="I351" s="36"/>
      <c r="J351" s="60"/>
      <c r="L351" s="61"/>
      <c r="M351" s="61"/>
      <c r="N351" s="61"/>
      <c r="O351" s="61"/>
      <c r="P351" s="61"/>
      <c r="Q351" s="61"/>
      <c r="R351" s="62"/>
      <c r="S351" s="62"/>
      <c r="T351" s="62"/>
    </row>
    <row r="352" spans="1:20" ht="15.75" customHeight="1" x14ac:dyDescent="0.3">
      <c r="A352" s="36"/>
      <c r="B352" s="36"/>
      <c r="C352" s="6"/>
      <c r="D352" s="36"/>
      <c r="E352" s="36"/>
      <c r="F352" s="6"/>
      <c r="G352" s="37"/>
      <c r="H352" s="36"/>
      <c r="I352" s="36"/>
      <c r="J352" s="60"/>
      <c r="L352" s="61"/>
      <c r="M352" s="61"/>
      <c r="N352" s="61"/>
      <c r="O352" s="61"/>
      <c r="P352" s="61"/>
      <c r="Q352" s="61"/>
      <c r="R352" s="62"/>
      <c r="S352" s="62"/>
      <c r="T352" s="62"/>
    </row>
    <row r="353" spans="1:20" ht="15.75" customHeight="1" x14ac:dyDescent="0.3">
      <c r="A353" s="36"/>
      <c r="B353" s="36"/>
      <c r="C353" s="6"/>
      <c r="D353" s="36"/>
      <c r="E353" s="36"/>
      <c r="F353" s="6"/>
      <c r="G353" s="37"/>
      <c r="H353" s="36"/>
      <c r="I353" s="36"/>
      <c r="J353" s="60"/>
      <c r="L353" s="61"/>
      <c r="M353" s="61"/>
      <c r="N353" s="61"/>
      <c r="O353" s="61"/>
      <c r="P353" s="61"/>
      <c r="Q353" s="61"/>
      <c r="R353" s="62"/>
      <c r="S353" s="62"/>
      <c r="T353" s="62"/>
    </row>
    <row r="354" spans="1:20" ht="15.75" customHeight="1" x14ac:dyDescent="0.3">
      <c r="A354" s="36"/>
      <c r="B354" s="36"/>
      <c r="C354" s="6"/>
      <c r="D354" s="36"/>
      <c r="E354" s="36"/>
      <c r="F354" s="6"/>
      <c r="G354" s="37"/>
      <c r="H354" s="36"/>
      <c r="I354" s="36"/>
      <c r="J354" s="60"/>
      <c r="L354" s="61"/>
      <c r="M354" s="61"/>
      <c r="N354" s="61"/>
      <c r="O354" s="61"/>
      <c r="P354" s="61"/>
      <c r="Q354" s="61"/>
      <c r="R354" s="62"/>
      <c r="S354" s="62"/>
      <c r="T354" s="62"/>
    </row>
    <row r="355" spans="1:20" ht="15.75" customHeight="1" x14ac:dyDescent="0.3">
      <c r="A355" s="36"/>
      <c r="B355" s="36"/>
      <c r="C355" s="6"/>
      <c r="D355" s="36"/>
      <c r="E355" s="36"/>
      <c r="F355" s="6"/>
      <c r="G355" s="37"/>
      <c r="H355" s="36"/>
      <c r="I355" s="36"/>
      <c r="J355" s="60"/>
      <c r="L355" s="61"/>
      <c r="M355" s="61"/>
      <c r="N355" s="61"/>
      <c r="O355" s="61"/>
      <c r="P355" s="61"/>
      <c r="Q355" s="61"/>
      <c r="R355" s="62"/>
      <c r="S355" s="62"/>
      <c r="T355" s="62"/>
    </row>
    <row r="356" spans="1:20" ht="15.75" customHeight="1" x14ac:dyDescent="0.3">
      <c r="A356" s="36"/>
      <c r="B356" s="36"/>
      <c r="C356" s="6"/>
      <c r="D356" s="36"/>
      <c r="E356" s="36"/>
      <c r="F356" s="6"/>
      <c r="G356" s="37"/>
      <c r="H356" s="36"/>
      <c r="I356" s="36"/>
      <c r="J356" s="60"/>
      <c r="L356" s="61"/>
      <c r="M356" s="61"/>
      <c r="N356" s="61"/>
      <c r="O356" s="61"/>
      <c r="P356" s="61"/>
      <c r="Q356" s="61"/>
      <c r="R356" s="62"/>
      <c r="S356" s="62"/>
      <c r="T356" s="62"/>
    </row>
    <row r="357" spans="1:20" ht="15.75" customHeight="1" x14ac:dyDescent="0.3">
      <c r="A357" s="36"/>
      <c r="B357" s="36"/>
      <c r="C357" s="6"/>
      <c r="D357" s="36"/>
      <c r="E357" s="36"/>
      <c r="F357" s="6"/>
      <c r="G357" s="37"/>
      <c r="H357" s="36"/>
      <c r="I357" s="36"/>
      <c r="J357" s="60"/>
      <c r="L357" s="61"/>
      <c r="M357" s="61"/>
      <c r="N357" s="61"/>
      <c r="O357" s="61"/>
      <c r="P357" s="61"/>
      <c r="Q357" s="61"/>
      <c r="R357" s="62"/>
      <c r="S357" s="62"/>
      <c r="T357" s="62"/>
    </row>
    <row r="358" spans="1:20" ht="15.75" customHeight="1" x14ac:dyDescent="0.3">
      <c r="A358" s="36"/>
      <c r="B358" s="36"/>
      <c r="C358" s="6"/>
      <c r="D358" s="36"/>
      <c r="E358" s="36"/>
      <c r="F358" s="6"/>
      <c r="G358" s="37"/>
      <c r="H358" s="36"/>
      <c r="I358" s="36"/>
      <c r="J358" s="60"/>
      <c r="L358" s="61"/>
      <c r="M358" s="61"/>
      <c r="N358" s="61"/>
      <c r="O358" s="61"/>
      <c r="P358" s="61"/>
      <c r="Q358" s="61"/>
      <c r="R358" s="62"/>
      <c r="S358" s="62"/>
      <c r="T358" s="62"/>
    </row>
    <row r="359" spans="1:20" ht="15.75" customHeight="1" x14ac:dyDescent="0.3">
      <c r="A359" s="36"/>
      <c r="B359" s="36"/>
      <c r="C359" s="6"/>
      <c r="D359" s="36"/>
      <c r="E359" s="36"/>
      <c r="F359" s="6"/>
      <c r="G359" s="37"/>
      <c r="H359" s="36"/>
      <c r="I359" s="36"/>
      <c r="J359" s="60"/>
      <c r="L359" s="61"/>
      <c r="M359" s="61"/>
      <c r="N359" s="61"/>
      <c r="O359" s="61"/>
      <c r="P359" s="61"/>
      <c r="Q359" s="61"/>
      <c r="R359" s="62"/>
      <c r="S359" s="62"/>
      <c r="T359" s="62"/>
    </row>
    <row r="360" spans="1:20" ht="15.75" customHeight="1" x14ac:dyDescent="0.3">
      <c r="A360" s="36"/>
      <c r="B360" s="36"/>
      <c r="C360" s="6"/>
      <c r="D360" s="36"/>
      <c r="E360" s="36"/>
      <c r="F360" s="6"/>
      <c r="G360" s="37"/>
      <c r="H360" s="36"/>
      <c r="I360" s="36"/>
      <c r="J360" s="60"/>
      <c r="L360" s="61"/>
      <c r="M360" s="61"/>
      <c r="N360" s="61"/>
      <c r="O360" s="61"/>
      <c r="P360" s="61"/>
      <c r="Q360" s="61"/>
      <c r="R360" s="62"/>
      <c r="S360" s="62"/>
      <c r="T360" s="62"/>
    </row>
    <row r="361" spans="1:20" ht="15.75" customHeight="1" x14ac:dyDescent="0.3">
      <c r="A361" s="36"/>
      <c r="B361" s="36"/>
      <c r="C361" s="6"/>
      <c r="D361" s="36"/>
      <c r="E361" s="36"/>
      <c r="F361" s="6"/>
      <c r="G361" s="37"/>
      <c r="H361" s="36"/>
      <c r="I361" s="36"/>
      <c r="J361" s="60"/>
      <c r="L361" s="61"/>
      <c r="M361" s="61"/>
      <c r="N361" s="61"/>
      <c r="O361" s="61"/>
      <c r="P361" s="61"/>
      <c r="Q361" s="61"/>
      <c r="R361" s="62"/>
      <c r="S361" s="62"/>
      <c r="T361" s="62"/>
    </row>
    <row r="362" spans="1:20" ht="15.75" customHeight="1" x14ac:dyDescent="0.3">
      <c r="A362" s="36"/>
      <c r="B362" s="36"/>
      <c r="C362" s="6"/>
      <c r="D362" s="36"/>
      <c r="E362" s="36"/>
      <c r="F362" s="6"/>
      <c r="G362" s="37"/>
      <c r="H362" s="36"/>
      <c r="I362" s="36"/>
      <c r="J362" s="60"/>
      <c r="L362" s="61"/>
      <c r="M362" s="61"/>
      <c r="N362" s="61"/>
      <c r="O362" s="61"/>
      <c r="P362" s="61"/>
      <c r="Q362" s="61"/>
      <c r="R362" s="62"/>
      <c r="S362" s="62"/>
      <c r="T362" s="62"/>
    </row>
    <row r="363" spans="1:20" ht="15.75" customHeight="1" x14ac:dyDescent="0.3">
      <c r="A363" s="36"/>
      <c r="B363" s="36"/>
      <c r="C363" s="6"/>
      <c r="D363" s="36"/>
      <c r="E363" s="36"/>
      <c r="F363" s="6"/>
      <c r="G363" s="37"/>
      <c r="H363" s="36"/>
      <c r="I363" s="36"/>
      <c r="J363" s="60"/>
      <c r="L363" s="61"/>
      <c r="M363" s="61"/>
      <c r="N363" s="61"/>
      <c r="O363" s="61"/>
      <c r="P363" s="61"/>
      <c r="Q363" s="61"/>
      <c r="R363" s="62"/>
      <c r="S363" s="62"/>
      <c r="T363" s="62"/>
    </row>
    <row r="364" spans="1:20" ht="15.75" customHeight="1" x14ac:dyDescent="0.3">
      <c r="A364" s="36"/>
      <c r="B364" s="36"/>
      <c r="C364" s="6"/>
      <c r="D364" s="36"/>
      <c r="E364" s="36"/>
      <c r="F364" s="6"/>
      <c r="G364" s="37"/>
      <c r="H364" s="36"/>
      <c r="I364" s="36"/>
      <c r="J364" s="60"/>
      <c r="L364" s="61"/>
      <c r="M364" s="61"/>
      <c r="N364" s="61"/>
      <c r="O364" s="61"/>
      <c r="P364" s="61"/>
      <c r="Q364" s="61"/>
      <c r="R364" s="62"/>
      <c r="S364" s="62"/>
      <c r="T364" s="62"/>
    </row>
    <row r="365" spans="1:20" ht="15.75" customHeight="1" x14ac:dyDescent="0.3">
      <c r="A365" s="36"/>
      <c r="B365" s="36"/>
      <c r="C365" s="6"/>
      <c r="D365" s="36"/>
      <c r="E365" s="36"/>
      <c r="F365" s="6"/>
      <c r="G365" s="37"/>
      <c r="H365" s="36"/>
      <c r="I365" s="36"/>
      <c r="J365" s="60"/>
      <c r="L365" s="61"/>
      <c r="M365" s="61"/>
      <c r="N365" s="61"/>
      <c r="O365" s="61"/>
      <c r="P365" s="61"/>
      <c r="Q365" s="61"/>
      <c r="R365" s="62"/>
      <c r="S365" s="62"/>
      <c r="T365" s="62"/>
    </row>
    <row r="366" spans="1:20" ht="15.75" customHeight="1" x14ac:dyDescent="0.3">
      <c r="A366" s="36"/>
      <c r="B366" s="36"/>
      <c r="C366" s="6"/>
      <c r="D366" s="36"/>
      <c r="E366" s="36"/>
      <c r="F366" s="6"/>
      <c r="G366" s="37"/>
      <c r="H366" s="36"/>
      <c r="I366" s="36"/>
      <c r="J366" s="60"/>
      <c r="L366" s="61"/>
      <c r="M366" s="61"/>
      <c r="N366" s="61"/>
      <c r="O366" s="61"/>
      <c r="P366" s="61"/>
      <c r="Q366" s="61"/>
      <c r="R366" s="62"/>
      <c r="S366" s="62"/>
      <c r="T366" s="62"/>
    </row>
    <row r="367" spans="1:20" ht="15.75" customHeight="1" x14ac:dyDescent="0.3">
      <c r="A367" s="36"/>
      <c r="B367" s="36"/>
      <c r="C367" s="6"/>
      <c r="D367" s="36"/>
      <c r="E367" s="36"/>
      <c r="F367" s="6"/>
      <c r="G367" s="37"/>
      <c r="H367" s="36"/>
      <c r="I367" s="36"/>
      <c r="J367" s="60"/>
      <c r="L367" s="61"/>
      <c r="M367" s="61"/>
      <c r="N367" s="61"/>
      <c r="O367" s="61"/>
      <c r="P367" s="61"/>
      <c r="Q367" s="61"/>
      <c r="R367" s="62"/>
      <c r="S367" s="62"/>
      <c r="T367" s="62"/>
    </row>
    <row r="368" spans="1:20" ht="15.75" customHeight="1" x14ac:dyDescent="0.3">
      <c r="A368" s="36"/>
      <c r="B368" s="36"/>
      <c r="C368" s="6"/>
      <c r="D368" s="36"/>
      <c r="E368" s="36"/>
      <c r="F368" s="6"/>
      <c r="G368" s="37"/>
      <c r="H368" s="36"/>
      <c r="I368" s="36"/>
      <c r="J368" s="60"/>
      <c r="L368" s="61"/>
      <c r="M368" s="61"/>
      <c r="N368" s="61"/>
      <c r="O368" s="61"/>
      <c r="P368" s="61"/>
      <c r="Q368" s="61"/>
      <c r="R368" s="62"/>
      <c r="S368" s="62"/>
      <c r="T368" s="62"/>
    </row>
    <row r="369" spans="1:20" ht="15.75" customHeight="1" x14ac:dyDescent="0.3">
      <c r="A369" s="36"/>
      <c r="B369" s="36"/>
      <c r="C369" s="6"/>
      <c r="D369" s="36"/>
      <c r="E369" s="36"/>
      <c r="F369" s="6"/>
      <c r="G369" s="37"/>
      <c r="H369" s="36"/>
      <c r="I369" s="36"/>
      <c r="J369" s="60"/>
      <c r="L369" s="61"/>
      <c r="M369" s="61"/>
      <c r="N369" s="61"/>
      <c r="O369" s="61"/>
      <c r="P369" s="61"/>
      <c r="Q369" s="61"/>
      <c r="R369" s="62"/>
      <c r="S369" s="62"/>
      <c r="T369" s="62"/>
    </row>
    <row r="370" spans="1:20" ht="15.75" customHeight="1" x14ac:dyDescent="0.3">
      <c r="A370" s="36"/>
      <c r="B370" s="36"/>
      <c r="C370" s="6"/>
      <c r="D370" s="36"/>
      <c r="E370" s="36"/>
      <c r="F370" s="6"/>
      <c r="G370" s="37"/>
      <c r="H370" s="36"/>
      <c r="I370" s="36"/>
      <c r="J370" s="60"/>
      <c r="L370" s="61"/>
      <c r="M370" s="61"/>
      <c r="N370" s="61"/>
      <c r="O370" s="61"/>
      <c r="P370" s="61"/>
      <c r="Q370" s="61"/>
      <c r="R370" s="62"/>
      <c r="S370" s="62"/>
      <c r="T370" s="62"/>
    </row>
    <row r="371" spans="1:20" ht="15.75" customHeight="1" x14ac:dyDescent="0.3">
      <c r="A371" s="36"/>
      <c r="B371" s="36"/>
      <c r="C371" s="6"/>
      <c r="D371" s="36"/>
      <c r="E371" s="36"/>
      <c r="F371" s="6"/>
      <c r="G371" s="37"/>
      <c r="H371" s="36"/>
      <c r="I371" s="36"/>
      <c r="J371" s="60"/>
      <c r="L371" s="61"/>
      <c r="M371" s="61"/>
      <c r="N371" s="61"/>
      <c r="O371" s="61"/>
      <c r="P371" s="61"/>
      <c r="Q371" s="61"/>
      <c r="R371" s="62"/>
      <c r="S371" s="62"/>
      <c r="T371" s="62"/>
    </row>
    <row r="372" spans="1:20" ht="15.75" customHeight="1" x14ac:dyDescent="0.3">
      <c r="A372" s="36"/>
      <c r="B372" s="36"/>
      <c r="C372" s="6"/>
      <c r="D372" s="36"/>
      <c r="E372" s="36"/>
      <c r="F372" s="6"/>
      <c r="G372" s="37"/>
      <c r="H372" s="36"/>
      <c r="I372" s="36"/>
      <c r="J372" s="60"/>
      <c r="L372" s="61"/>
      <c r="M372" s="61"/>
      <c r="N372" s="61"/>
      <c r="O372" s="61"/>
      <c r="P372" s="61"/>
      <c r="Q372" s="61"/>
      <c r="R372" s="62"/>
      <c r="S372" s="62"/>
      <c r="T372" s="62"/>
    </row>
    <row r="373" spans="1:20" ht="15.75" customHeight="1" x14ac:dyDescent="0.3">
      <c r="A373" s="36"/>
      <c r="B373" s="36"/>
      <c r="C373" s="6"/>
      <c r="D373" s="36"/>
      <c r="E373" s="36"/>
      <c r="F373" s="6"/>
      <c r="G373" s="37"/>
      <c r="H373" s="36"/>
      <c r="I373" s="36"/>
      <c r="J373" s="60"/>
      <c r="L373" s="61"/>
      <c r="M373" s="61"/>
      <c r="N373" s="61"/>
      <c r="O373" s="61"/>
      <c r="P373" s="61"/>
      <c r="Q373" s="61"/>
      <c r="R373" s="62"/>
      <c r="S373" s="62"/>
      <c r="T373" s="62"/>
    </row>
    <row r="374" spans="1:20" ht="15.75" customHeight="1" x14ac:dyDescent="0.3">
      <c r="A374" s="36"/>
      <c r="B374" s="36"/>
      <c r="C374" s="6"/>
      <c r="D374" s="36"/>
      <c r="E374" s="36"/>
      <c r="F374" s="6"/>
      <c r="G374" s="37"/>
      <c r="H374" s="36"/>
      <c r="I374" s="36"/>
      <c r="J374" s="60"/>
      <c r="L374" s="61"/>
      <c r="M374" s="61"/>
      <c r="N374" s="61"/>
      <c r="O374" s="61"/>
      <c r="P374" s="61"/>
      <c r="Q374" s="61"/>
      <c r="R374" s="62"/>
      <c r="S374" s="62"/>
      <c r="T374" s="62"/>
    </row>
    <row r="375" spans="1:20" ht="15.75" customHeight="1" x14ac:dyDescent="0.3">
      <c r="A375" s="36"/>
      <c r="B375" s="36"/>
      <c r="C375" s="6"/>
      <c r="D375" s="36"/>
      <c r="E375" s="36"/>
      <c r="F375" s="6"/>
      <c r="G375" s="37"/>
      <c r="H375" s="36"/>
      <c r="I375" s="36"/>
      <c r="J375" s="60"/>
      <c r="L375" s="61"/>
      <c r="M375" s="61"/>
      <c r="N375" s="61"/>
      <c r="O375" s="61"/>
      <c r="P375" s="61"/>
      <c r="Q375" s="61"/>
      <c r="R375" s="62"/>
      <c r="S375" s="62"/>
      <c r="T375" s="62"/>
    </row>
    <row r="376" spans="1:20" ht="15.75" customHeight="1" x14ac:dyDescent="0.3">
      <c r="A376" s="36"/>
      <c r="B376" s="36"/>
      <c r="C376" s="6"/>
      <c r="D376" s="36"/>
      <c r="E376" s="36"/>
      <c r="F376" s="6"/>
      <c r="G376" s="37"/>
      <c r="H376" s="36"/>
      <c r="I376" s="36"/>
      <c r="J376" s="60"/>
      <c r="L376" s="61"/>
      <c r="M376" s="61"/>
      <c r="N376" s="61"/>
      <c r="O376" s="61"/>
      <c r="P376" s="61"/>
      <c r="Q376" s="61"/>
      <c r="R376" s="62"/>
      <c r="S376" s="62"/>
      <c r="T376" s="62"/>
    </row>
    <row r="377" spans="1:20" ht="15.75" customHeight="1" x14ac:dyDescent="0.3">
      <c r="A377" s="36"/>
      <c r="B377" s="36"/>
      <c r="C377" s="6"/>
      <c r="D377" s="36"/>
      <c r="E377" s="36"/>
      <c r="F377" s="6"/>
      <c r="G377" s="37"/>
      <c r="H377" s="36"/>
      <c r="I377" s="36"/>
      <c r="J377" s="60"/>
      <c r="L377" s="61"/>
      <c r="M377" s="61"/>
      <c r="N377" s="61"/>
      <c r="O377" s="61"/>
      <c r="P377" s="61"/>
      <c r="Q377" s="61"/>
      <c r="R377" s="62"/>
      <c r="S377" s="62"/>
      <c r="T377" s="62"/>
    </row>
    <row r="378" spans="1:20" ht="15.75" customHeight="1" x14ac:dyDescent="0.3">
      <c r="A378" s="36"/>
      <c r="B378" s="36"/>
      <c r="C378" s="6"/>
      <c r="D378" s="36"/>
      <c r="E378" s="36"/>
      <c r="F378" s="6"/>
      <c r="G378" s="37"/>
      <c r="H378" s="36"/>
      <c r="I378" s="36"/>
      <c r="J378" s="60"/>
      <c r="L378" s="61"/>
      <c r="M378" s="61"/>
      <c r="N378" s="61"/>
      <c r="O378" s="61"/>
      <c r="P378" s="61"/>
      <c r="Q378" s="61"/>
      <c r="R378" s="62"/>
      <c r="S378" s="62"/>
      <c r="T378" s="62"/>
    </row>
    <row r="379" spans="1:20" ht="15.75" customHeight="1" x14ac:dyDescent="0.3">
      <c r="A379" s="36"/>
      <c r="B379" s="36"/>
      <c r="C379" s="6"/>
      <c r="D379" s="36"/>
      <c r="E379" s="36"/>
      <c r="F379" s="6"/>
      <c r="G379" s="37"/>
      <c r="H379" s="36"/>
      <c r="I379" s="36"/>
      <c r="J379" s="60"/>
      <c r="L379" s="61"/>
      <c r="M379" s="61"/>
      <c r="N379" s="61"/>
      <c r="O379" s="61"/>
      <c r="P379" s="61"/>
      <c r="Q379" s="61"/>
      <c r="R379" s="62"/>
      <c r="S379" s="62"/>
      <c r="T379" s="62"/>
    </row>
    <row r="380" spans="1:20" ht="15.75" customHeight="1" x14ac:dyDescent="0.3">
      <c r="A380" s="36"/>
      <c r="B380" s="36"/>
      <c r="C380" s="6"/>
      <c r="D380" s="36"/>
      <c r="E380" s="36"/>
      <c r="F380" s="6"/>
      <c r="G380" s="37"/>
      <c r="H380" s="36"/>
      <c r="I380" s="36"/>
      <c r="J380" s="60"/>
      <c r="L380" s="61"/>
      <c r="M380" s="61"/>
      <c r="N380" s="61"/>
      <c r="O380" s="61"/>
      <c r="P380" s="61"/>
      <c r="Q380" s="61"/>
      <c r="R380" s="62"/>
      <c r="S380" s="62"/>
      <c r="T380" s="62"/>
    </row>
    <row r="381" spans="1:20" ht="15.75" customHeight="1" x14ac:dyDescent="0.3">
      <c r="A381" s="36"/>
      <c r="B381" s="36"/>
      <c r="C381" s="6"/>
      <c r="D381" s="36"/>
      <c r="E381" s="36"/>
      <c r="F381" s="6"/>
      <c r="G381" s="37"/>
      <c r="H381" s="36"/>
      <c r="I381" s="36"/>
      <c r="J381" s="60"/>
      <c r="L381" s="61"/>
      <c r="M381" s="61"/>
      <c r="N381" s="61"/>
      <c r="O381" s="61"/>
      <c r="P381" s="61"/>
      <c r="Q381" s="61"/>
      <c r="R381" s="62"/>
      <c r="S381" s="62"/>
      <c r="T381" s="62"/>
    </row>
    <row r="382" spans="1:20" ht="15.75" customHeight="1" x14ac:dyDescent="0.3">
      <c r="A382" s="36"/>
      <c r="B382" s="36"/>
      <c r="C382" s="6"/>
      <c r="D382" s="36"/>
      <c r="E382" s="36"/>
      <c r="F382" s="6"/>
      <c r="G382" s="37"/>
      <c r="H382" s="36"/>
      <c r="I382" s="36"/>
      <c r="J382" s="60"/>
      <c r="L382" s="61"/>
      <c r="M382" s="61"/>
      <c r="N382" s="61"/>
      <c r="O382" s="61"/>
      <c r="P382" s="61"/>
      <c r="Q382" s="61"/>
      <c r="R382" s="62"/>
      <c r="S382" s="62"/>
      <c r="T382" s="62"/>
    </row>
    <row r="383" spans="1:20" ht="15.75" customHeight="1" x14ac:dyDescent="0.3">
      <c r="A383" s="36"/>
      <c r="B383" s="36"/>
      <c r="C383" s="6"/>
      <c r="D383" s="36"/>
      <c r="E383" s="36"/>
      <c r="F383" s="6"/>
      <c r="G383" s="37"/>
      <c r="H383" s="36"/>
      <c r="I383" s="36"/>
      <c r="J383" s="60"/>
      <c r="L383" s="61"/>
      <c r="M383" s="61"/>
      <c r="N383" s="61"/>
      <c r="O383" s="61"/>
      <c r="P383" s="61"/>
      <c r="Q383" s="61"/>
      <c r="R383" s="62"/>
      <c r="S383" s="62"/>
      <c r="T383" s="62"/>
    </row>
    <row r="384" spans="1:20" ht="15.75" customHeight="1" x14ac:dyDescent="0.3">
      <c r="A384" s="36"/>
      <c r="B384" s="36"/>
      <c r="C384" s="6"/>
      <c r="D384" s="36"/>
      <c r="E384" s="36"/>
      <c r="F384" s="6"/>
      <c r="G384" s="37"/>
      <c r="H384" s="36"/>
      <c r="I384" s="36"/>
      <c r="J384" s="60"/>
      <c r="L384" s="61"/>
      <c r="M384" s="61"/>
      <c r="N384" s="61"/>
      <c r="O384" s="61"/>
      <c r="P384" s="61"/>
      <c r="Q384" s="61"/>
      <c r="R384" s="62"/>
      <c r="S384" s="62"/>
      <c r="T384" s="62"/>
    </row>
    <row r="385" spans="1:20" ht="15.75" customHeight="1" x14ac:dyDescent="0.3">
      <c r="A385" s="36"/>
      <c r="B385" s="36"/>
      <c r="C385" s="6"/>
      <c r="D385" s="36"/>
      <c r="E385" s="36"/>
      <c r="F385" s="6"/>
      <c r="G385" s="37"/>
      <c r="H385" s="36"/>
      <c r="I385" s="36"/>
      <c r="J385" s="60"/>
      <c r="L385" s="61"/>
      <c r="M385" s="61"/>
      <c r="N385" s="61"/>
      <c r="O385" s="61"/>
      <c r="P385" s="61"/>
      <c r="Q385" s="61"/>
      <c r="R385" s="62"/>
      <c r="S385" s="62"/>
      <c r="T385" s="62"/>
    </row>
    <row r="386" spans="1:20" ht="15.75" customHeight="1" x14ac:dyDescent="0.3">
      <c r="A386" s="36"/>
      <c r="B386" s="36"/>
      <c r="C386" s="6"/>
      <c r="D386" s="36"/>
      <c r="E386" s="36"/>
      <c r="F386" s="6"/>
      <c r="G386" s="37"/>
      <c r="H386" s="36"/>
      <c r="I386" s="36"/>
      <c r="J386" s="60"/>
      <c r="L386" s="61"/>
      <c r="M386" s="61"/>
      <c r="N386" s="61"/>
      <c r="O386" s="61"/>
      <c r="P386" s="61"/>
      <c r="Q386" s="61"/>
      <c r="R386" s="62"/>
      <c r="S386" s="62"/>
      <c r="T386" s="62"/>
    </row>
    <row r="387" spans="1:20" ht="15.75" customHeight="1" x14ac:dyDescent="0.3">
      <c r="A387" s="36"/>
      <c r="B387" s="36"/>
      <c r="C387" s="6"/>
      <c r="D387" s="36"/>
      <c r="E387" s="36"/>
      <c r="F387" s="6"/>
      <c r="G387" s="37"/>
      <c r="H387" s="36"/>
      <c r="I387" s="36"/>
      <c r="J387" s="60"/>
      <c r="L387" s="61"/>
      <c r="M387" s="61"/>
      <c r="N387" s="61"/>
      <c r="O387" s="61"/>
      <c r="P387" s="61"/>
      <c r="Q387" s="61"/>
      <c r="R387" s="62"/>
      <c r="S387" s="62"/>
      <c r="T387" s="62"/>
    </row>
    <row r="388" spans="1:20" ht="15.75" customHeight="1" x14ac:dyDescent="0.3">
      <c r="A388" s="36"/>
      <c r="B388" s="36"/>
      <c r="C388" s="6"/>
      <c r="D388" s="36"/>
      <c r="E388" s="36"/>
      <c r="F388" s="6"/>
      <c r="G388" s="37"/>
      <c r="H388" s="36"/>
      <c r="I388" s="36"/>
      <c r="J388" s="60"/>
      <c r="L388" s="61"/>
      <c r="M388" s="61"/>
      <c r="N388" s="61"/>
      <c r="O388" s="61"/>
      <c r="P388" s="61"/>
      <c r="Q388" s="61"/>
      <c r="R388" s="62"/>
      <c r="S388" s="62"/>
      <c r="T388" s="62"/>
    </row>
    <row r="389" spans="1:20" ht="15.75" customHeight="1" x14ac:dyDescent="0.3">
      <c r="A389" s="36"/>
      <c r="B389" s="36"/>
      <c r="C389" s="6"/>
      <c r="D389" s="36"/>
      <c r="E389" s="36"/>
      <c r="F389" s="6"/>
      <c r="G389" s="37"/>
      <c r="H389" s="36"/>
      <c r="I389" s="36"/>
      <c r="J389" s="60"/>
      <c r="L389" s="61"/>
      <c r="M389" s="61"/>
      <c r="N389" s="61"/>
      <c r="O389" s="61"/>
      <c r="P389" s="61"/>
      <c r="Q389" s="61"/>
      <c r="R389" s="62"/>
      <c r="S389" s="62"/>
      <c r="T389" s="62"/>
    </row>
    <row r="390" spans="1:20" ht="15.75" customHeight="1" x14ac:dyDescent="0.3">
      <c r="A390" s="36"/>
      <c r="B390" s="36"/>
      <c r="C390" s="6"/>
      <c r="D390" s="36"/>
      <c r="E390" s="36"/>
      <c r="F390" s="6"/>
      <c r="G390" s="37"/>
      <c r="H390" s="36"/>
      <c r="I390" s="36"/>
      <c r="J390" s="60"/>
      <c r="L390" s="61"/>
      <c r="M390" s="61"/>
      <c r="N390" s="61"/>
      <c r="O390" s="61"/>
      <c r="P390" s="61"/>
      <c r="Q390" s="61"/>
      <c r="R390" s="62"/>
      <c r="S390" s="62"/>
      <c r="T390" s="62"/>
    </row>
    <row r="391" spans="1:20" ht="15.75" customHeight="1" x14ac:dyDescent="0.3">
      <c r="A391" s="36"/>
      <c r="B391" s="36"/>
      <c r="C391" s="6"/>
      <c r="D391" s="36"/>
      <c r="E391" s="36"/>
      <c r="F391" s="6"/>
      <c r="G391" s="37"/>
      <c r="H391" s="36"/>
      <c r="I391" s="36"/>
      <c r="J391" s="60"/>
      <c r="L391" s="61"/>
      <c r="M391" s="61"/>
      <c r="N391" s="61"/>
      <c r="O391" s="61"/>
      <c r="P391" s="61"/>
      <c r="Q391" s="61"/>
      <c r="R391" s="62"/>
      <c r="S391" s="62"/>
      <c r="T391" s="62"/>
    </row>
    <row r="392" spans="1:20" ht="15.75" customHeight="1" x14ac:dyDescent="0.3">
      <c r="A392" s="36"/>
      <c r="B392" s="36"/>
      <c r="C392" s="6"/>
      <c r="D392" s="36"/>
      <c r="E392" s="36"/>
      <c r="F392" s="6"/>
      <c r="G392" s="37"/>
      <c r="H392" s="36"/>
      <c r="I392" s="36"/>
      <c r="J392" s="60"/>
      <c r="L392" s="61"/>
      <c r="M392" s="61"/>
      <c r="N392" s="61"/>
      <c r="O392" s="61"/>
      <c r="P392" s="61"/>
      <c r="Q392" s="61"/>
      <c r="R392" s="62"/>
      <c r="S392" s="62"/>
      <c r="T392" s="62"/>
    </row>
    <row r="393" spans="1:20" ht="15.75" customHeight="1" x14ac:dyDescent="0.3">
      <c r="A393" s="36"/>
      <c r="B393" s="36"/>
      <c r="C393" s="6"/>
      <c r="D393" s="36"/>
      <c r="E393" s="36"/>
      <c r="F393" s="6"/>
      <c r="G393" s="37"/>
      <c r="H393" s="36"/>
      <c r="I393" s="36"/>
      <c r="J393" s="60"/>
      <c r="L393" s="61"/>
      <c r="M393" s="61"/>
      <c r="N393" s="61"/>
      <c r="O393" s="61"/>
      <c r="P393" s="61"/>
      <c r="Q393" s="61"/>
      <c r="R393" s="62"/>
      <c r="S393" s="62"/>
      <c r="T393" s="62"/>
    </row>
    <row r="394" spans="1:20" ht="15.75" customHeight="1" x14ac:dyDescent="0.3">
      <c r="A394" s="36"/>
      <c r="B394" s="36"/>
      <c r="C394" s="6"/>
      <c r="D394" s="36"/>
      <c r="E394" s="36"/>
      <c r="F394" s="6"/>
      <c r="G394" s="37"/>
      <c r="H394" s="36"/>
      <c r="I394" s="36"/>
      <c r="J394" s="60"/>
      <c r="L394" s="61"/>
      <c r="M394" s="61"/>
      <c r="N394" s="61"/>
      <c r="O394" s="61"/>
      <c r="P394" s="61"/>
      <c r="Q394" s="61"/>
      <c r="R394" s="62"/>
      <c r="S394" s="62"/>
      <c r="T394" s="62"/>
    </row>
    <row r="395" spans="1:20" ht="15.75" customHeight="1" x14ac:dyDescent="0.3">
      <c r="A395" s="36"/>
      <c r="B395" s="36"/>
      <c r="C395" s="6"/>
      <c r="D395" s="36"/>
      <c r="E395" s="36"/>
      <c r="F395" s="6"/>
      <c r="G395" s="37"/>
      <c r="H395" s="36"/>
      <c r="I395" s="36"/>
      <c r="J395" s="60"/>
      <c r="L395" s="61"/>
      <c r="M395" s="61"/>
      <c r="N395" s="61"/>
      <c r="O395" s="61"/>
      <c r="P395" s="61"/>
      <c r="Q395" s="61"/>
      <c r="R395" s="62"/>
      <c r="S395" s="62"/>
      <c r="T395" s="62"/>
    </row>
    <row r="396" spans="1:20" ht="15.75" customHeight="1" x14ac:dyDescent="0.3">
      <c r="A396" s="36"/>
      <c r="B396" s="36"/>
      <c r="C396" s="6"/>
      <c r="D396" s="36"/>
      <c r="E396" s="36"/>
      <c r="F396" s="6"/>
      <c r="G396" s="37"/>
      <c r="H396" s="36"/>
      <c r="I396" s="36"/>
      <c r="J396" s="60"/>
      <c r="L396" s="61"/>
      <c r="M396" s="61"/>
      <c r="N396" s="61"/>
      <c r="O396" s="61"/>
      <c r="P396" s="61"/>
      <c r="Q396" s="61"/>
      <c r="R396" s="62"/>
      <c r="S396" s="62"/>
      <c r="T396" s="62"/>
    </row>
    <row r="397" spans="1:20" ht="15.75" customHeight="1" x14ac:dyDescent="0.3">
      <c r="A397" s="36"/>
      <c r="B397" s="36"/>
      <c r="C397" s="6"/>
      <c r="D397" s="36"/>
      <c r="E397" s="36"/>
      <c r="F397" s="6"/>
      <c r="G397" s="37"/>
      <c r="H397" s="36"/>
      <c r="I397" s="36"/>
      <c r="J397" s="60"/>
      <c r="L397" s="61"/>
      <c r="M397" s="61"/>
      <c r="N397" s="61"/>
      <c r="O397" s="61"/>
      <c r="P397" s="61"/>
      <c r="Q397" s="61"/>
      <c r="R397" s="62"/>
      <c r="S397" s="62"/>
      <c r="T397" s="62"/>
    </row>
    <row r="398" spans="1:20" ht="15.75" customHeight="1" x14ac:dyDescent="0.3">
      <c r="A398" s="36"/>
      <c r="B398" s="36"/>
      <c r="C398" s="6"/>
      <c r="D398" s="36"/>
      <c r="E398" s="36"/>
      <c r="F398" s="6"/>
      <c r="G398" s="37"/>
      <c r="H398" s="36"/>
      <c r="I398" s="36"/>
      <c r="J398" s="60"/>
      <c r="L398" s="61"/>
      <c r="M398" s="61"/>
      <c r="N398" s="61"/>
      <c r="O398" s="61"/>
      <c r="P398" s="61"/>
      <c r="Q398" s="61"/>
      <c r="R398" s="62"/>
      <c r="S398" s="62"/>
      <c r="T398" s="62"/>
    </row>
    <row r="399" spans="1:20" ht="15.75" customHeight="1" x14ac:dyDescent="0.3">
      <c r="A399" s="36"/>
      <c r="B399" s="36"/>
      <c r="C399" s="6"/>
      <c r="D399" s="36"/>
      <c r="E399" s="36"/>
      <c r="F399" s="6"/>
      <c r="G399" s="37"/>
      <c r="H399" s="36"/>
      <c r="I399" s="36"/>
      <c r="J399" s="60"/>
      <c r="L399" s="61"/>
      <c r="M399" s="61"/>
      <c r="N399" s="61"/>
      <c r="O399" s="61"/>
      <c r="P399" s="61"/>
      <c r="Q399" s="61"/>
      <c r="R399" s="62"/>
      <c r="S399" s="62"/>
      <c r="T399" s="62"/>
    </row>
    <row r="400" spans="1:20" ht="15.75" customHeight="1" x14ac:dyDescent="0.3">
      <c r="A400" s="36"/>
      <c r="B400" s="36"/>
      <c r="C400" s="6"/>
      <c r="D400" s="36"/>
      <c r="E400" s="36"/>
      <c r="F400" s="6"/>
      <c r="G400" s="37"/>
      <c r="H400" s="36"/>
      <c r="I400" s="36"/>
      <c r="J400" s="60"/>
      <c r="L400" s="61"/>
      <c r="M400" s="61"/>
      <c r="N400" s="61"/>
      <c r="O400" s="61"/>
      <c r="P400" s="61"/>
      <c r="Q400" s="61"/>
      <c r="R400" s="62"/>
      <c r="S400" s="62"/>
      <c r="T400" s="62"/>
    </row>
    <row r="401" spans="1:20" ht="15.75" customHeight="1" x14ac:dyDescent="0.3">
      <c r="A401" s="36"/>
      <c r="B401" s="36"/>
      <c r="C401" s="6"/>
      <c r="D401" s="36"/>
      <c r="E401" s="36"/>
      <c r="F401" s="6"/>
      <c r="G401" s="37"/>
      <c r="H401" s="36"/>
      <c r="I401" s="36"/>
      <c r="J401" s="60"/>
      <c r="L401" s="61"/>
      <c r="M401" s="61"/>
      <c r="N401" s="61"/>
      <c r="O401" s="61"/>
      <c r="P401" s="61"/>
      <c r="Q401" s="61"/>
      <c r="R401" s="62"/>
      <c r="S401" s="62"/>
      <c r="T401" s="62"/>
    </row>
    <row r="402" spans="1:20" ht="15.75" customHeight="1" x14ac:dyDescent="0.3">
      <c r="A402" s="36"/>
      <c r="B402" s="36"/>
      <c r="C402" s="6"/>
      <c r="D402" s="36"/>
      <c r="E402" s="36"/>
      <c r="F402" s="6"/>
      <c r="G402" s="37"/>
      <c r="H402" s="36"/>
      <c r="I402" s="36"/>
      <c r="J402" s="60"/>
      <c r="L402" s="61"/>
      <c r="M402" s="61"/>
      <c r="N402" s="61"/>
      <c r="O402" s="61"/>
      <c r="P402" s="61"/>
      <c r="Q402" s="61"/>
      <c r="R402" s="62"/>
      <c r="S402" s="62"/>
      <c r="T402" s="62"/>
    </row>
    <row r="403" spans="1:20" ht="15.75" customHeight="1" x14ac:dyDescent="0.3">
      <c r="A403" s="36"/>
      <c r="B403" s="36"/>
      <c r="C403" s="6"/>
      <c r="D403" s="36"/>
      <c r="E403" s="36"/>
      <c r="F403" s="6"/>
      <c r="G403" s="37"/>
      <c r="H403" s="36"/>
      <c r="I403" s="36"/>
      <c r="J403" s="60"/>
      <c r="L403" s="61"/>
      <c r="M403" s="61"/>
      <c r="N403" s="61"/>
      <c r="O403" s="61"/>
      <c r="P403" s="61"/>
      <c r="Q403" s="61"/>
      <c r="R403" s="62"/>
      <c r="S403" s="62"/>
      <c r="T403" s="62"/>
    </row>
    <row r="404" spans="1:20" ht="15.75" customHeight="1" x14ac:dyDescent="0.3">
      <c r="A404" s="36"/>
      <c r="B404" s="36"/>
      <c r="C404" s="6"/>
      <c r="D404" s="36"/>
      <c r="E404" s="36"/>
      <c r="F404" s="6"/>
      <c r="G404" s="37"/>
      <c r="H404" s="36"/>
      <c r="I404" s="36"/>
      <c r="J404" s="60"/>
      <c r="L404" s="61"/>
      <c r="M404" s="61"/>
      <c r="N404" s="61"/>
      <c r="O404" s="61"/>
      <c r="P404" s="61"/>
      <c r="Q404" s="61"/>
      <c r="R404" s="62"/>
      <c r="S404" s="62"/>
      <c r="T404" s="62"/>
    </row>
    <row r="405" spans="1:20" ht="15.75" customHeight="1" x14ac:dyDescent="0.3">
      <c r="A405" s="36"/>
      <c r="B405" s="36"/>
      <c r="C405" s="6"/>
      <c r="D405" s="36"/>
      <c r="E405" s="36"/>
      <c r="F405" s="6"/>
      <c r="G405" s="37"/>
      <c r="H405" s="36"/>
      <c r="I405" s="36"/>
      <c r="J405" s="60"/>
      <c r="L405" s="61"/>
      <c r="M405" s="61"/>
      <c r="N405" s="61"/>
      <c r="O405" s="61"/>
      <c r="P405" s="61"/>
      <c r="Q405" s="61"/>
      <c r="R405" s="62"/>
      <c r="S405" s="62"/>
      <c r="T405" s="62"/>
    </row>
    <row r="406" spans="1:20" ht="15.75" customHeight="1" x14ac:dyDescent="0.3">
      <c r="A406" s="36"/>
      <c r="B406" s="36"/>
      <c r="C406" s="6"/>
      <c r="D406" s="36"/>
      <c r="E406" s="36"/>
      <c r="F406" s="6"/>
      <c r="G406" s="37"/>
      <c r="H406" s="36"/>
      <c r="I406" s="36"/>
      <c r="J406" s="60"/>
      <c r="L406" s="61"/>
      <c r="M406" s="61"/>
      <c r="N406" s="61"/>
      <c r="O406" s="61"/>
      <c r="P406" s="61"/>
      <c r="Q406" s="61"/>
      <c r="R406" s="62"/>
      <c r="S406" s="62"/>
      <c r="T406" s="62"/>
    </row>
    <row r="407" spans="1:20" ht="15.75" customHeight="1" x14ac:dyDescent="0.3">
      <c r="A407" s="36"/>
      <c r="B407" s="36"/>
      <c r="C407" s="6"/>
      <c r="D407" s="36"/>
      <c r="E407" s="36"/>
      <c r="F407" s="6"/>
      <c r="G407" s="37"/>
      <c r="H407" s="36"/>
      <c r="I407" s="36"/>
      <c r="J407" s="60"/>
      <c r="L407" s="61"/>
      <c r="M407" s="61"/>
      <c r="N407" s="61"/>
      <c r="O407" s="61"/>
      <c r="P407" s="61"/>
      <c r="Q407" s="61"/>
      <c r="R407" s="62"/>
      <c r="S407" s="62"/>
      <c r="T407" s="62"/>
    </row>
    <row r="408" spans="1:20" ht="15.75" customHeight="1" x14ac:dyDescent="0.3">
      <c r="A408" s="36"/>
      <c r="B408" s="36"/>
      <c r="C408" s="6"/>
      <c r="D408" s="36"/>
      <c r="E408" s="36"/>
      <c r="F408" s="6"/>
      <c r="G408" s="37"/>
      <c r="H408" s="36"/>
      <c r="I408" s="36"/>
      <c r="J408" s="60"/>
      <c r="L408" s="61"/>
      <c r="M408" s="61"/>
      <c r="N408" s="61"/>
      <c r="O408" s="61"/>
      <c r="P408" s="61"/>
      <c r="Q408" s="61"/>
      <c r="R408" s="62"/>
      <c r="S408" s="62"/>
      <c r="T408" s="62"/>
    </row>
    <row r="409" spans="1:20" ht="15.75" customHeight="1" x14ac:dyDescent="0.3">
      <c r="A409" s="36"/>
      <c r="B409" s="36"/>
      <c r="C409" s="6"/>
      <c r="D409" s="36"/>
      <c r="E409" s="36"/>
      <c r="F409" s="6"/>
      <c r="G409" s="37"/>
      <c r="H409" s="36"/>
      <c r="I409" s="36"/>
      <c r="J409" s="60"/>
      <c r="L409" s="61"/>
      <c r="M409" s="61"/>
      <c r="N409" s="61"/>
      <c r="O409" s="61"/>
      <c r="P409" s="61"/>
      <c r="Q409" s="61"/>
      <c r="R409" s="62"/>
      <c r="S409" s="62"/>
      <c r="T409" s="62"/>
    </row>
    <row r="410" spans="1:20" ht="15.75" customHeight="1" x14ac:dyDescent="0.3">
      <c r="A410" s="36"/>
      <c r="B410" s="36"/>
      <c r="C410" s="6"/>
      <c r="D410" s="36"/>
      <c r="E410" s="36"/>
      <c r="F410" s="6"/>
      <c r="G410" s="37"/>
      <c r="H410" s="36"/>
      <c r="I410" s="36"/>
      <c r="J410" s="60"/>
      <c r="L410" s="61"/>
      <c r="M410" s="61"/>
      <c r="N410" s="61"/>
      <c r="O410" s="61"/>
      <c r="P410" s="61"/>
      <c r="Q410" s="61"/>
      <c r="R410" s="62"/>
      <c r="S410" s="62"/>
      <c r="T410" s="62"/>
    </row>
    <row r="411" spans="1:20" ht="15.75" customHeight="1" x14ac:dyDescent="0.3">
      <c r="A411" s="36"/>
      <c r="B411" s="36"/>
      <c r="C411" s="6"/>
      <c r="D411" s="36"/>
      <c r="E411" s="36"/>
      <c r="F411" s="6"/>
      <c r="G411" s="37"/>
      <c r="H411" s="36"/>
      <c r="I411" s="36"/>
      <c r="J411" s="60"/>
      <c r="L411" s="61"/>
      <c r="M411" s="61"/>
      <c r="N411" s="61"/>
      <c r="O411" s="61"/>
      <c r="P411" s="61"/>
      <c r="Q411" s="61"/>
      <c r="R411" s="62"/>
      <c r="S411" s="62"/>
      <c r="T411" s="62"/>
    </row>
    <row r="412" spans="1:20" ht="15.75" customHeight="1" x14ac:dyDescent="0.3">
      <c r="A412" s="36"/>
      <c r="B412" s="36"/>
      <c r="C412" s="6"/>
      <c r="D412" s="36"/>
      <c r="E412" s="36"/>
      <c r="F412" s="6"/>
      <c r="G412" s="37"/>
      <c r="H412" s="36"/>
      <c r="I412" s="36"/>
      <c r="J412" s="60"/>
      <c r="L412" s="61"/>
      <c r="M412" s="61"/>
      <c r="N412" s="61"/>
      <c r="O412" s="61"/>
      <c r="P412" s="61"/>
      <c r="Q412" s="61"/>
      <c r="R412" s="62"/>
      <c r="S412" s="62"/>
      <c r="T412" s="62"/>
    </row>
    <row r="413" spans="1:20" ht="15.75" customHeight="1" x14ac:dyDescent="0.3">
      <c r="A413" s="36"/>
      <c r="B413" s="36"/>
      <c r="C413" s="6"/>
      <c r="D413" s="36"/>
      <c r="E413" s="36"/>
      <c r="F413" s="6"/>
      <c r="G413" s="37"/>
      <c r="H413" s="36"/>
      <c r="I413" s="36"/>
      <c r="J413" s="60"/>
      <c r="L413" s="61"/>
      <c r="M413" s="61"/>
      <c r="N413" s="61"/>
      <c r="O413" s="61"/>
      <c r="P413" s="61"/>
      <c r="Q413" s="61"/>
      <c r="R413" s="62"/>
      <c r="S413" s="62"/>
      <c r="T413" s="62"/>
    </row>
    <row r="414" spans="1:20" ht="15.75" customHeight="1" x14ac:dyDescent="0.3">
      <c r="A414" s="36"/>
      <c r="B414" s="36"/>
      <c r="C414" s="6"/>
      <c r="D414" s="36"/>
      <c r="E414" s="36"/>
      <c r="F414" s="6"/>
      <c r="G414" s="37"/>
      <c r="H414" s="36"/>
      <c r="I414" s="36"/>
      <c r="J414" s="60"/>
      <c r="L414" s="61"/>
      <c r="M414" s="61"/>
      <c r="N414" s="61"/>
      <c r="O414" s="61"/>
      <c r="P414" s="61"/>
      <c r="Q414" s="61"/>
      <c r="R414" s="62"/>
      <c r="S414" s="62"/>
      <c r="T414" s="62"/>
    </row>
    <row r="415" spans="1:20" ht="15.75" customHeight="1" x14ac:dyDescent="0.3">
      <c r="A415" s="36"/>
      <c r="B415" s="36"/>
      <c r="C415" s="6"/>
      <c r="D415" s="36"/>
      <c r="E415" s="36"/>
      <c r="F415" s="6"/>
      <c r="G415" s="37"/>
      <c r="H415" s="36"/>
      <c r="I415" s="36"/>
      <c r="J415" s="60"/>
      <c r="L415" s="61"/>
      <c r="M415" s="61"/>
      <c r="N415" s="61"/>
      <c r="O415" s="61"/>
      <c r="P415" s="61"/>
      <c r="Q415" s="61"/>
      <c r="R415" s="62"/>
      <c r="S415" s="62"/>
      <c r="T415" s="62"/>
    </row>
    <row r="416" spans="1:20" ht="15.75" customHeight="1" x14ac:dyDescent="0.3">
      <c r="A416" s="36"/>
      <c r="B416" s="36"/>
      <c r="C416" s="6"/>
      <c r="D416" s="36"/>
      <c r="E416" s="36"/>
      <c r="F416" s="6"/>
      <c r="G416" s="37"/>
      <c r="H416" s="36"/>
      <c r="I416" s="36"/>
      <c r="J416" s="60"/>
      <c r="L416" s="61"/>
      <c r="M416" s="61"/>
      <c r="N416" s="61"/>
      <c r="O416" s="61"/>
      <c r="P416" s="61"/>
      <c r="Q416" s="61"/>
      <c r="R416" s="62"/>
      <c r="S416" s="62"/>
      <c r="T416" s="62"/>
    </row>
    <row r="417" spans="1:20" ht="15.75" customHeight="1" x14ac:dyDescent="0.3">
      <c r="A417" s="36"/>
      <c r="B417" s="36"/>
      <c r="C417" s="6"/>
      <c r="D417" s="36"/>
      <c r="E417" s="36"/>
      <c r="F417" s="6"/>
      <c r="G417" s="37"/>
      <c r="H417" s="36"/>
      <c r="I417" s="36"/>
      <c r="J417" s="60"/>
      <c r="L417" s="61"/>
      <c r="M417" s="61"/>
      <c r="N417" s="61"/>
      <c r="O417" s="61"/>
      <c r="P417" s="61"/>
      <c r="Q417" s="61"/>
      <c r="R417" s="62"/>
      <c r="S417" s="62"/>
      <c r="T417" s="62"/>
    </row>
    <row r="418" spans="1:20" ht="15.75" customHeight="1" x14ac:dyDescent="0.3">
      <c r="A418" s="36"/>
      <c r="B418" s="36"/>
      <c r="C418" s="6"/>
      <c r="D418" s="36"/>
      <c r="E418" s="36"/>
      <c r="F418" s="6"/>
      <c r="G418" s="37"/>
      <c r="H418" s="36"/>
      <c r="I418" s="36"/>
      <c r="J418" s="60"/>
      <c r="L418" s="61"/>
      <c r="M418" s="61"/>
      <c r="N418" s="61"/>
      <c r="O418" s="61"/>
      <c r="P418" s="61"/>
      <c r="Q418" s="61"/>
      <c r="R418" s="62"/>
      <c r="S418" s="62"/>
      <c r="T418" s="62"/>
    </row>
    <row r="419" spans="1:20" ht="15.75" customHeight="1" x14ac:dyDescent="0.3">
      <c r="A419" s="36"/>
      <c r="B419" s="36"/>
      <c r="C419" s="6"/>
      <c r="D419" s="36"/>
      <c r="E419" s="36"/>
      <c r="F419" s="6"/>
      <c r="G419" s="37"/>
      <c r="H419" s="36"/>
      <c r="I419" s="36"/>
      <c r="J419" s="60"/>
      <c r="L419" s="61"/>
      <c r="M419" s="61"/>
      <c r="N419" s="61"/>
      <c r="O419" s="61"/>
      <c r="P419" s="61"/>
      <c r="Q419" s="61"/>
      <c r="R419" s="62"/>
      <c r="S419" s="62"/>
      <c r="T419" s="62"/>
    </row>
    <row r="420" spans="1:20" ht="15.75" customHeight="1" x14ac:dyDescent="0.3">
      <c r="A420" s="36"/>
      <c r="B420" s="36"/>
      <c r="C420" s="6"/>
      <c r="D420" s="36"/>
      <c r="E420" s="36"/>
      <c r="F420" s="6"/>
      <c r="G420" s="37"/>
      <c r="H420" s="36"/>
      <c r="I420" s="36"/>
      <c r="J420" s="60"/>
      <c r="L420" s="61"/>
      <c r="M420" s="61"/>
      <c r="N420" s="61"/>
      <c r="O420" s="61"/>
      <c r="P420" s="61"/>
      <c r="Q420" s="61"/>
      <c r="R420" s="62"/>
      <c r="S420" s="62"/>
      <c r="T420" s="62"/>
    </row>
    <row r="421" spans="1:20" ht="15.75" customHeight="1" x14ac:dyDescent="0.3">
      <c r="A421" s="36"/>
      <c r="B421" s="36"/>
      <c r="C421" s="6"/>
      <c r="D421" s="36"/>
      <c r="E421" s="36"/>
      <c r="F421" s="6"/>
      <c r="G421" s="37"/>
      <c r="H421" s="36"/>
      <c r="I421" s="36"/>
      <c r="J421" s="60"/>
      <c r="L421" s="61"/>
      <c r="M421" s="61"/>
      <c r="N421" s="61"/>
      <c r="O421" s="61"/>
      <c r="P421" s="61"/>
      <c r="Q421" s="61"/>
      <c r="R421" s="62"/>
      <c r="S421" s="62"/>
      <c r="T421" s="62"/>
    </row>
    <row r="422" spans="1:20" ht="15.75" customHeight="1" x14ac:dyDescent="0.3">
      <c r="A422" s="36"/>
      <c r="B422" s="36"/>
      <c r="C422" s="6"/>
      <c r="D422" s="36"/>
      <c r="E422" s="36"/>
      <c r="F422" s="6"/>
      <c r="G422" s="37"/>
      <c r="H422" s="36"/>
      <c r="I422" s="36"/>
      <c r="J422" s="60"/>
      <c r="L422" s="61"/>
      <c r="M422" s="61"/>
      <c r="N422" s="61"/>
      <c r="O422" s="61"/>
      <c r="P422" s="61"/>
      <c r="Q422" s="61"/>
      <c r="R422" s="62"/>
      <c r="S422" s="62"/>
      <c r="T422" s="62"/>
    </row>
    <row r="423" spans="1:20" ht="15.75" customHeight="1" x14ac:dyDescent="0.3">
      <c r="A423" s="36"/>
      <c r="B423" s="36"/>
      <c r="C423" s="6"/>
      <c r="D423" s="36"/>
      <c r="E423" s="36"/>
      <c r="F423" s="6"/>
      <c r="G423" s="37"/>
      <c r="H423" s="36"/>
      <c r="I423" s="36"/>
      <c r="J423" s="60"/>
      <c r="L423" s="61"/>
      <c r="M423" s="61"/>
      <c r="N423" s="61"/>
      <c r="O423" s="61"/>
      <c r="P423" s="61"/>
      <c r="Q423" s="61"/>
      <c r="R423" s="62"/>
      <c r="S423" s="62"/>
      <c r="T423" s="62"/>
    </row>
    <row r="424" spans="1:20" ht="15.75" customHeight="1" x14ac:dyDescent="0.3">
      <c r="A424" s="36"/>
      <c r="B424" s="36"/>
      <c r="C424" s="6"/>
      <c r="D424" s="36"/>
      <c r="E424" s="36"/>
      <c r="F424" s="6"/>
      <c r="G424" s="37"/>
      <c r="H424" s="36"/>
      <c r="I424" s="36"/>
      <c r="J424" s="60"/>
      <c r="L424" s="61"/>
      <c r="M424" s="61"/>
      <c r="N424" s="61"/>
      <c r="O424" s="61"/>
      <c r="P424" s="61"/>
      <c r="Q424" s="61"/>
      <c r="R424" s="62"/>
      <c r="S424" s="62"/>
      <c r="T424" s="62"/>
    </row>
    <row r="425" spans="1:20" ht="15.75" customHeight="1" x14ac:dyDescent="0.3">
      <c r="A425" s="36"/>
      <c r="B425" s="36"/>
      <c r="C425" s="6"/>
      <c r="D425" s="36"/>
      <c r="E425" s="36"/>
      <c r="F425" s="6"/>
      <c r="G425" s="37"/>
      <c r="H425" s="36"/>
      <c r="I425" s="36"/>
      <c r="J425" s="60"/>
      <c r="L425" s="61"/>
      <c r="M425" s="61"/>
      <c r="N425" s="61"/>
      <c r="O425" s="61"/>
      <c r="P425" s="61"/>
      <c r="Q425" s="61"/>
      <c r="R425" s="62"/>
      <c r="S425" s="62"/>
      <c r="T425" s="62"/>
    </row>
    <row r="426" spans="1:20" ht="15.75" customHeight="1" x14ac:dyDescent="0.3">
      <c r="A426" s="36"/>
      <c r="B426" s="36"/>
      <c r="C426" s="6"/>
      <c r="D426" s="36"/>
      <c r="E426" s="36"/>
      <c r="F426" s="6"/>
      <c r="G426" s="37"/>
      <c r="H426" s="36"/>
      <c r="I426" s="36"/>
      <c r="J426" s="60"/>
      <c r="L426" s="61"/>
      <c r="M426" s="61"/>
      <c r="N426" s="61"/>
      <c r="O426" s="61"/>
      <c r="P426" s="61"/>
      <c r="Q426" s="61"/>
      <c r="R426" s="62"/>
      <c r="S426" s="62"/>
      <c r="T426" s="62"/>
    </row>
    <row r="427" spans="1:20" ht="15.75" customHeight="1" x14ac:dyDescent="0.3">
      <c r="A427" s="36"/>
      <c r="B427" s="36"/>
      <c r="C427" s="6"/>
      <c r="D427" s="36"/>
      <c r="E427" s="36"/>
      <c r="F427" s="6"/>
      <c r="G427" s="37"/>
      <c r="H427" s="36"/>
      <c r="I427" s="36"/>
      <c r="J427" s="60"/>
      <c r="L427" s="61"/>
      <c r="M427" s="61"/>
      <c r="N427" s="61"/>
      <c r="O427" s="61"/>
      <c r="P427" s="61"/>
      <c r="Q427" s="61"/>
      <c r="R427" s="62"/>
      <c r="S427" s="62"/>
      <c r="T427" s="62"/>
    </row>
    <row r="428" spans="1:20" ht="15.75" customHeight="1" x14ac:dyDescent="0.3">
      <c r="A428" s="36"/>
      <c r="B428" s="36"/>
      <c r="C428" s="6"/>
      <c r="D428" s="36"/>
      <c r="E428" s="36"/>
      <c r="F428" s="6"/>
      <c r="G428" s="37"/>
      <c r="H428" s="36"/>
      <c r="I428" s="36"/>
      <c r="J428" s="60"/>
      <c r="L428" s="61"/>
      <c r="M428" s="61"/>
      <c r="N428" s="61"/>
      <c r="O428" s="61"/>
      <c r="P428" s="61"/>
      <c r="Q428" s="61"/>
      <c r="R428" s="62"/>
      <c r="S428" s="62"/>
      <c r="T428" s="62"/>
    </row>
    <row r="429" spans="1:20" ht="15.75" customHeight="1" x14ac:dyDescent="0.3">
      <c r="A429" s="36"/>
      <c r="B429" s="36"/>
      <c r="C429" s="6"/>
      <c r="D429" s="36"/>
      <c r="E429" s="36"/>
      <c r="F429" s="6"/>
      <c r="G429" s="37"/>
      <c r="H429" s="36"/>
      <c r="I429" s="36"/>
      <c r="J429" s="60"/>
      <c r="L429" s="61"/>
      <c r="M429" s="61"/>
      <c r="N429" s="61"/>
      <c r="O429" s="61"/>
      <c r="P429" s="61"/>
      <c r="Q429" s="61"/>
      <c r="R429" s="62"/>
      <c r="S429" s="62"/>
      <c r="T429" s="62"/>
    </row>
    <row r="430" spans="1:20" ht="15.75" customHeight="1" x14ac:dyDescent="0.3">
      <c r="A430" s="36"/>
      <c r="B430" s="36"/>
      <c r="C430" s="6"/>
      <c r="D430" s="36"/>
      <c r="E430" s="36"/>
      <c r="F430" s="6"/>
      <c r="G430" s="37"/>
      <c r="H430" s="36"/>
      <c r="I430" s="36"/>
      <c r="J430" s="60"/>
      <c r="L430" s="61"/>
      <c r="M430" s="61"/>
      <c r="N430" s="61"/>
      <c r="O430" s="61"/>
      <c r="P430" s="61"/>
      <c r="Q430" s="61"/>
      <c r="R430" s="62"/>
      <c r="S430" s="62"/>
      <c r="T430" s="62"/>
    </row>
    <row r="431" spans="1:20" ht="15.75" customHeight="1" x14ac:dyDescent="0.3">
      <c r="A431" s="36"/>
      <c r="B431" s="36"/>
      <c r="C431" s="6"/>
      <c r="D431" s="36"/>
      <c r="E431" s="36"/>
      <c r="F431" s="6"/>
      <c r="G431" s="37"/>
      <c r="H431" s="36"/>
      <c r="I431" s="36"/>
      <c r="J431" s="60"/>
      <c r="L431" s="61"/>
      <c r="M431" s="61"/>
      <c r="N431" s="61"/>
      <c r="O431" s="61"/>
      <c r="P431" s="61"/>
      <c r="Q431" s="61"/>
      <c r="R431" s="62"/>
      <c r="S431" s="62"/>
      <c r="T431" s="62"/>
    </row>
    <row r="432" spans="1:20" ht="15.75" customHeight="1" x14ac:dyDescent="0.3">
      <c r="A432" s="36"/>
      <c r="B432" s="36"/>
      <c r="C432" s="6"/>
      <c r="D432" s="36"/>
      <c r="E432" s="36"/>
      <c r="F432" s="6"/>
      <c r="G432" s="37"/>
      <c r="H432" s="36"/>
      <c r="I432" s="36"/>
      <c r="J432" s="60"/>
      <c r="L432" s="61"/>
      <c r="M432" s="61"/>
      <c r="N432" s="61"/>
      <c r="O432" s="61"/>
      <c r="P432" s="61"/>
      <c r="Q432" s="61"/>
      <c r="R432" s="62"/>
      <c r="S432" s="62"/>
      <c r="T432" s="62"/>
    </row>
    <row r="433" spans="1:20" ht="15.75" customHeight="1" x14ac:dyDescent="0.3">
      <c r="A433" s="36"/>
      <c r="B433" s="36"/>
      <c r="C433" s="6"/>
      <c r="D433" s="36"/>
      <c r="E433" s="36"/>
      <c r="F433" s="6"/>
      <c r="G433" s="37"/>
      <c r="H433" s="36"/>
      <c r="I433" s="36"/>
      <c r="J433" s="60"/>
      <c r="L433" s="61"/>
      <c r="M433" s="61"/>
      <c r="N433" s="61"/>
      <c r="O433" s="61"/>
      <c r="P433" s="61"/>
      <c r="Q433" s="61"/>
      <c r="R433" s="62"/>
      <c r="S433" s="62"/>
      <c r="T433" s="62"/>
    </row>
    <row r="434" spans="1:20" ht="15.75" customHeight="1" x14ac:dyDescent="0.3">
      <c r="A434" s="36"/>
      <c r="B434" s="36"/>
      <c r="C434" s="6"/>
      <c r="D434" s="36"/>
      <c r="E434" s="36"/>
      <c r="F434" s="6"/>
      <c r="G434" s="37"/>
      <c r="H434" s="36"/>
      <c r="I434" s="36"/>
      <c r="J434" s="60"/>
      <c r="L434" s="61"/>
      <c r="M434" s="61"/>
      <c r="N434" s="61"/>
      <c r="O434" s="61"/>
      <c r="P434" s="61"/>
      <c r="Q434" s="61"/>
      <c r="R434" s="62"/>
      <c r="S434" s="62"/>
      <c r="T434" s="62"/>
    </row>
    <row r="435" spans="1:20" ht="15.75" customHeight="1" x14ac:dyDescent="0.3">
      <c r="A435" s="36"/>
      <c r="B435" s="36"/>
      <c r="C435" s="6"/>
      <c r="D435" s="36"/>
      <c r="E435" s="36"/>
      <c r="F435" s="6"/>
      <c r="G435" s="37"/>
      <c r="H435" s="36"/>
      <c r="I435" s="36"/>
      <c r="J435" s="60"/>
      <c r="L435" s="61"/>
      <c r="M435" s="61"/>
      <c r="N435" s="61"/>
      <c r="O435" s="61"/>
      <c r="P435" s="61"/>
      <c r="Q435" s="61"/>
      <c r="R435" s="62"/>
      <c r="S435" s="62"/>
      <c r="T435" s="62"/>
    </row>
    <row r="436" spans="1:20" ht="15.75" customHeight="1" x14ac:dyDescent="0.3">
      <c r="A436" s="36"/>
      <c r="B436" s="36"/>
      <c r="C436" s="6"/>
      <c r="D436" s="36"/>
      <c r="E436" s="36"/>
      <c r="F436" s="6"/>
      <c r="G436" s="37"/>
      <c r="H436" s="36"/>
      <c r="I436" s="36"/>
      <c r="J436" s="60"/>
      <c r="L436" s="61"/>
      <c r="M436" s="61"/>
      <c r="N436" s="61"/>
      <c r="O436" s="61"/>
      <c r="P436" s="61"/>
      <c r="Q436" s="61"/>
      <c r="R436" s="62"/>
      <c r="S436" s="62"/>
      <c r="T436" s="62"/>
    </row>
    <row r="437" spans="1:20" ht="15.75" customHeight="1" x14ac:dyDescent="0.3">
      <c r="A437" s="36"/>
      <c r="B437" s="36"/>
      <c r="C437" s="6"/>
      <c r="D437" s="36"/>
      <c r="E437" s="36"/>
      <c r="F437" s="6"/>
      <c r="G437" s="37"/>
      <c r="H437" s="36"/>
      <c r="I437" s="36"/>
      <c r="J437" s="60"/>
      <c r="L437" s="61"/>
      <c r="M437" s="61"/>
      <c r="N437" s="61"/>
      <c r="O437" s="61"/>
      <c r="P437" s="61"/>
      <c r="Q437" s="61"/>
      <c r="R437" s="62"/>
      <c r="S437" s="62"/>
      <c r="T437" s="62"/>
    </row>
    <row r="438" spans="1:20" ht="15.75" customHeight="1" x14ac:dyDescent="0.3">
      <c r="A438" s="36"/>
      <c r="B438" s="36"/>
      <c r="C438" s="6"/>
      <c r="D438" s="36"/>
      <c r="E438" s="36"/>
      <c r="F438" s="6"/>
      <c r="G438" s="37"/>
      <c r="H438" s="36"/>
      <c r="I438" s="36"/>
      <c r="J438" s="60"/>
      <c r="L438" s="61"/>
      <c r="M438" s="61"/>
      <c r="N438" s="61"/>
      <c r="O438" s="61"/>
      <c r="P438" s="61"/>
      <c r="Q438" s="61"/>
      <c r="R438" s="62"/>
      <c r="S438" s="62"/>
      <c r="T438" s="62"/>
    </row>
    <row r="439" spans="1:20" ht="15.75" customHeight="1" x14ac:dyDescent="0.3">
      <c r="A439" s="36"/>
      <c r="B439" s="36"/>
      <c r="C439" s="6"/>
      <c r="D439" s="36"/>
      <c r="E439" s="36"/>
      <c r="F439" s="6"/>
      <c r="G439" s="37"/>
      <c r="H439" s="36"/>
      <c r="I439" s="36"/>
      <c r="J439" s="60"/>
      <c r="L439" s="61"/>
      <c r="M439" s="61"/>
      <c r="N439" s="61"/>
      <c r="O439" s="61"/>
      <c r="P439" s="61"/>
      <c r="Q439" s="61"/>
      <c r="R439" s="62"/>
      <c r="S439" s="62"/>
      <c r="T439" s="62"/>
    </row>
    <row r="440" spans="1:20" ht="15.75" customHeight="1" x14ac:dyDescent="0.3">
      <c r="A440" s="36"/>
      <c r="B440" s="36"/>
      <c r="C440" s="6"/>
      <c r="D440" s="36"/>
      <c r="E440" s="36"/>
      <c r="F440" s="6"/>
      <c r="G440" s="37"/>
      <c r="H440" s="36"/>
      <c r="I440" s="36"/>
      <c r="J440" s="60"/>
      <c r="L440" s="61"/>
      <c r="M440" s="61"/>
      <c r="N440" s="61"/>
      <c r="O440" s="61"/>
      <c r="P440" s="61"/>
      <c r="Q440" s="61"/>
      <c r="R440" s="62"/>
      <c r="S440" s="62"/>
      <c r="T440" s="62"/>
    </row>
    <row r="441" spans="1:20" ht="15.75" customHeight="1" x14ac:dyDescent="0.3">
      <c r="A441" s="36"/>
      <c r="B441" s="36"/>
      <c r="C441" s="6"/>
      <c r="D441" s="36"/>
      <c r="E441" s="36"/>
      <c r="F441" s="6"/>
      <c r="G441" s="37"/>
      <c r="H441" s="36"/>
      <c r="I441" s="36"/>
      <c r="J441" s="60"/>
      <c r="L441" s="61"/>
      <c r="M441" s="61"/>
      <c r="N441" s="61"/>
      <c r="O441" s="61"/>
      <c r="P441" s="61"/>
      <c r="Q441" s="61"/>
      <c r="R441" s="62"/>
      <c r="S441" s="62"/>
      <c r="T441" s="62"/>
    </row>
    <row r="442" spans="1:20" ht="15.75" customHeight="1" x14ac:dyDescent="0.3">
      <c r="A442" s="36"/>
      <c r="B442" s="36"/>
      <c r="C442" s="6"/>
      <c r="D442" s="36"/>
      <c r="E442" s="36"/>
      <c r="F442" s="6"/>
      <c r="G442" s="37"/>
      <c r="H442" s="36"/>
      <c r="I442" s="36"/>
      <c r="J442" s="60"/>
      <c r="L442" s="61"/>
      <c r="M442" s="61"/>
      <c r="N442" s="61"/>
      <c r="O442" s="61"/>
      <c r="P442" s="61"/>
      <c r="Q442" s="61"/>
      <c r="R442" s="62"/>
      <c r="S442" s="62"/>
      <c r="T442" s="62"/>
    </row>
    <row r="443" spans="1:20" ht="15.75" customHeight="1" x14ac:dyDescent="0.3">
      <c r="A443" s="36"/>
      <c r="B443" s="36"/>
      <c r="C443" s="6"/>
      <c r="D443" s="36"/>
      <c r="E443" s="36"/>
      <c r="F443" s="6"/>
      <c r="G443" s="37"/>
      <c r="H443" s="36"/>
      <c r="I443" s="36"/>
      <c r="J443" s="60"/>
      <c r="L443" s="61"/>
      <c r="M443" s="61"/>
      <c r="N443" s="61"/>
      <c r="O443" s="61"/>
      <c r="P443" s="61"/>
      <c r="Q443" s="61"/>
      <c r="R443" s="62"/>
      <c r="S443" s="62"/>
      <c r="T443" s="62"/>
    </row>
    <row r="444" spans="1:20" ht="15.75" customHeight="1" x14ac:dyDescent="0.3">
      <c r="A444" s="36"/>
      <c r="B444" s="36"/>
      <c r="C444" s="6"/>
      <c r="D444" s="36"/>
      <c r="E444" s="36"/>
      <c r="F444" s="6"/>
      <c r="G444" s="37"/>
      <c r="H444" s="36"/>
      <c r="I444" s="36"/>
      <c r="J444" s="60"/>
      <c r="L444" s="61"/>
      <c r="M444" s="61"/>
      <c r="N444" s="61"/>
      <c r="O444" s="61"/>
      <c r="P444" s="61"/>
      <c r="Q444" s="61"/>
      <c r="R444" s="62"/>
      <c r="S444" s="62"/>
      <c r="T444" s="62"/>
    </row>
    <row r="445" spans="1:20" ht="15.75" customHeight="1" x14ac:dyDescent="0.3">
      <c r="A445" s="36"/>
      <c r="B445" s="36"/>
      <c r="C445" s="6"/>
      <c r="D445" s="36"/>
      <c r="E445" s="36"/>
      <c r="F445" s="6"/>
      <c r="G445" s="37"/>
      <c r="H445" s="36"/>
      <c r="I445" s="36"/>
      <c r="J445" s="60"/>
      <c r="L445" s="61"/>
      <c r="M445" s="61"/>
      <c r="N445" s="61"/>
      <c r="O445" s="61"/>
      <c r="P445" s="61"/>
      <c r="Q445" s="61"/>
      <c r="R445" s="62"/>
      <c r="S445" s="62"/>
      <c r="T445" s="62"/>
    </row>
    <row r="446" spans="1:20" ht="15.75" customHeight="1" x14ac:dyDescent="0.3">
      <c r="A446" s="36"/>
      <c r="B446" s="36"/>
      <c r="C446" s="6"/>
      <c r="D446" s="36"/>
      <c r="E446" s="36"/>
      <c r="F446" s="6"/>
      <c r="G446" s="37"/>
      <c r="H446" s="36"/>
      <c r="I446" s="36"/>
      <c r="J446" s="60"/>
      <c r="L446" s="61"/>
      <c r="M446" s="61"/>
      <c r="N446" s="61"/>
      <c r="O446" s="61"/>
      <c r="P446" s="61"/>
      <c r="Q446" s="61"/>
      <c r="R446" s="62"/>
      <c r="S446" s="62"/>
      <c r="T446" s="62"/>
    </row>
    <row r="447" spans="1:20" ht="15.75" customHeight="1" x14ac:dyDescent="0.3">
      <c r="A447" s="36"/>
      <c r="B447" s="36"/>
      <c r="C447" s="6"/>
      <c r="D447" s="36"/>
      <c r="E447" s="36"/>
      <c r="F447" s="6"/>
      <c r="G447" s="37"/>
      <c r="H447" s="36"/>
      <c r="I447" s="36"/>
      <c r="J447" s="60"/>
      <c r="L447" s="61"/>
      <c r="M447" s="61"/>
      <c r="N447" s="61"/>
      <c r="O447" s="61"/>
      <c r="P447" s="61"/>
      <c r="Q447" s="61"/>
      <c r="R447" s="62"/>
      <c r="S447" s="62"/>
      <c r="T447" s="62"/>
    </row>
    <row r="448" spans="1:20" ht="15.75" customHeight="1" x14ac:dyDescent="0.3">
      <c r="A448" s="36"/>
      <c r="B448" s="36"/>
      <c r="C448" s="6"/>
      <c r="D448" s="36"/>
      <c r="E448" s="36"/>
      <c r="F448" s="6"/>
      <c r="G448" s="37"/>
      <c r="H448" s="36"/>
      <c r="I448" s="36"/>
      <c r="J448" s="60"/>
      <c r="L448" s="61"/>
      <c r="M448" s="61"/>
      <c r="N448" s="61"/>
      <c r="O448" s="61"/>
      <c r="P448" s="61"/>
      <c r="Q448" s="61"/>
      <c r="R448" s="62"/>
      <c r="S448" s="62"/>
      <c r="T448" s="62"/>
    </row>
    <row r="449" spans="1:20" ht="15.75" customHeight="1" x14ac:dyDescent="0.3">
      <c r="A449" s="36"/>
      <c r="B449" s="36"/>
      <c r="C449" s="6"/>
      <c r="D449" s="36"/>
      <c r="E449" s="36"/>
      <c r="F449" s="6"/>
      <c r="G449" s="37"/>
      <c r="H449" s="36"/>
      <c r="I449" s="36"/>
      <c r="J449" s="60"/>
      <c r="L449" s="61"/>
      <c r="M449" s="61"/>
      <c r="N449" s="61"/>
      <c r="O449" s="61"/>
      <c r="P449" s="61"/>
      <c r="Q449" s="61"/>
      <c r="R449" s="62"/>
      <c r="S449" s="62"/>
      <c r="T449" s="62"/>
    </row>
    <row r="450" spans="1:20" ht="15.75" customHeight="1" x14ac:dyDescent="0.3">
      <c r="A450" s="36"/>
      <c r="B450" s="36"/>
      <c r="C450" s="6"/>
      <c r="D450" s="36"/>
      <c r="E450" s="36"/>
      <c r="F450" s="6"/>
      <c r="G450" s="37"/>
      <c r="H450" s="36"/>
      <c r="I450" s="36"/>
      <c r="J450" s="60"/>
      <c r="L450" s="61"/>
      <c r="M450" s="61"/>
      <c r="N450" s="61"/>
      <c r="O450" s="61"/>
      <c r="P450" s="61"/>
      <c r="Q450" s="61"/>
      <c r="R450" s="62"/>
      <c r="S450" s="62"/>
      <c r="T450" s="62"/>
    </row>
    <row r="451" spans="1:20" ht="15.75" customHeight="1" x14ac:dyDescent="0.3">
      <c r="A451" s="36"/>
      <c r="B451" s="36"/>
      <c r="C451" s="6"/>
      <c r="D451" s="36"/>
      <c r="E451" s="36"/>
      <c r="F451" s="6"/>
      <c r="G451" s="37"/>
      <c r="H451" s="36"/>
      <c r="I451" s="36"/>
      <c r="J451" s="60"/>
      <c r="L451" s="61"/>
      <c r="M451" s="61"/>
      <c r="N451" s="61"/>
      <c r="O451" s="61"/>
      <c r="P451" s="61"/>
      <c r="Q451" s="61"/>
      <c r="R451" s="62"/>
      <c r="S451" s="62"/>
      <c r="T451" s="62"/>
    </row>
    <row r="452" spans="1:20" ht="15.75" customHeight="1" x14ac:dyDescent="0.3">
      <c r="A452" s="36"/>
      <c r="B452" s="36"/>
      <c r="C452" s="6"/>
      <c r="D452" s="36"/>
      <c r="E452" s="36"/>
      <c r="F452" s="6"/>
      <c r="G452" s="37"/>
      <c r="H452" s="36"/>
      <c r="I452" s="36"/>
      <c r="J452" s="60"/>
      <c r="L452" s="61"/>
      <c r="M452" s="61"/>
      <c r="N452" s="61"/>
      <c r="O452" s="61"/>
      <c r="P452" s="61"/>
      <c r="Q452" s="61"/>
      <c r="R452" s="62"/>
      <c r="S452" s="62"/>
      <c r="T452" s="62"/>
    </row>
    <row r="453" spans="1:20" ht="15.75" customHeight="1" x14ac:dyDescent="0.3">
      <c r="A453" s="36"/>
      <c r="B453" s="36"/>
      <c r="C453" s="6"/>
      <c r="D453" s="36"/>
      <c r="E453" s="36"/>
      <c r="F453" s="6"/>
      <c r="G453" s="37"/>
      <c r="H453" s="36"/>
      <c r="I453" s="36"/>
      <c r="J453" s="60"/>
      <c r="L453" s="61"/>
      <c r="M453" s="61"/>
      <c r="N453" s="61"/>
      <c r="O453" s="61"/>
      <c r="P453" s="61"/>
      <c r="Q453" s="61"/>
      <c r="R453" s="62"/>
      <c r="S453" s="62"/>
      <c r="T453" s="62"/>
    </row>
    <row r="454" spans="1:20" ht="15.75" customHeight="1" x14ac:dyDescent="0.3">
      <c r="A454" s="36"/>
      <c r="B454" s="36"/>
      <c r="C454" s="6"/>
      <c r="D454" s="36"/>
      <c r="E454" s="36"/>
      <c r="F454" s="6"/>
      <c r="G454" s="37"/>
      <c r="H454" s="36"/>
      <c r="I454" s="36"/>
      <c r="J454" s="60"/>
      <c r="L454" s="61"/>
      <c r="M454" s="61"/>
      <c r="N454" s="61"/>
      <c r="O454" s="61"/>
      <c r="P454" s="61"/>
      <c r="Q454" s="61"/>
      <c r="R454" s="62"/>
      <c r="S454" s="62"/>
      <c r="T454" s="62"/>
    </row>
    <row r="455" spans="1:20" ht="15.75" customHeight="1" x14ac:dyDescent="0.3">
      <c r="A455" s="36"/>
      <c r="B455" s="36"/>
      <c r="C455" s="6"/>
      <c r="D455" s="36"/>
      <c r="E455" s="36"/>
      <c r="F455" s="6"/>
      <c r="G455" s="37"/>
      <c r="H455" s="36"/>
      <c r="I455" s="36"/>
      <c r="J455" s="60"/>
      <c r="L455" s="61"/>
      <c r="M455" s="61"/>
      <c r="N455" s="61"/>
      <c r="O455" s="61"/>
      <c r="P455" s="61"/>
      <c r="Q455" s="61"/>
      <c r="R455" s="62"/>
      <c r="S455" s="62"/>
      <c r="T455" s="62"/>
    </row>
    <row r="456" spans="1:20" ht="15.75" customHeight="1" x14ac:dyDescent="0.3">
      <c r="A456" s="36"/>
      <c r="B456" s="36"/>
      <c r="C456" s="6"/>
      <c r="D456" s="36"/>
      <c r="E456" s="36"/>
      <c r="F456" s="6"/>
      <c r="G456" s="37"/>
      <c r="H456" s="36"/>
      <c r="I456" s="36"/>
      <c r="J456" s="60"/>
      <c r="L456" s="61"/>
      <c r="M456" s="61"/>
      <c r="N456" s="61"/>
      <c r="O456" s="61"/>
      <c r="P456" s="61"/>
      <c r="Q456" s="61"/>
      <c r="R456" s="62"/>
      <c r="S456" s="62"/>
      <c r="T456" s="62"/>
    </row>
    <row r="457" spans="1:20" ht="15.75" customHeight="1" x14ac:dyDescent="0.3">
      <c r="A457" s="36"/>
      <c r="B457" s="36"/>
      <c r="C457" s="6"/>
      <c r="D457" s="36"/>
      <c r="E457" s="36"/>
      <c r="F457" s="6"/>
      <c r="G457" s="37"/>
      <c r="H457" s="36"/>
      <c r="I457" s="36"/>
      <c r="J457" s="60"/>
      <c r="L457" s="61"/>
      <c r="M457" s="61"/>
      <c r="N457" s="61"/>
      <c r="O457" s="61"/>
      <c r="P457" s="61"/>
      <c r="Q457" s="61"/>
      <c r="R457" s="62"/>
      <c r="S457" s="62"/>
      <c r="T457" s="62"/>
    </row>
    <row r="458" spans="1:20" ht="15.75" customHeight="1" x14ac:dyDescent="0.3">
      <c r="A458" s="36"/>
      <c r="B458" s="36"/>
      <c r="C458" s="6"/>
      <c r="D458" s="36"/>
      <c r="E458" s="36"/>
      <c r="F458" s="6"/>
      <c r="G458" s="37"/>
      <c r="H458" s="36"/>
      <c r="I458" s="36"/>
      <c r="J458" s="60"/>
      <c r="L458" s="61"/>
      <c r="M458" s="61"/>
      <c r="N458" s="61"/>
      <c r="O458" s="61"/>
      <c r="P458" s="61"/>
      <c r="Q458" s="61"/>
      <c r="R458" s="62"/>
      <c r="S458" s="62"/>
      <c r="T458" s="62"/>
    </row>
    <row r="459" spans="1:20" ht="15.75" customHeight="1" x14ac:dyDescent="0.3">
      <c r="A459" s="36"/>
      <c r="B459" s="36"/>
      <c r="C459" s="6"/>
      <c r="D459" s="36"/>
      <c r="E459" s="36"/>
      <c r="F459" s="6"/>
      <c r="G459" s="37"/>
      <c r="H459" s="36"/>
      <c r="I459" s="36"/>
      <c r="J459" s="60"/>
      <c r="L459" s="61"/>
      <c r="M459" s="61"/>
      <c r="N459" s="61"/>
      <c r="O459" s="61"/>
      <c r="P459" s="61"/>
      <c r="Q459" s="61"/>
      <c r="R459" s="62"/>
      <c r="S459" s="62"/>
      <c r="T459" s="62"/>
    </row>
    <row r="460" spans="1:20" ht="15.75" customHeight="1" x14ac:dyDescent="0.3">
      <c r="A460" s="36"/>
      <c r="B460" s="36"/>
      <c r="C460" s="6"/>
      <c r="D460" s="36"/>
      <c r="E460" s="36"/>
      <c r="F460" s="6"/>
      <c r="G460" s="37"/>
      <c r="H460" s="36"/>
      <c r="I460" s="36"/>
      <c r="J460" s="60"/>
      <c r="L460" s="61"/>
      <c r="M460" s="61"/>
      <c r="N460" s="61"/>
      <c r="O460" s="61"/>
      <c r="P460" s="61"/>
      <c r="Q460" s="61"/>
      <c r="R460" s="62"/>
      <c r="S460" s="62"/>
      <c r="T460" s="62"/>
    </row>
    <row r="461" spans="1:20" ht="15.75" customHeight="1" x14ac:dyDescent="0.3">
      <c r="A461" s="36"/>
      <c r="B461" s="36"/>
      <c r="C461" s="6"/>
      <c r="D461" s="36"/>
      <c r="E461" s="36"/>
      <c r="F461" s="6"/>
      <c r="G461" s="37"/>
      <c r="H461" s="36"/>
      <c r="I461" s="36"/>
      <c r="J461" s="60"/>
      <c r="L461" s="61"/>
      <c r="M461" s="61"/>
      <c r="N461" s="61"/>
      <c r="O461" s="61"/>
      <c r="P461" s="61"/>
      <c r="Q461" s="61"/>
      <c r="R461" s="62"/>
      <c r="S461" s="62"/>
      <c r="T461" s="62"/>
    </row>
    <row r="462" spans="1:20" ht="15.75" customHeight="1" x14ac:dyDescent="0.3">
      <c r="A462" s="36"/>
      <c r="B462" s="36"/>
      <c r="C462" s="6"/>
      <c r="D462" s="36"/>
      <c r="E462" s="36"/>
      <c r="F462" s="6"/>
      <c r="G462" s="37"/>
      <c r="H462" s="36"/>
      <c r="I462" s="36"/>
      <c r="J462" s="60"/>
      <c r="L462" s="61"/>
      <c r="M462" s="61"/>
      <c r="N462" s="61"/>
      <c r="O462" s="61"/>
      <c r="P462" s="61"/>
      <c r="Q462" s="61"/>
      <c r="R462" s="62"/>
      <c r="S462" s="62"/>
      <c r="T462" s="62"/>
    </row>
    <row r="463" spans="1:20" ht="15.75" customHeight="1" x14ac:dyDescent="0.3">
      <c r="A463" s="36"/>
      <c r="B463" s="36"/>
      <c r="C463" s="6"/>
      <c r="D463" s="36"/>
      <c r="E463" s="36"/>
      <c r="F463" s="6"/>
      <c r="G463" s="37"/>
      <c r="H463" s="36"/>
      <c r="I463" s="36"/>
      <c r="J463" s="60"/>
      <c r="L463" s="61"/>
      <c r="M463" s="61"/>
      <c r="N463" s="61"/>
      <c r="O463" s="61"/>
      <c r="P463" s="61"/>
      <c r="Q463" s="61"/>
      <c r="R463" s="62"/>
      <c r="S463" s="62"/>
      <c r="T463" s="62"/>
    </row>
    <row r="464" spans="1:20" ht="15.75" customHeight="1" x14ac:dyDescent="0.3">
      <c r="A464" s="36"/>
      <c r="B464" s="36"/>
      <c r="C464" s="6"/>
      <c r="D464" s="36"/>
      <c r="E464" s="36"/>
      <c r="F464" s="6"/>
      <c r="G464" s="37"/>
      <c r="H464" s="36"/>
      <c r="I464" s="36"/>
      <c r="J464" s="60"/>
      <c r="L464" s="61"/>
      <c r="M464" s="61"/>
      <c r="N464" s="61"/>
      <c r="O464" s="61"/>
      <c r="P464" s="61"/>
      <c r="Q464" s="61"/>
      <c r="R464" s="62"/>
      <c r="S464" s="62"/>
      <c r="T464" s="62"/>
    </row>
    <row r="465" spans="1:20" ht="15.75" customHeight="1" x14ac:dyDescent="0.3">
      <c r="A465" s="36"/>
      <c r="B465" s="36"/>
      <c r="C465" s="6"/>
      <c r="D465" s="36"/>
      <c r="E465" s="36"/>
      <c r="F465" s="6"/>
      <c r="G465" s="37"/>
      <c r="H465" s="36"/>
      <c r="I465" s="36"/>
      <c r="J465" s="60"/>
      <c r="L465" s="61"/>
      <c r="M465" s="61"/>
      <c r="N465" s="61"/>
      <c r="O465" s="61"/>
      <c r="P465" s="61"/>
      <c r="Q465" s="61"/>
      <c r="R465" s="62"/>
      <c r="S465" s="62"/>
      <c r="T465" s="62"/>
    </row>
    <row r="466" spans="1:20" ht="15.75" customHeight="1" x14ac:dyDescent="0.3">
      <c r="A466" s="36"/>
      <c r="B466" s="36"/>
      <c r="C466" s="6"/>
      <c r="D466" s="36"/>
      <c r="E466" s="36"/>
      <c r="F466" s="6"/>
      <c r="G466" s="37"/>
      <c r="H466" s="36"/>
      <c r="I466" s="36"/>
      <c r="J466" s="60"/>
      <c r="L466" s="61"/>
      <c r="M466" s="61"/>
      <c r="N466" s="61"/>
      <c r="O466" s="61"/>
      <c r="P466" s="61"/>
      <c r="Q466" s="61"/>
      <c r="R466" s="62"/>
      <c r="S466" s="62"/>
      <c r="T466" s="62"/>
    </row>
    <row r="467" spans="1:20" ht="15.75" customHeight="1" x14ac:dyDescent="0.3">
      <c r="A467" s="36"/>
      <c r="B467" s="36"/>
      <c r="C467" s="6"/>
      <c r="D467" s="36"/>
      <c r="E467" s="36"/>
      <c r="F467" s="6"/>
      <c r="G467" s="37"/>
      <c r="H467" s="36"/>
      <c r="I467" s="36"/>
      <c r="J467" s="60"/>
      <c r="L467" s="61"/>
      <c r="M467" s="61"/>
      <c r="N467" s="61"/>
      <c r="O467" s="61"/>
      <c r="P467" s="61"/>
      <c r="Q467" s="61"/>
      <c r="R467" s="62"/>
      <c r="S467" s="62"/>
      <c r="T467" s="62"/>
    </row>
    <row r="468" spans="1:20" ht="15.75" customHeight="1" x14ac:dyDescent="0.3">
      <c r="A468" s="36"/>
      <c r="B468" s="36"/>
      <c r="C468" s="6"/>
      <c r="D468" s="36"/>
      <c r="E468" s="36"/>
      <c r="F468" s="6"/>
      <c r="G468" s="37"/>
      <c r="H468" s="36"/>
      <c r="I468" s="36"/>
      <c r="J468" s="60"/>
      <c r="L468" s="61"/>
      <c r="M468" s="61"/>
      <c r="N468" s="61"/>
      <c r="O468" s="61"/>
      <c r="P468" s="61"/>
      <c r="Q468" s="61"/>
      <c r="R468" s="62"/>
      <c r="S468" s="62"/>
      <c r="T468" s="62"/>
    </row>
    <row r="469" spans="1:20" ht="15.75" customHeight="1" x14ac:dyDescent="0.3">
      <c r="A469" s="36"/>
      <c r="B469" s="36"/>
      <c r="C469" s="6"/>
      <c r="D469" s="36"/>
      <c r="E469" s="36"/>
      <c r="F469" s="6"/>
      <c r="G469" s="37"/>
      <c r="H469" s="36"/>
      <c r="I469" s="36"/>
      <c r="J469" s="60"/>
      <c r="L469" s="61"/>
      <c r="M469" s="61"/>
      <c r="N469" s="61"/>
      <c r="O469" s="61"/>
      <c r="P469" s="61"/>
      <c r="Q469" s="61"/>
      <c r="R469" s="62"/>
      <c r="S469" s="62"/>
      <c r="T469" s="62"/>
    </row>
    <row r="470" spans="1:20" ht="15.75" customHeight="1" x14ac:dyDescent="0.3">
      <c r="A470" s="36"/>
      <c r="B470" s="36"/>
      <c r="C470" s="6"/>
      <c r="D470" s="36"/>
      <c r="E470" s="36"/>
      <c r="F470" s="6"/>
      <c r="G470" s="37"/>
      <c r="H470" s="36"/>
      <c r="I470" s="36"/>
      <c r="J470" s="60"/>
      <c r="L470" s="61"/>
      <c r="M470" s="61"/>
      <c r="N470" s="61"/>
      <c r="O470" s="61"/>
      <c r="P470" s="61"/>
      <c r="Q470" s="61"/>
      <c r="R470" s="62"/>
      <c r="S470" s="62"/>
      <c r="T470" s="62"/>
    </row>
    <row r="471" spans="1:20" ht="15.75" customHeight="1" x14ac:dyDescent="0.3">
      <c r="A471" s="36"/>
      <c r="B471" s="36"/>
      <c r="C471" s="6"/>
      <c r="D471" s="36"/>
      <c r="E471" s="36"/>
      <c r="F471" s="6"/>
      <c r="G471" s="37"/>
      <c r="H471" s="36"/>
      <c r="I471" s="36"/>
      <c r="J471" s="60"/>
      <c r="L471" s="61"/>
      <c r="M471" s="61"/>
      <c r="N471" s="61"/>
      <c r="O471" s="61"/>
      <c r="P471" s="61"/>
      <c r="Q471" s="61"/>
      <c r="R471" s="62"/>
      <c r="S471" s="62"/>
      <c r="T471" s="62"/>
    </row>
    <row r="472" spans="1:20" ht="15.75" customHeight="1" x14ac:dyDescent="0.3">
      <c r="A472" s="36"/>
      <c r="B472" s="36"/>
      <c r="C472" s="6"/>
      <c r="D472" s="36"/>
      <c r="E472" s="36"/>
      <c r="F472" s="6"/>
      <c r="G472" s="37"/>
      <c r="H472" s="36"/>
      <c r="I472" s="36"/>
      <c r="J472" s="60"/>
      <c r="L472" s="61"/>
      <c r="M472" s="61"/>
      <c r="N472" s="61"/>
      <c r="O472" s="61"/>
      <c r="P472" s="61"/>
      <c r="Q472" s="61"/>
      <c r="R472" s="62"/>
      <c r="S472" s="62"/>
      <c r="T472" s="62"/>
    </row>
    <row r="473" spans="1:20" ht="15.75" customHeight="1" x14ac:dyDescent="0.3">
      <c r="A473" s="36"/>
      <c r="B473" s="36"/>
      <c r="C473" s="6"/>
      <c r="D473" s="36"/>
      <c r="E473" s="36"/>
      <c r="F473" s="6"/>
      <c r="G473" s="37"/>
      <c r="H473" s="36"/>
      <c r="I473" s="36"/>
      <c r="J473" s="60"/>
      <c r="L473" s="61"/>
      <c r="M473" s="61"/>
      <c r="N473" s="61"/>
      <c r="O473" s="61"/>
      <c r="P473" s="61"/>
      <c r="Q473" s="61"/>
      <c r="R473" s="62"/>
      <c r="S473" s="62"/>
      <c r="T473" s="62"/>
    </row>
    <row r="474" spans="1:20" ht="15.75" customHeight="1" x14ac:dyDescent="0.3">
      <c r="A474" s="36"/>
      <c r="B474" s="36"/>
      <c r="C474" s="6"/>
      <c r="D474" s="36"/>
      <c r="E474" s="36"/>
      <c r="F474" s="6"/>
      <c r="G474" s="37"/>
      <c r="H474" s="36"/>
      <c r="I474" s="36"/>
      <c r="J474" s="60"/>
      <c r="L474" s="61"/>
      <c r="M474" s="61"/>
      <c r="N474" s="61"/>
      <c r="O474" s="61"/>
      <c r="P474" s="61"/>
      <c r="Q474" s="61"/>
      <c r="R474" s="62"/>
      <c r="S474" s="62"/>
      <c r="T474" s="62"/>
    </row>
    <row r="475" spans="1:20" ht="15.75" customHeight="1" x14ac:dyDescent="0.3">
      <c r="A475" s="36"/>
      <c r="B475" s="36"/>
      <c r="C475" s="6"/>
      <c r="D475" s="36"/>
      <c r="E475" s="36"/>
      <c r="F475" s="6"/>
      <c r="G475" s="37"/>
      <c r="H475" s="36"/>
      <c r="I475" s="36"/>
      <c r="J475" s="60"/>
      <c r="L475" s="61"/>
      <c r="M475" s="61"/>
      <c r="N475" s="61"/>
      <c r="O475" s="61"/>
      <c r="P475" s="61"/>
      <c r="Q475" s="61"/>
      <c r="R475" s="62"/>
      <c r="S475" s="62"/>
      <c r="T475" s="62"/>
    </row>
    <row r="476" spans="1:20" ht="15.75" customHeight="1" x14ac:dyDescent="0.3">
      <c r="A476" s="36"/>
      <c r="B476" s="36"/>
      <c r="C476" s="6"/>
      <c r="D476" s="36"/>
      <c r="E476" s="36"/>
      <c r="F476" s="6"/>
      <c r="G476" s="37"/>
      <c r="H476" s="36"/>
      <c r="I476" s="36"/>
      <c r="J476" s="60"/>
      <c r="L476" s="61"/>
      <c r="M476" s="61"/>
      <c r="N476" s="61"/>
      <c r="O476" s="61"/>
      <c r="P476" s="61"/>
      <c r="Q476" s="61"/>
      <c r="R476" s="62"/>
      <c r="S476" s="62"/>
      <c r="T476" s="62"/>
    </row>
    <row r="477" spans="1:20" ht="15.75" customHeight="1" x14ac:dyDescent="0.3">
      <c r="A477" s="36"/>
      <c r="B477" s="36"/>
      <c r="C477" s="6"/>
      <c r="D477" s="36"/>
      <c r="E477" s="36"/>
      <c r="F477" s="6"/>
      <c r="G477" s="37"/>
      <c r="H477" s="36"/>
      <c r="I477" s="36"/>
      <c r="J477" s="60"/>
      <c r="L477" s="61"/>
      <c r="M477" s="61"/>
      <c r="N477" s="61"/>
      <c r="O477" s="61"/>
      <c r="P477" s="61"/>
      <c r="Q477" s="61"/>
      <c r="R477" s="62"/>
      <c r="S477" s="62"/>
      <c r="T477" s="62"/>
    </row>
    <row r="478" spans="1:20" ht="15.75" customHeight="1" x14ac:dyDescent="0.3">
      <c r="A478" s="36"/>
      <c r="B478" s="36"/>
      <c r="C478" s="6"/>
      <c r="D478" s="36"/>
      <c r="E478" s="36"/>
      <c r="F478" s="6"/>
      <c r="G478" s="37"/>
      <c r="H478" s="36"/>
      <c r="I478" s="36"/>
      <c r="J478" s="60"/>
      <c r="L478" s="61"/>
      <c r="M478" s="61"/>
      <c r="N478" s="61"/>
      <c r="O478" s="61"/>
      <c r="P478" s="61"/>
      <c r="Q478" s="61"/>
      <c r="R478" s="62"/>
      <c r="S478" s="62"/>
      <c r="T478" s="62"/>
    </row>
    <row r="479" spans="1:20" ht="15.75" customHeight="1" x14ac:dyDescent="0.3">
      <c r="A479" s="36"/>
      <c r="B479" s="36"/>
      <c r="C479" s="6"/>
      <c r="D479" s="36"/>
      <c r="E479" s="36"/>
      <c r="F479" s="6"/>
      <c r="G479" s="37"/>
      <c r="H479" s="36"/>
      <c r="I479" s="36"/>
      <c r="J479" s="60"/>
      <c r="L479" s="61"/>
      <c r="M479" s="61"/>
      <c r="N479" s="61"/>
      <c r="O479" s="61"/>
      <c r="P479" s="61"/>
      <c r="Q479" s="61"/>
      <c r="R479" s="62"/>
      <c r="S479" s="62"/>
      <c r="T479" s="62"/>
    </row>
    <row r="480" spans="1:20" ht="15.75" customHeight="1" x14ac:dyDescent="0.3">
      <c r="A480" s="36"/>
      <c r="B480" s="36"/>
      <c r="C480" s="6"/>
      <c r="D480" s="36"/>
      <c r="E480" s="36"/>
      <c r="F480" s="6"/>
      <c r="G480" s="37"/>
      <c r="H480" s="36"/>
      <c r="I480" s="36"/>
      <c r="J480" s="60"/>
      <c r="L480" s="61"/>
      <c r="M480" s="61"/>
      <c r="N480" s="61"/>
      <c r="O480" s="61"/>
      <c r="P480" s="61"/>
      <c r="Q480" s="61"/>
      <c r="R480" s="62"/>
      <c r="S480" s="62"/>
      <c r="T480" s="62"/>
    </row>
    <row r="481" spans="1:20" ht="15.75" customHeight="1" x14ac:dyDescent="0.3">
      <c r="A481" s="36"/>
      <c r="B481" s="36"/>
      <c r="C481" s="6"/>
      <c r="D481" s="36"/>
      <c r="E481" s="36"/>
      <c r="F481" s="6"/>
      <c r="G481" s="37"/>
      <c r="H481" s="36"/>
      <c r="I481" s="36"/>
      <c r="J481" s="60"/>
      <c r="L481" s="61"/>
      <c r="M481" s="61"/>
      <c r="N481" s="61"/>
      <c r="O481" s="61"/>
      <c r="P481" s="61"/>
      <c r="Q481" s="61"/>
      <c r="R481" s="62"/>
      <c r="S481" s="62"/>
      <c r="T481" s="62"/>
    </row>
    <row r="482" spans="1:20" ht="15.75" customHeight="1" x14ac:dyDescent="0.3">
      <c r="A482" s="36"/>
      <c r="B482" s="36"/>
      <c r="C482" s="6"/>
      <c r="D482" s="36"/>
      <c r="E482" s="36"/>
      <c r="F482" s="6"/>
      <c r="G482" s="37"/>
      <c r="H482" s="36"/>
      <c r="I482" s="36"/>
      <c r="J482" s="60"/>
      <c r="L482" s="61"/>
      <c r="M482" s="61"/>
      <c r="N482" s="61"/>
      <c r="O482" s="61"/>
      <c r="P482" s="61"/>
      <c r="Q482" s="61"/>
      <c r="R482" s="62"/>
      <c r="S482" s="62"/>
      <c r="T482" s="62"/>
    </row>
    <row r="483" spans="1:20" ht="15.75" customHeight="1" x14ac:dyDescent="0.3">
      <c r="A483" s="36"/>
      <c r="B483" s="36"/>
      <c r="C483" s="6"/>
      <c r="D483" s="36"/>
      <c r="E483" s="36"/>
      <c r="F483" s="6"/>
      <c r="G483" s="37"/>
      <c r="H483" s="36"/>
      <c r="I483" s="36"/>
      <c r="J483" s="60"/>
      <c r="L483" s="61"/>
      <c r="M483" s="61"/>
      <c r="N483" s="61"/>
      <c r="O483" s="61"/>
      <c r="P483" s="61"/>
      <c r="Q483" s="61"/>
      <c r="R483" s="62"/>
      <c r="S483" s="62"/>
      <c r="T483" s="62"/>
    </row>
    <row r="484" spans="1:20" ht="15.75" customHeight="1" x14ac:dyDescent="0.3">
      <c r="A484" s="36"/>
      <c r="B484" s="36"/>
      <c r="C484" s="6"/>
      <c r="D484" s="36"/>
      <c r="E484" s="36"/>
      <c r="F484" s="6"/>
      <c r="G484" s="37"/>
      <c r="H484" s="36"/>
      <c r="I484" s="36"/>
      <c r="J484" s="60"/>
      <c r="L484" s="61"/>
      <c r="M484" s="61"/>
      <c r="N484" s="61"/>
      <c r="O484" s="61"/>
      <c r="P484" s="61"/>
      <c r="Q484" s="61"/>
      <c r="R484" s="62"/>
      <c r="S484" s="62"/>
      <c r="T484" s="62"/>
    </row>
    <row r="485" spans="1:20" ht="15.75" customHeight="1" x14ac:dyDescent="0.3">
      <c r="A485" s="36"/>
      <c r="B485" s="36"/>
      <c r="C485" s="6"/>
      <c r="D485" s="36"/>
      <c r="E485" s="36"/>
      <c r="F485" s="6"/>
      <c r="G485" s="37"/>
      <c r="H485" s="36"/>
      <c r="I485" s="36"/>
      <c r="J485" s="60"/>
      <c r="L485" s="61"/>
      <c r="M485" s="61"/>
      <c r="N485" s="61"/>
      <c r="O485" s="61"/>
      <c r="P485" s="61"/>
      <c r="Q485" s="61"/>
      <c r="R485" s="62"/>
      <c r="S485" s="62"/>
      <c r="T485" s="62"/>
    </row>
    <row r="486" spans="1:20" ht="15.75" customHeight="1" x14ac:dyDescent="0.3">
      <c r="A486" s="36"/>
      <c r="B486" s="36"/>
      <c r="C486" s="6"/>
      <c r="D486" s="36"/>
      <c r="E486" s="36"/>
      <c r="F486" s="6"/>
      <c r="G486" s="37"/>
      <c r="H486" s="36"/>
      <c r="I486" s="36"/>
      <c r="J486" s="60"/>
      <c r="L486" s="61"/>
      <c r="M486" s="61"/>
      <c r="N486" s="61"/>
      <c r="O486" s="61"/>
      <c r="P486" s="61"/>
      <c r="Q486" s="61"/>
      <c r="R486" s="62"/>
      <c r="S486" s="62"/>
      <c r="T486" s="62"/>
    </row>
    <row r="487" spans="1:20" ht="15.75" customHeight="1" x14ac:dyDescent="0.3">
      <c r="A487" s="36"/>
      <c r="B487" s="36"/>
      <c r="C487" s="6"/>
      <c r="D487" s="36"/>
      <c r="E487" s="36"/>
      <c r="F487" s="6"/>
      <c r="G487" s="37"/>
      <c r="H487" s="36"/>
      <c r="I487" s="36"/>
      <c r="J487" s="60"/>
      <c r="L487" s="61"/>
      <c r="M487" s="61"/>
      <c r="N487" s="61"/>
      <c r="O487" s="61"/>
      <c r="P487" s="61"/>
      <c r="Q487" s="61"/>
      <c r="R487" s="62"/>
      <c r="S487" s="62"/>
      <c r="T487" s="62"/>
    </row>
    <row r="488" spans="1:20" ht="15.75" customHeight="1" x14ac:dyDescent="0.3">
      <c r="A488" s="36"/>
      <c r="B488" s="36"/>
      <c r="C488" s="6"/>
      <c r="D488" s="36"/>
      <c r="E488" s="36"/>
      <c r="F488" s="6"/>
      <c r="G488" s="37"/>
      <c r="H488" s="36"/>
      <c r="I488" s="36"/>
      <c r="J488" s="60"/>
      <c r="L488" s="61"/>
      <c r="M488" s="61"/>
      <c r="N488" s="61"/>
      <c r="O488" s="61"/>
      <c r="P488" s="61"/>
      <c r="Q488" s="61"/>
      <c r="R488" s="62"/>
      <c r="S488" s="62"/>
      <c r="T488" s="62"/>
    </row>
    <row r="489" spans="1:20" ht="15.75" customHeight="1" x14ac:dyDescent="0.3">
      <c r="A489" s="36"/>
      <c r="B489" s="36"/>
      <c r="C489" s="6"/>
      <c r="D489" s="36"/>
      <c r="E489" s="36"/>
      <c r="F489" s="6"/>
      <c r="G489" s="37"/>
      <c r="H489" s="36"/>
      <c r="I489" s="36"/>
      <c r="J489" s="60"/>
      <c r="L489" s="61"/>
      <c r="M489" s="61"/>
      <c r="N489" s="61"/>
      <c r="O489" s="61"/>
      <c r="P489" s="61"/>
      <c r="Q489" s="61"/>
      <c r="R489" s="62"/>
      <c r="S489" s="62"/>
      <c r="T489" s="62"/>
    </row>
    <row r="490" spans="1:20" ht="15.75" customHeight="1" x14ac:dyDescent="0.3">
      <c r="A490" s="36"/>
      <c r="B490" s="36"/>
      <c r="C490" s="6"/>
      <c r="D490" s="36"/>
      <c r="E490" s="36"/>
      <c r="F490" s="6"/>
      <c r="G490" s="37"/>
      <c r="H490" s="36"/>
      <c r="I490" s="36"/>
      <c r="J490" s="60"/>
      <c r="L490" s="61"/>
      <c r="M490" s="61"/>
      <c r="N490" s="61"/>
      <c r="O490" s="61"/>
      <c r="P490" s="61"/>
      <c r="Q490" s="61"/>
      <c r="R490" s="62"/>
      <c r="S490" s="62"/>
      <c r="T490" s="62"/>
    </row>
    <row r="491" spans="1:20" ht="15.75" customHeight="1" x14ac:dyDescent="0.3">
      <c r="A491" s="36"/>
      <c r="B491" s="36"/>
      <c r="C491" s="6"/>
      <c r="D491" s="36"/>
      <c r="E491" s="36"/>
      <c r="F491" s="6"/>
      <c r="G491" s="37"/>
      <c r="H491" s="36"/>
      <c r="I491" s="36"/>
      <c r="J491" s="60"/>
      <c r="L491" s="61"/>
      <c r="M491" s="61"/>
      <c r="N491" s="61"/>
      <c r="O491" s="61"/>
      <c r="P491" s="61"/>
      <c r="Q491" s="61"/>
      <c r="R491" s="62"/>
      <c r="S491" s="62"/>
      <c r="T491" s="62"/>
    </row>
    <row r="492" spans="1:20" ht="15.75" customHeight="1" x14ac:dyDescent="0.3">
      <c r="A492" s="36"/>
      <c r="B492" s="36"/>
      <c r="C492" s="6"/>
      <c r="D492" s="36"/>
      <c r="E492" s="36"/>
      <c r="F492" s="6"/>
      <c r="G492" s="37"/>
      <c r="H492" s="36"/>
      <c r="I492" s="36"/>
      <c r="J492" s="60"/>
      <c r="L492" s="61"/>
      <c r="M492" s="61"/>
      <c r="N492" s="61"/>
      <c r="O492" s="61"/>
      <c r="P492" s="61"/>
      <c r="Q492" s="61"/>
      <c r="R492" s="62"/>
      <c r="S492" s="62"/>
      <c r="T492" s="62"/>
    </row>
    <row r="493" spans="1:20" ht="15.75" customHeight="1" x14ac:dyDescent="0.3">
      <c r="A493" s="36"/>
      <c r="B493" s="36"/>
      <c r="C493" s="6"/>
      <c r="D493" s="36"/>
      <c r="E493" s="36"/>
      <c r="F493" s="6"/>
      <c r="G493" s="37"/>
      <c r="H493" s="36"/>
      <c r="I493" s="36"/>
      <c r="J493" s="60"/>
      <c r="L493" s="61"/>
      <c r="M493" s="61"/>
      <c r="N493" s="61"/>
      <c r="O493" s="61"/>
      <c r="P493" s="61"/>
      <c r="Q493" s="61"/>
      <c r="R493" s="62"/>
      <c r="S493" s="62"/>
      <c r="T493" s="62"/>
    </row>
    <row r="494" spans="1:20" ht="15.75" customHeight="1" x14ac:dyDescent="0.3">
      <c r="A494" s="36"/>
      <c r="B494" s="36"/>
      <c r="C494" s="6"/>
      <c r="D494" s="36"/>
      <c r="E494" s="36"/>
      <c r="F494" s="6"/>
      <c r="G494" s="37"/>
      <c r="H494" s="36"/>
      <c r="I494" s="36"/>
      <c r="J494" s="60"/>
      <c r="L494" s="61"/>
      <c r="M494" s="61"/>
      <c r="N494" s="61"/>
      <c r="O494" s="61"/>
      <c r="P494" s="61"/>
      <c r="Q494" s="61"/>
      <c r="R494" s="62"/>
      <c r="S494" s="62"/>
      <c r="T494" s="62"/>
    </row>
    <row r="495" spans="1:20" ht="15.75" customHeight="1" x14ac:dyDescent="0.3">
      <c r="A495" s="36"/>
      <c r="B495" s="36"/>
      <c r="C495" s="6"/>
      <c r="D495" s="36"/>
      <c r="E495" s="36"/>
      <c r="F495" s="6"/>
      <c r="G495" s="37"/>
      <c r="H495" s="36"/>
      <c r="I495" s="36"/>
      <c r="J495" s="60"/>
      <c r="L495" s="61"/>
      <c r="M495" s="61"/>
      <c r="N495" s="61"/>
      <c r="O495" s="61"/>
      <c r="P495" s="61"/>
      <c r="Q495" s="61"/>
      <c r="R495" s="62"/>
      <c r="S495" s="62"/>
      <c r="T495" s="62"/>
    </row>
    <row r="496" spans="1:20" ht="15.75" customHeight="1" x14ac:dyDescent="0.3">
      <c r="A496" s="36"/>
      <c r="B496" s="36"/>
      <c r="C496" s="6"/>
      <c r="D496" s="36"/>
      <c r="E496" s="36"/>
      <c r="F496" s="6"/>
      <c r="G496" s="37"/>
      <c r="H496" s="36"/>
      <c r="I496" s="36"/>
      <c r="J496" s="60"/>
      <c r="L496" s="61"/>
      <c r="M496" s="61"/>
      <c r="N496" s="61"/>
      <c r="O496" s="61"/>
      <c r="P496" s="61"/>
      <c r="Q496" s="61"/>
      <c r="R496" s="62"/>
      <c r="S496" s="62"/>
      <c r="T496" s="62"/>
    </row>
    <row r="497" spans="1:20" ht="15.75" customHeight="1" x14ac:dyDescent="0.3">
      <c r="A497" s="36"/>
      <c r="B497" s="36"/>
      <c r="C497" s="6"/>
      <c r="D497" s="36"/>
      <c r="E497" s="36"/>
      <c r="F497" s="6"/>
      <c r="G497" s="37"/>
      <c r="H497" s="36"/>
      <c r="I497" s="36"/>
      <c r="J497" s="60"/>
      <c r="L497" s="61"/>
      <c r="M497" s="61"/>
      <c r="N497" s="61"/>
      <c r="O497" s="61"/>
      <c r="P497" s="61"/>
      <c r="Q497" s="61"/>
      <c r="R497" s="62"/>
      <c r="S497" s="62"/>
      <c r="T497" s="62"/>
    </row>
    <row r="498" spans="1:20" ht="15.75" customHeight="1" x14ac:dyDescent="0.3">
      <c r="A498" s="36"/>
      <c r="B498" s="36"/>
      <c r="C498" s="6"/>
      <c r="D498" s="36"/>
      <c r="E498" s="36"/>
      <c r="F498" s="6"/>
      <c r="G498" s="37"/>
      <c r="H498" s="36"/>
      <c r="I498" s="36"/>
      <c r="J498" s="60"/>
      <c r="L498" s="61"/>
      <c r="M498" s="61"/>
      <c r="N498" s="61"/>
      <c r="O498" s="61"/>
      <c r="P498" s="61"/>
      <c r="Q498" s="61"/>
      <c r="R498" s="62"/>
      <c r="S498" s="62"/>
      <c r="T498" s="62"/>
    </row>
    <row r="499" spans="1:20" ht="15.75" customHeight="1" x14ac:dyDescent="0.3">
      <c r="A499" s="36"/>
      <c r="B499" s="36"/>
      <c r="C499" s="6"/>
      <c r="D499" s="36"/>
      <c r="E499" s="36"/>
      <c r="F499" s="6"/>
      <c r="G499" s="37"/>
      <c r="H499" s="36"/>
      <c r="I499" s="36"/>
      <c r="J499" s="60"/>
      <c r="L499" s="61"/>
      <c r="M499" s="61"/>
      <c r="N499" s="61"/>
      <c r="O499" s="61"/>
      <c r="P499" s="61"/>
      <c r="Q499" s="61"/>
      <c r="R499" s="62"/>
      <c r="S499" s="62"/>
      <c r="T499" s="62"/>
    </row>
    <row r="500" spans="1:20" ht="15.75" customHeight="1" x14ac:dyDescent="0.3">
      <c r="A500" s="36"/>
      <c r="B500" s="36"/>
      <c r="C500" s="6"/>
      <c r="D500" s="36"/>
      <c r="E500" s="36"/>
      <c r="F500" s="6"/>
      <c r="G500" s="37"/>
      <c r="H500" s="36"/>
      <c r="I500" s="36"/>
      <c r="J500" s="60"/>
      <c r="L500" s="61"/>
      <c r="M500" s="61"/>
      <c r="N500" s="61"/>
      <c r="O500" s="61"/>
      <c r="P500" s="61"/>
      <c r="Q500" s="61"/>
      <c r="R500" s="62"/>
      <c r="S500" s="62"/>
      <c r="T500" s="62"/>
    </row>
    <row r="501" spans="1:20" ht="15.75" customHeight="1" x14ac:dyDescent="0.3">
      <c r="A501" s="36"/>
      <c r="B501" s="36"/>
      <c r="C501" s="6"/>
      <c r="D501" s="36"/>
      <c r="E501" s="36"/>
      <c r="F501" s="6"/>
      <c r="G501" s="37"/>
      <c r="H501" s="36"/>
      <c r="I501" s="36"/>
      <c r="J501" s="60"/>
      <c r="L501" s="61"/>
      <c r="M501" s="61"/>
      <c r="N501" s="61"/>
      <c r="O501" s="61"/>
      <c r="P501" s="61"/>
      <c r="Q501" s="61"/>
      <c r="R501" s="62"/>
      <c r="S501" s="62"/>
      <c r="T501" s="62"/>
    </row>
    <row r="502" spans="1:20" ht="15.75" customHeight="1" x14ac:dyDescent="0.3">
      <c r="A502" s="36"/>
      <c r="B502" s="36"/>
      <c r="C502" s="6"/>
      <c r="D502" s="36"/>
      <c r="E502" s="36"/>
      <c r="F502" s="6"/>
      <c r="G502" s="37"/>
      <c r="H502" s="36"/>
      <c r="I502" s="36"/>
      <c r="J502" s="60"/>
      <c r="L502" s="61"/>
      <c r="M502" s="61"/>
      <c r="N502" s="61"/>
      <c r="O502" s="61"/>
      <c r="P502" s="61"/>
      <c r="Q502" s="61"/>
      <c r="R502" s="62"/>
      <c r="S502" s="62"/>
      <c r="T502" s="62"/>
    </row>
    <row r="503" spans="1:20" ht="15.75" customHeight="1" x14ac:dyDescent="0.3">
      <c r="A503" s="36"/>
      <c r="B503" s="36"/>
      <c r="C503" s="6"/>
      <c r="D503" s="36"/>
      <c r="E503" s="36"/>
      <c r="F503" s="6"/>
      <c r="G503" s="37"/>
      <c r="H503" s="36"/>
      <c r="I503" s="36"/>
      <c r="J503" s="60"/>
      <c r="L503" s="61"/>
      <c r="M503" s="61"/>
      <c r="N503" s="61"/>
      <c r="O503" s="61"/>
      <c r="P503" s="61"/>
      <c r="Q503" s="61"/>
      <c r="R503" s="62"/>
      <c r="S503" s="62"/>
      <c r="T503" s="62"/>
    </row>
    <row r="504" spans="1:20" ht="15.75" customHeight="1" x14ac:dyDescent="0.3">
      <c r="A504" s="36"/>
      <c r="B504" s="36"/>
      <c r="C504" s="6"/>
      <c r="D504" s="36"/>
      <c r="E504" s="36"/>
      <c r="F504" s="6"/>
      <c r="G504" s="37"/>
      <c r="H504" s="36"/>
      <c r="I504" s="36"/>
      <c r="J504" s="60"/>
      <c r="L504" s="61"/>
      <c r="M504" s="61"/>
      <c r="N504" s="61"/>
      <c r="O504" s="61"/>
      <c r="P504" s="61"/>
      <c r="Q504" s="61"/>
      <c r="R504" s="62"/>
      <c r="S504" s="62"/>
      <c r="T504" s="62"/>
    </row>
    <row r="505" spans="1:20" ht="15.75" customHeight="1" x14ac:dyDescent="0.3">
      <c r="A505" s="36"/>
      <c r="B505" s="36"/>
      <c r="C505" s="6"/>
      <c r="D505" s="36"/>
      <c r="E505" s="36"/>
      <c r="F505" s="6"/>
      <c r="G505" s="37"/>
      <c r="H505" s="36"/>
      <c r="I505" s="36"/>
      <c r="J505" s="60"/>
      <c r="L505" s="61"/>
      <c r="M505" s="61"/>
      <c r="N505" s="61"/>
      <c r="O505" s="61"/>
      <c r="P505" s="61"/>
      <c r="Q505" s="61"/>
      <c r="R505" s="62"/>
      <c r="S505" s="62"/>
      <c r="T505" s="62"/>
    </row>
    <row r="506" spans="1:20" ht="15.75" customHeight="1" x14ac:dyDescent="0.3">
      <c r="A506" s="36"/>
      <c r="B506" s="36"/>
      <c r="C506" s="6"/>
      <c r="D506" s="36"/>
      <c r="E506" s="36"/>
      <c r="F506" s="6"/>
      <c r="G506" s="37"/>
      <c r="H506" s="36"/>
      <c r="I506" s="36"/>
      <c r="J506" s="60"/>
      <c r="L506" s="61"/>
      <c r="M506" s="61"/>
      <c r="N506" s="61"/>
      <c r="O506" s="61"/>
      <c r="P506" s="61"/>
      <c r="Q506" s="61"/>
      <c r="R506" s="62"/>
      <c r="S506" s="62"/>
      <c r="T506" s="62"/>
    </row>
    <row r="507" spans="1:20" ht="15.75" customHeight="1" x14ac:dyDescent="0.3">
      <c r="A507" s="36"/>
      <c r="B507" s="36"/>
      <c r="C507" s="6"/>
      <c r="D507" s="36"/>
      <c r="E507" s="36"/>
      <c r="F507" s="6"/>
      <c r="G507" s="37"/>
      <c r="H507" s="36"/>
      <c r="I507" s="36"/>
      <c r="J507" s="60"/>
      <c r="L507" s="61"/>
      <c r="M507" s="61"/>
      <c r="N507" s="61"/>
      <c r="O507" s="61"/>
      <c r="P507" s="61"/>
      <c r="Q507" s="61"/>
      <c r="R507" s="62"/>
      <c r="S507" s="62"/>
      <c r="T507" s="62"/>
    </row>
    <row r="508" spans="1:20" ht="15.75" customHeight="1" x14ac:dyDescent="0.3">
      <c r="A508" s="36"/>
      <c r="B508" s="36"/>
      <c r="C508" s="6"/>
      <c r="D508" s="36"/>
      <c r="E508" s="36"/>
      <c r="F508" s="6"/>
      <c r="G508" s="37"/>
      <c r="H508" s="36"/>
      <c r="I508" s="36"/>
      <c r="J508" s="60"/>
      <c r="L508" s="61"/>
      <c r="M508" s="61"/>
      <c r="N508" s="61"/>
      <c r="O508" s="61"/>
      <c r="P508" s="61"/>
      <c r="Q508" s="61"/>
      <c r="R508" s="62"/>
      <c r="S508" s="62"/>
      <c r="T508" s="62"/>
    </row>
    <row r="509" spans="1:20" ht="15.75" customHeight="1" x14ac:dyDescent="0.3">
      <c r="A509" s="36"/>
      <c r="B509" s="36"/>
      <c r="C509" s="6"/>
      <c r="D509" s="36"/>
      <c r="E509" s="36"/>
      <c r="F509" s="6"/>
      <c r="G509" s="37"/>
      <c r="H509" s="36"/>
      <c r="I509" s="36"/>
      <c r="J509" s="60"/>
      <c r="L509" s="61"/>
      <c r="M509" s="61"/>
      <c r="N509" s="61"/>
      <c r="O509" s="61"/>
      <c r="P509" s="61"/>
      <c r="Q509" s="61"/>
      <c r="R509" s="62"/>
      <c r="S509" s="62"/>
      <c r="T509" s="62"/>
    </row>
    <row r="510" spans="1:20" ht="15.75" customHeight="1" x14ac:dyDescent="0.3">
      <c r="A510" s="36"/>
      <c r="B510" s="36"/>
      <c r="C510" s="6"/>
      <c r="D510" s="36"/>
      <c r="E510" s="36"/>
      <c r="F510" s="6"/>
      <c r="G510" s="37"/>
      <c r="H510" s="36"/>
      <c r="I510" s="36"/>
      <c r="J510" s="60"/>
      <c r="L510" s="61"/>
      <c r="M510" s="61"/>
      <c r="N510" s="61"/>
      <c r="O510" s="61"/>
      <c r="P510" s="61"/>
      <c r="Q510" s="61"/>
      <c r="R510" s="62"/>
      <c r="S510" s="62"/>
      <c r="T510" s="62"/>
    </row>
    <row r="511" spans="1:20" ht="15.75" customHeight="1" x14ac:dyDescent="0.3">
      <c r="A511" s="36"/>
      <c r="B511" s="36"/>
      <c r="C511" s="6"/>
      <c r="D511" s="36"/>
      <c r="E511" s="36"/>
      <c r="F511" s="6"/>
      <c r="G511" s="37"/>
      <c r="H511" s="36"/>
      <c r="I511" s="36"/>
      <c r="J511" s="60"/>
      <c r="L511" s="61"/>
      <c r="M511" s="61"/>
      <c r="N511" s="61"/>
      <c r="O511" s="61"/>
      <c r="P511" s="61"/>
      <c r="Q511" s="61"/>
      <c r="R511" s="62"/>
      <c r="S511" s="62"/>
      <c r="T511" s="62"/>
    </row>
    <row r="512" spans="1:20" ht="15.75" customHeight="1" x14ac:dyDescent="0.3">
      <c r="A512" s="36"/>
      <c r="B512" s="36"/>
      <c r="C512" s="6"/>
      <c r="D512" s="36"/>
      <c r="E512" s="36"/>
      <c r="F512" s="6"/>
      <c r="G512" s="37"/>
      <c r="H512" s="36"/>
      <c r="I512" s="36"/>
      <c r="J512" s="60"/>
      <c r="L512" s="61"/>
      <c r="M512" s="61"/>
      <c r="N512" s="61"/>
      <c r="O512" s="61"/>
      <c r="P512" s="61"/>
      <c r="Q512" s="61"/>
      <c r="R512" s="62"/>
      <c r="S512" s="62"/>
      <c r="T512" s="62"/>
    </row>
    <row r="513" spans="1:20" ht="15.75" customHeight="1" x14ac:dyDescent="0.3">
      <c r="A513" s="36"/>
      <c r="B513" s="36"/>
      <c r="C513" s="6"/>
      <c r="D513" s="36"/>
      <c r="E513" s="36"/>
      <c r="F513" s="6"/>
      <c r="G513" s="37"/>
      <c r="H513" s="36"/>
      <c r="I513" s="36"/>
      <c r="J513" s="60"/>
      <c r="L513" s="61"/>
      <c r="M513" s="61"/>
      <c r="N513" s="61"/>
      <c r="O513" s="61"/>
      <c r="P513" s="61"/>
      <c r="Q513" s="61"/>
      <c r="R513" s="62"/>
      <c r="S513" s="62"/>
      <c r="T513" s="62"/>
    </row>
    <row r="514" spans="1:20" ht="15.75" customHeight="1" x14ac:dyDescent="0.3">
      <c r="A514" s="36"/>
      <c r="B514" s="36"/>
      <c r="C514" s="6"/>
      <c r="D514" s="36"/>
      <c r="E514" s="36"/>
      <c r="F514" s="6"/>
      <c r="G514" s="37"/>
      <c r="H514" s="36"/>
      <c r="I514" s="36"/>
      <c r="J514" s="60"/>
      <c r="L514" s="61"/>
      <c r="M514" s="61"/>
      <c r="N514" s="61"/>
      <c r="O514" s="61"/>
      <c r="P514" s="61"/>
      <c r="Q514" s="61"/>
      <c r="R514" s="62"/>
      <c r="S514" s="62"/>
      <c r="T514" s="62"/>
    </row>
    <row r="515" spans="1:20" ht="15.75" customHeight="1" x14ac:dyDescent="0.3">
      <c r="A515" s="36"/>
      <c r="B515" s="36"/>
      <c r="C515" s="6"/>
      <c r="D515" s="36"/>
      <c r="E515" s="36"/>
      <c r="F515" s="6"/>
      <c r="G515" s="37"/>
      <c r="H515" s="36"/>
      <c r="I515" s="36"/>
      <c r="J515" s="60"/>
      <c r="L515" s="61"/>
      <c r="M515" s="61"/>
      <c r="N515" s="61"/>
      <c r="O515" s="61"/>
      <c r="P515" s="61"/>
      <c r="Q515" s="61"/>
      <c r="R515" s="62"/>
      <c r="S515" s="62"/>
      <c r="T515" s="62"/>
    </row>
    <row r="516" spans="1:20" ht="15.75" customHeight="1" x14ac:dyDescent="0.3">
      <c r="A516" s="36"/>
      <c r="B516" s="36"/>
      <c r="C516" s="6"/>
      <c r="D516" s="36"/>
      <c r="E516" s="36"/>
      <c r="F516" s="6"/>
      <c r="G516" s="37"/>
      <c r="H516" s="36"/>
      <c r="I516" s="36"/>
      <c r="J516" s="60"/>
      <c r="L516" s="61"/>
      <c r="M516" s="61"/>
      <c r="N516" s="61"/>
      <c r="O516" s="61"/>
      <c r="P516" s="61"/>
      <c r="Q516" s="61"/>
      <c r="R516" s="62"/>
      <c r="S516" s="62"/>
      <c r="T516" s="62"/>
    </row>
    <row r="517" spans="1:20" ht="15.75" customHeight="1" x14ac:dyDescent="0.3">
      <c r="A517" s="36"/>
      <c r="B517" s="36"/>
      <c r="C517" s="6"/>
      <c r="D517" s="36"/>
      <c r="E517" s="36"/>
      <c r="F517" s="6"/>
      <c r="G517" s="37"/>
      <c r="H517" s="36"/>
      <c r="I517" s="36"/>
      <c r="J517" s="60"/>
      <c r="L517" s="61"/>
      <c r="M517" s="61"/>
      <c r="N517" s="61"/>
      <c r="O517" s="61"/>
      <c r="P517" s="61"/>
      <c r="Q517" s="61"/>
      <c r="R517" s="62"/>
      <c r="S517" s="62"/>
      <c r="T517" s="62"/>
    </row>
    <row r="518" spans="1:20" ht="15.75" customHeight="1" x14ac:dyDescent="0.3">
      <c r="A518" s="36"/>
      <c r="B518" s="36"/>
      <c r="C518" s="6"/>
      <c r="D518" s="36"/>
      <c r="E518" s="36"/>
      <c r="F518" s="6"/>
      <c r="G518" s="37"/>
      <c r="H518" s="36"/>
      <c r="I518" s="36"/>
      <c r="J518" s="60"/>
      <c r="L518" s="61"/>
      <c r="M518" s="61"/>
      <c r="N518" s="61"/>
      <c r="O518" s="61"/>
      <c r="P518" s="61"/>
      <c r="Q518" s="61"/>
      <c r="R518" s="62"/>
      <c r="S518" s="62"/>
      <c r="T518" s="62"/>
    </row>
    <row r="519" spans="1:20" ht="15.75" customHeight="1" x14ac:dyDescent="0.3">
      <c r="A519" s="36"/>
      <c r="B519" s="36"/>
      <c r="C519" s="6"/>
      <c r="D519" s="36"/>
      <c r="E519" s="36"/>
      <c r="F519" s="6"/>
      <c r="G519" s="37"/>
      <c r="H519" s="36"/>
      <c r="I519" s="36"/>
      <c r="J519" s="60"/>
      <c r="L519" s="61"/>
      <c r="M519" s="61"/>
      <c r="N519" s="61"/>
      <c r="O519" s="61"/>
      <c r="P519" s="61"/>
      <c r="Q519" s="61"/>
      <c r="R519" s="62"/>
      <c r="S519" s="62"/>
      <c r="T519" s="62"/>
    </row>
    <row r="520" spans="1:20" ht="15.75" customHeight="1" x14ac:dyDescent="0.3">
      <c r="A520" s="36"/>
      <c r="B520" s="36"/>
      <c r="C520" s="6"/>
      <c r="D520" s="36"/>
      <c r="E520" s="36"/>
      <c r="F520" s="6"/>
      <c r="G520" s="37"/>
      <c r="H520" s="36"/>
      <c r="I520" s="36"/>
      <c r="J520" s="60"/>
      <c r="L520" s="61"/>
      <c r="M520" s="61"/>
      <c r="N520" s="61"/>
      <c r="O520" s="61"/>
      <c r="P520" s="61"/>
      <c r="Q520" s="61"/>
      <c r="R520" s="62"/>
      <c r="S520" s="62"/>
      <c r="T520" s="62"/>
    </row>
    <row r="521" spans="1:20" ht="15.75" customHeight="1" x14ac:dyDescent="0.3">
      <c r="A521" s="36"/>
      <c r="B521" s="36"/>
      <c r="C521" s="6"/>
      <c r="D521" s="36"/>
      <c r="E521" s="36"/>
      <c r="F521" s="6"/>
      <c r="G521" s="37"/>
      <c r="H521" s="36"/>
      <c r="I521" s="36"/>
      <c r="J521" s="60"/>
      <c r="L521" s="61"/>
      <c r="M521" s="61"/>
      <c r="N521" s="61"/>
      <c r="O521" s="61"/>
      <c r="P521" s="61"/>
      <c r="Q521" s="61"/>
      <c r="R521" s="62"/>
      <c r="S521" s="62"/>
      <c r="T521" s="62"/>
    </row>
    <row r="522" spans="1:20" ht="15.75" customHeight="1" x14ac:dyDescent="0.3">
      <c r="A522" s="36"/>
      <c r="B522" s="36"/>
      <c r="C522" s="6"/>
      <c r="D522" s="36"/>
      <c r="E522" s="36"/>
      <c r="F522" s="6"/>
      <c r="G522" s="37"/>
      <c r="H522" s="36"/>
      <c r="I522" s="36"/>
      <c r="J522" s="60"/>
      <c r="L522" s="61"/>
      <c r="M522" s="61"/>
      <c r="N522" s="61"/>
      <c r="O522" s="61"/>
      <c r="P522" s="61"/>
      <c r="Q522" s="61"/>
      <c r="R522" s="62"/>
      <c r="S522" s="62"/>
      <c r="T522" s="62"/>
    </row>
    <row r="523" spans="1:20" ht="15.75" customHeight="1" x14ac:dyDescent="0.3">
      <c r="A523" s="36"/>
      <c r="B523" s="36"/>
      <c r="C523" s="6"/>
      <c r="D523" s="36"/>
      <c r="E523" s="36"/>
      <c r="F523" s="6"/>
      <c r="G523" s="37"/>
      <c r="H523" s="36"/>
      <c r="I523" s="36"/>
      <c r="J523" s="60"/>
      <c r="L523" s="61"/>
      <c r="M523" s="61"/>
      <c r="N523" s="61"/>
      <c r="O523" s="61"/>
      <c r="P523" s="61"/>
      <c r="Q523" s="61"/>
      <c r="R523" s="62"/>
      <c r="S523" s="62"/>
      <c r="T523" s="62"/>
    </row>
    <row r="524" spans="1:20" ht="15.75" customHeight="1" x14ac:dyDescent="0.3">
      <c r="A524" s="36"/>
      <c r="B524" s="36"/>
      <c r="C524" s="6"/>
      <c r="D524" s="36"/>
      <c r="E524" s="36"/>
      <c r="F524" s="6"/>
      <c r="G524" s="37"/>
      <c r="H524" s="36"/>
      <c r="I524" s="36"/>
      <c r="J524" s="60"/>
      <c r="L524" s="61"/>
      <c r="M524" s="61"/>
      <c r="N524" s="61"/>
      <c r="O524" s="61"/>
      <c r="P524" s="61"/>
      <c r="Q524" s="61"/>
      <c r="R524" s="62"/>
      <c r="S524" s="62"/>
      <c r="T524" s="62"/>
    </row>
    <row r="525" spans="1:20" ht="15.75" customHeight="1" x14ac:dyDescent="0.3">
      <c r="A525" s="36"/>
      <c r="B525" s="36"/>
      <c r="C525" s="6"/>
      <c r="D525" s="36"/>
      <c r="E525" s="36"/>
      <c r="F525" s="6"/>
      <c r="G525" s="37"/>
      <c r="H525" s="36"/>
      <c r="I525" s="36"/>
      <c r="J525" s="60"/>
      <c r="L525" s="61"/>
      <c r="M525" s="61"/>
      <c r="N525" s="61"/>
      <c r="O525" s="61"/>
      <c r="P525" s="61"/>
      <c r="Q525" s="61"/>
      <c r="R525" s="62"/>
      <c r="S525" s="62"/>
      <c r="T525" s="62"/>
    </row>
    <row r="526" spans="1:20" ht="15.75" customHeight="1" x14ac:dyDescent="0.3">
      <c r="A526" s="36"/>
      <c r="B526" s="36"/>
      <c r="C526" s="6"/>
      <c r="D526" s="36"/>
      <c r="E526" s="36"/>
      <c r="F526" s="6"/>
      <c r="G526" s="37"/>
      <c r="H526" s="36"/>
      <c r="I526" s="36"/>
      <c r="J526" s="60"/>
      <c r="L526" s="61"/>
      <c r="M526" s="61"/>
      <c r="N526" s="61"/>
      <c r="O526" s="61"/>
      <c r="P526" s="61"/>
      <c r="Q526" s="61"/>
      <c r="R526" s="62"/>
      <c r="S526" s="62"/>
      <c r="T526" s="62"/>
    </row>
    <row r="527" spans="1:20" ht="15.75" customHeight="1" x14ac:dyDescent="0.3">
      <c r="A527" s="36"/>
      <c r="B527" s="36"/>
      <c r="C527" s="6"/>
      <c r="D527" s="36"/>
      <c r="E527" s="36"/>
      <c r="F527" s="6"/>
      <c r="G527" s="37"/>
      <c r="H527" s="36"/>
      <c r="I527" s="36"/>
      <c r="J527" s="60"/>
      <c r="L527" s="61"/>
      <c r="M527" s="61"/>
      <c r="N527" s="61"/>
      <c r="O527" s="61"/>
      <c r="P527" s="61"/>
      <c r="Q527" s="61"/>
      <c r="R527" s="62"/>
      <c r="S527" s="62"/>
      <c r="T527" s="62"/>
    </row>
    <row r="528" spans="1:20" ht="15.75" customHeight="1" x14ac:dyDescent="0.3">
      <c r="A528" s="36"/>
      <c r="B528" s="36"/>
      <c r="C528" s="6"/>
      <c r="D528" s="36"/>
      <c r="E528" s="36"/>
      <c r="F528" s="6"/>
      <c r="G528" s="37"/>
      <c r="H528" s="36"/>
      <c r="I528" s="36"/>
      <c r="J528" s="60"/>
      <c r="L528" s="61"/>
      <c r="M528" s="61"/>
      <c r="N528" s="61"/>
      <c r="O528" s="61"/>
      <c r="P528" s="61"/>
      <c r="Q528" s="61"/>
      <c r="R528" s="62"/>
      <c r="S528" s="62"/>
      <c r="T528" s="62"/>
    </row>
    <row r="529" spans="1:20" ht="15.75" customHeight="1" x14ac:dyDescent="0.3">
      <c r="A529" s="36"/>
      <c r="B529" s="36"/>
      <c r="C529" s="6"/>
      <c r="D529" s="36"/>
      <c r="E529" s="36"/>
      <c r="F529" s="6"/>
      <c r="G529" s="37"/>
      <c r="H529" s="36"/>
      <c r="I529" s="36"/>
      <c r="J529" s="60"/>
      <c r="L529" s="61"/>
      <c r="M529" s="61"/>
      <c r="N529" s="61"/>
      <c r="O529" s="61"/>
      <c r="P529" s="61"/>
      <c r="Q529" s="61"/>
      <c r="R529" s="62"/>
      <c r="S529" s="62"/>
      <c r="T529" s="62"/>
    </row>
    <row r="530" spans="1:20" ht="15.75" customHeight="1" x14ac:dyDescent="0.3">
      <c r="A530" s="36"/>
      <c r="B530" s="36"/>
      <c r="C530" s="6"/>
      <c r="D530" s="36"/>
      <c r="E530" s="36"/>
      <c r="F530" s="6"/>
      <c r="G530" s="37"/>
      <c r="H530" s="36"/>
      <c r="I530" s="36"/>
      <c r="J530" s="60"/>
      <c r="L530" s="61"/>
      <c r="M530" s="61"/>
      <c r="N530" s="61"/>
      <c r="O530" s="61"/>
      <c r="P530" s="61"/>
      <c r="Q530" s="61"/>
      <c r="R530" s="62"/>
      <c r="S530" s="62"/>
      <c r="T530" s="62"/>
    </row>
    <row r="531" spans="1:20" ht="15.75" customHeight="1" x14ac:dyDescent="0.3">
      <c r="A531" s="36"/>
      <c r="B531" s="36"/>
      <c r="C531" s="6"/>
      <c r="D531" s="36"/>
      <c r="E531" s="36"/>
      <c r="F531" s="6"/>
      <c r="G531" s="37"/>
      <c r="H531" s="36"/>
      <c r="I531" s="36"/>
      <c r="J531" s="60"/>
      <c r="L531" s="61"/>
      <c r="M531" s="61"/>
      <c r="N531" s="61"/>
      <c r="O531" s="61"/>
      <c r="P531" s="61"/>
      <c r="Q531" s="61"/>
      <c r="R531" s="62"/>
      <c r="S531" s="62"/>
      <c r="T531" s="62"/>
    </row>
    <row r="532" spans="1:20" ht="15.75" customHeight="1" x14ac:dyDescent="0.3">
      <c r="A532" s="36"/>
      <c r="B532" s="36"/>
      <c r="C532" s="6"/>
      <c r="D532" s="36"/>
      <c r="E532" s="36"/>
      <c r="F532" s="6"/>
      <c r="G532" s="37"/>
      <c r="H532" s="36"/>
      <c r="I532" s="36"/>
      <c r="J532" s="60"/>
      <c r="L532" s="61"/>
      <c r="M532" s="61"/>
      <c r="N532" s="61"/>
      <c r="O532" s="61"/>
      <c r="P532" s="61"/>
      <c r="Q532" s="61"/>
      <c r="R532" s="62"/>
      <c r="S532" s="62"/>
      <c r="T532" s="62"/>
    </row>
    <row r="533" spans="1:20" ht="15.75" customHeight="1" x14ac:dyDescent="0.3">
      <c r="A533" s="36"/>
      <c r="B533" s="36"/>
      <c r="C533" s="6"/>
      <c r="D533" s="36"/>
      <c r="E533" s="36"/>
      <c r="F533" s="6"/>
      <c r="G533" s="37"/>
      <c r="H533" s="36"/>
      <c r="I533" s="36"/>
      <c r="J533" s="60"/>
      <c r="L533" s="61"/>
      <c r="M533" s="61"/>
      <c r="N533" s="61"/>
      <c r="O533" s="61"/>
      <c r="P533" s="61"/>
      <c r="Q533" s="61"/>
      <c r="R533" s="62"/>
      <c r="S533" s="62"/>
      <c r="T533" s="62"/>
    </row>
    <row r="534" spans="1:20" ht="15.75" customHeight="1" x14ac:dyDescent="0.3">
      <c r="A534" s="36"/>
      <c r="B534" s="36"/>
      <c r="C534" s="6"/>
      <c r="D534" s="36"/>
      <c r="E534" s="36"/>
      <c r="F534" s="6"/>
      <c r="G534" s="37"/>
      <c r="H534" s="36"/>
      <c r="I534" s="36"/>
      <c r="J534" s="60"/>
      <c r="L534" s="61"/>
      <c r="M534" s="61"/>
      <c r="N534" s="61"/>
      <c r="O534" s="61"/>
      <c r="P534" s="61"/>
      <c r="Q534" s="61"/>
      <c r="R534" s="62"/>
      <c r="S534" s="62"/>
      <c r="T534" s="62"/>
    </row>
    <row r="535" spans="1:20" ht="15.75" customHeight="1" x14ac:dyDescent="0.3">
      <c r="A535" s="36"/>
      <c r="B535" s="36"/>
      <c r="C535" s="6"/>
      <c r="D535" s="36"/>
      <c r="E535" s="36"/>
      <c r="F535" s="6"/>
      <c r="G535" s="37"/>
      <c r="H535" s="36"/>
      <c r="I535" s="36"/>
      <c r="J535" s="60"/>
      <c r="L535" s="61"/>
      <c r="M535" s="61"/>
      <c r="N535" s="61"/>
      <c r="O535" s="61"/>
      <c r="P535" s="61"/>
      <c r="Q535" s="61"/>
      <c r="R535" s="62"/>
      <c r="S535" s="62"/>
      <c r="T535" s="62"/>
    </row>
    <row r="536" spans="1:20" ht="15.75" customHeight="1" x14ac:dyDescent="0.3">
      <c r="A536" s="36"/>
      <c r="B536" s="36"/>
      <c r="C536" s="6"/>
      <c r="D536" s="36"/>
      <c r="E536" s="36"/>
      <c r="F536" s="6"/>
      <c r="G536" s="37"/>
      <c r="H536" s="36"/>
      <c r="I536" s="36"/>
      <c r="J536" s="60"/>
      <c r="L536" s="61"/>
      <c r="M536" s="61"/>
      <c r="N536" s="61"/>
      <c r="O536" s="61"/>
      <c r="P536" s="61"/>
      <c r="Q536" s="61"/>
      <c r="R536" s="62"/>
      <c r="S536" s="62"/>
      <c r="T536" s="62"/>
    </row>
    <row r="537" spans="1:20" ht="15.75" customHeight="1" x14ac:dyDescent="0.3">
      <c r="A537" s="36"/>
      <c r="B537" s="36"/>
      <c r="C537" s="6"/>
      <c r="D537" s="36"/>
      <c r="E537" s="36"/>
      <c r="F537" s="6"/>
      <c r="G537" s="37"/>
      <c r="H537" s="36"/>
      <c r="I537" s="36"/>
      <c r="J537" s="60"/>
      <c r="L537" s="61"/>
      <c r="M537" s="61"/>
      <c r="N537" s="61"/>
      <c r="O537" s="61"/>
      <c r="P537" s="61"/>
      <c r="Q537" s="61"/>
      <c r="R537" s="62"/>
      <c r="S537" s="62"/>
      <c r="T537" s="62"/>
    </row>
    <row r="538" spans="1:20" ht="15.75" customHeight="1" x14ac:dyDescent="0.3">
      <c r="A538" s="36"/>
      <c r="B538" s="36"/>
      <c r="C538" s="6"/>
      <c r="D538" s="36"/>
      <c r="E538" s="36"/>
      <c r="F538" s="6"/>
      <c r="G538" s="37"/>
      <c r="H538" s="36"/>
      <c r="I538" s="36"/>
      <c r="J538" s="60"/>
      <c r="L538" s="61"/>
      <c r="M538" s="61"/>
      <c r="N538" s="61"/>
      <c r="O538" s="61"/>
      <c r="P538" s="61"/>
      <c r="Q538" s="61"/>
      <c r="R538" s="62"/>
      <c r="S538" s="62"/>
      <c r="T538" s="62"/>
    </row>
    <row r="539" spans="1:20" ht="15.75" customHeight="1" x14ac:dyDescent="0.3">
      <c r="A539" s="36"/>
      <c r="B539" s="36"/>
      <c r="C539" s="6"/>
      <c r="D539" s="36"/>
      <c r="E539" s="36"/>
      <c r="F539" s="6"/>
      <c r="G539" s="37"/>
      <c r="H539" s="36"/>
      <c r="I539" s="36"/>
      <c r="J539" s="60"/>
      <c r="L539" s="61"/>
      <c r="M539" s="61"/>
      <c r="N539" s="61"/>
      <c r="O539" s="61"/>
      <c r="P539" s="61"/>
      <c r="Q539" s="61"/>
      <c r="R539" s="62"/>
      <c r="S539" s="62"/>
      <c r="T539" s="62"/>
    </row>
    <row r="540" spans="1:20" ht="15.75" customHeight="1" x14ac:dyDescent="0.3">
      <c r="A540" s="36"/>
      <c r="B540" s="36"/>
      <c r="C540" s="6"/>
      <c r="D540" s="36"/>
      <c r="E540" s="36"/>
      <c r="F540" s="6"/>
      <c r="G540" s="37"/>
      <c r="H540" s="36"/>
      <c r="I540" s="36"/>
      <c r="J540" s="60"/>
      <c r="L540" s="61"/>
      <c r="M540" s="61"/>
      <c r="N540" s="61"/>
      <c r="O540" s="61"/>
      <c r="P540" s="61"/>
      <c r="Q540" s="61"/>
      <c r="R540" s="62"/>
      <c r="S540" s="62"/>
      <c r="T540" s="62"/>
    </row>
    <row r="541" spans="1:20" ht="15.75" customHeight="1" x14ac:dyDescent="0.3">
      <c r="A541" s="36"/>
      <c r="B541" s="36"/>
      <c r="C541" s="6"/>
      <c r="D541" s="36"/>
      <c r="E541" s="36"/>
      <c r="F541" s="6"/>
      <c r="G541" s="37"/>
      <c r="H541" s="36"/>
      <c r="I541" s="36"/>
      <c r="J541" s="60"/>
      <c r="L541" s="61"/>
      <c r="M541" s="61"/>
      <c r="N541" s="61"/>
      <c r="O541" s="61"/>
      <c r="P541" s="61"/>
      <c r="Q541" s="61"/>
      <c r="R541" s="62"/>
      <c r="S541" s="62"/>
      <c r="T541" s="62"/>
    </row>
    <row r="542" spans="1:20" ht="15.75" customHeight="1" x14ac:dyDescent="0.3">
      <c r="A542" s="36"/>
      <c r="B542" s="36"/>
      <c r="C542" s="6"/>
      <c r="D542" s="36"/>
      <c r="E542" s="36"/>
      <c r="F542" s="6"/>
      <c r="G542" s="37"/>
      <c r="H542" s="36"/>
      <c r="I542" s="36"/>
      <c r="J542" s="60"/>
      <c r="L542" s="61"/>
      <c r="M542" s="61"/>
      <c r="N542" s="61"/>
      <c r="O542" s="61"/>
      <c r="P542" s="61"/>
      <c r="Q542" s="61"/>
      <c r="R542" s="62"/>
      <c r="S542" s="62"/>
      <c r="T542" s="62"/>
    </row>
    <row r="543" spans="1:20" ht="15.75" customHeight="1" x14ac:dyDescent="0.3">
      <c r="A543" s="36"/>
      <c r="B543" s="36"/>
      <c r="C543" s="6"/>
      <c r="D543" s="36"/>
      <c r="E543" s="36"/>
      <c r="F543" s="6"/>
      <c r="G543" s="37"/>
      <c r="H543" s="36"/>
      <c r="I543" s="36"/>
      <c r="J543" s="60"/>
      <c r="L543" s="61"/>
      <c r="M543" s="61"/>
      <c r="N543" s="61"/>
      <c r="O543" s="61"/>
      <c r="P543" s="61"/>
      <c r="Q543" s="61"/>
      <c r="R543" s="62"/>
      <c r="S543" s="62"/>
      <c r="T543" s="62"/>
    </row>
    <row r="544" spans="1:20" ht="15.75" customHeight="1" x14ac:dyDescent="0.3">
      <c r="A544" s="36"/>
      <c r="B544" s="36"/>
      <c r="C544" s="6"/>
      <c r="D544" s="36"/>
      <c r="E544" s="36"/>
      <c r="F544" s="6"/>
      <c r="G544" s="37"/>
      <c r="H544" s="36"/>
      <c r="I544" s="36"/>
      <c r="J544" s="60"/>
      <c r="L544" s="61"/>
      <c r="M544" s="61"/>
      <c r="N544" s="61"/>
      <c r="O544" s="61"/>
      <c r="P544" s="61"/>
      <c r="Q544" s="61"/>
      <c r="R544" s="62"/>
      <c r="S544" s="62"/>
      <c r="T544" s="62"/>
    </row>
    <row r="545" spans="1:20" ht="15.75" customHeight="1" x14ac:dyDescent="0.3">
      <c r="A545" s="36"/>
      <c r="B545" s="36"/>
      <c r="C545" s="6"/>
      <c r="D545" s="36"/>
      <c r="E545" s="36"/>
      <c r="F545" s="6"/>
      <c r="G545" s="37"/>
      <c r="H545" s="36"/>
      <c r="I545" s="36"/>
      <c r="J545" s="60"/>
      <c r="L545" s="61"/>
      <c r="M545" s="61"/>
      <c r="N545" s="61"/>
      <c r="O545" s="61"/>
      <c r="P545" s="61"/>
      <c r="Q545" s="61"/>
      <c r="R545" s="62"/>
      <c r="S545" s="62"/>
      <c r="T545" s="62"/>
    </row>
    <row r="546" spans="1:20" ht="15.75" customHeight="1" x14ac:dyDescent="0.3">
      <c r="A546" s="36"/>
      <c r="B546" s="36"/>
      <c r="C546" s="6"/>
      <c r="D546" s="36"/>
      <c r="E546" s="36"/>
      <c r="F546" s="6"/>
      <c r="G546" s="37"/>
      <c r="H546" s="36"/>
      <c r="I546" s="36"/>
      <c r="J546" s="60"/>
      <c r="L546" s="61"/>
      <c r="M546" s="61"/>
      <c r="N546" s="61"/>
      <c r="O546" s="61"/>
      <c r="P546" s="61"/>
      <c r="Q546" s="61"/>
      <c r="R546" s="62"/>
      <c r="S546" s="62"/>
      <c r="T546" s="62"/>
    </row>
    <row r="547" spans="1:20" ht="15.75" customHeight="1" x14ac:dyDescent="0.3">
      <c r="A547" s="36"/>
      <c r="B547" s="36"/>
      <c r="C547" s="6"/>
      <c r="D547" s="36"/>
      <c r="E547" s="36"/>
      <c r="F547" s="6"/>
      <c r="G547" s="37"/>
      <c r="H547" s="36"/>
      <c r="I547" s="36"/>
      <c r="J547" s="60"/>
      <c r="L547" s="61"/>
      <c r="M547" s="61"/>
      <c r="N547" s="61"/>
      <c r="O547" s="61"/>
      <c r="P547" s="61"/>
      <c r="Q547" s="61"/>
      <c r="R547" s="62"/>
      <c r="S547" s="62"/>
      <c r="T547" s="62"/>
    </row>
    <row r="548" spans="1:20" ht="15.75" customHeight="1" x14ac:dyDescent="0.3">
      <c r="A548" s="36"/>
      <c r="B548" s="36"/>
      <c r="C548" s="6"/>
      <c r="D548" s="36"/>
      <c r="E548" s="36"/>
      <c r="F548" s="6"/>
      <c r="G548" s="37"/>
      <c r="H548" s="36"/>
      <c r="I548" s="36"/>
      <c r="J548" s="60"/>
      <c r="L548" s="61"/>
      <c r="M548" s="61"/>
      <c r="N548" s="61"/>
      <c r="O548" s="61"/>
      <c r="P548" s="61"/>
      <c r="Q548" s="61"/>
      <c r="R548" s="62"/>
      <c r="S548" s="62"/>
      <c r="T548" s="62"/>
    </row>
    <row r="549" spans="1:20" ht="15.75" customHeight="1" x14ac:dyDescent="0.3">
      <c r="A549" s="36"/>
      <c r="B549" s="36"/>
      <c r="C549" s="6"/>
      <c r="D549" s="36"/>
      <c r="E549" s="36"/>
      <c r="F549" s="6"/>
      <c r="G549" s="37"/>
      <c r="H549" s="36"/>
      <c r="I549" s="36"/>
      <c r="J549" s="60"/>
      <c r="L549" s="61"/>
      <c r="M549" s="61"/>
      <c r="N549" s="61"/>
      <c r="O549" s="61"/>
      <c r="P549" s="61"/>
      <c r="Q549" s="61"/>
      <c r="R549" s="62"/>
      <c r="S549" s="62"/>
      <c r="T549" s="62"/>
    </row>
    <row r="550" spans="1:20" ht="15.75" customHeight="1" x14ac:dyDescent="0.3">
      <c r="A550" s="36"/>
      <c r="B550" s="36"/>
      <c r="C550" s="6"/>
      <c r="D550" s="36"/>
      <c r="E550" s="36"/>
      <c r="F550" s="6"/>
      <c r="G550" s="37"/>
      <c r="H550" s="36"/>
      <c r="I550" s="36"/>
      <c r="J550" s="60"/>
      <c r="L550" s="61"/>
      <c r="M550" s="61"/>
      <c r="N550" s="61"/>
      <c r="O550" s="61"/>
      <c r="P550" s="61"/>
      <c r="Q550" s="61"/>
      <c r="R550" s="62"/>
      <c r="S550" s="62"/>
      <c r="T550" s="62"/>
    </row>
    <row r="551" spans="1:20" ht="15.75" customHeight="1" x14ac:dyDescent="0.3">
      <c r="A551" s="36"/>
      <c r="B551" s="36"/>
      <c r="C551" s="6"/>
      <c r="D551" s="36"/>
      <c r="E551" s="36"/>
      <c r="F551" s="6"/>
      <c r="G551" s="37"/>
      <c r="H551" s="36"/>
      <c r="I551" s="36"/>
      <c r="J551" s="60"/>
      <c r="L551" s="61"/>
      <c r="M551" s="61"/>
      <c r="N551" s="61"/>
      <c r="O551" s="61"/>
      <c r="P551" s="61"/>
      <c r="Q551" s="61"/>
      <c r="R551" s="62"/>
      <c r="S551" s="62"/>
      <c r="T551" s="62"/>
    </row>
    <row r="552" spans="1:20" ht="15.75" customHeight="1" x14ac:dyDescent="0.3">
      <c r="A552" s="36"/>
      <c r="B552" s="36"/>
      <c r="C552" s="6"/>
      <c r="D552" s="36"/>
      <c r="E552" s="36"/>
      <c r="F552" s="6"/>
      <c r="G552" s="37"/>
      <c r="H552" s="36"/>
      <c r="I552" s="36"/>
      <c r="J552" s="60"/>
      <c r="L552" s="61"/>
      <c r="M552" s="61"/>
      <c r="N552" s="61"/>
      <c r="O552" s="61"/>
      <c r="P552" s="61"/>
      <c r="Q552" s="61"/>
      <c r="R552" s="62"/>
      <c r="S552" s="62"/>
      <c r="T552" s="62"/>
    </row>
    <row r="553" spans="1:20" ht="15.75" customHeight="1" x14ac:dyDescent="0.3">
      <c r="A553" s="36"/>
      <c r="B553" s="36"/>
      <c r="C553" s="6"/>
      <c r="D553" s="36"/>
      <c r="E553" s="36"/>
      <c r="F553" s="6"/>
      <c r="G553" s="37"/>
      <c r="H553" s="36"/>
      <c r="I553" s="36"/>
      <c r="J553" s="60"/>
      <c r="L553" s="61"/>
      <c r="M553" s="61"/>
      <c r="N553" s="61"/>
      <c r="O553" s="61"/>
      <c r="P553" s="61"/>
      <c r="Q553" s="61"/>
      <c r="R553" s="62"/>
      <c r="S553" s="62"/>
      <c r="T553" s="62"/>
    </row>
    <row r="554" spans="1:20" ht="15.75" customHeight="1" x14ac:dyDescent="0.3">
      <c r="A554" s="36"/>
      <c r="B554" s="36"/>
      <c r="C554" s="6"/>
      <c r="D554" s="36"/>
      <c r="E554" s="36"/>
      <c r="F554" s="6"/>
      <c r="G554" s="37"/>
      <c r="H554" s="36"/>
      <c r="I554" s="36"/>
      <c r="J554" s="60"/>
      <c r="L554" s="61"/>
      <c r="M554" s="61"/>
      <c r="N554" s="61"/>
      <c r="O554" s="61"/>
      <c r="P554" s="61"/>
      <c r="Q554" s="61"/>
      <c r="R554" s="62"/>
      <c r="S554" s="62"/>
      <c r="T554" s="62"/>
    </row>
    <row r="555" spans="1:20" ht="15.75" customHeight="1" x14ac:dyDescent="0.3">
      <c r="A555" s="36"/>
      <c r="B555" s="36"/>
      <c r="C555" s="6"/>
      <c r="D555" s="36"/>
      <c r="E555" s="36"/>
      <c r="F555" s="6"/>
      <c r="G555" s="37"/>
      <c r="H555" s="36"/>
      <c r="I555" s="36"/>
      <c r="J555" s="60"/>
      <c r="L555" s="61"/>
      <c r="M555" s="61"/>
      <c r="N555" s="61"/>
      <c r="O555" s="61"/>
      <c r="P555" s="61"/>
      <c r="Q555" s="61"/>
      <c r="R555" s="62"/>
      <c r="S555" s="62"/>
      <c r="T555" s="62"/>
    </row>
    <row r="556" spans="1:20" ht="15.75" customHeight="1" x14ac:dyDescent="0.3">
      <c r="A556" s="36"/>
      <c r="B556" s="36"/>
      <c r="C556" s="6"/>
      <c r="D556" s="36"/>
      <c r="E556" s="36"/>
      <c r="F556" s="6"/>
      <c r="G556" s="37"/>
      <c r="H556" s="36"/>
      <c r="I556" s="36"/>
      <c r="J556" s="60"/>
      <c r="L556" s="61"/>
      <c r="M556" s="61"/>
      <c r="N556" s="61"/>
      <c r="O556" s="61"/>
      <c r="P556" s="61"/>
      <c r="Q556" s="61"/>
      <c r="R556" s="62"/>
      <c r="S556" s="62"/>
      <c r="T556" s="62"/>
    </row>
    <row r="557" spans="1:20" ht="15.75" customHeight="1" x14ac:dyDescent="0.3">
      <c r="A557" s="36"/>
      <c r="B557" s="36"/>
      <c r="C557" s="6"/>
      <c r="D557" s="36"/>
      <c r="E557" s="36"/>
      <c r="F557" s="6"/>
      <c r="G557" s="37"/>
      <c r="H557" s="36"/>
      <c r="I557" s="36"/>
      <c r="J557" s="60"/>
      <c r="L557" s="61"/>
      <c r="M557" s="61"/>
      <c r="N557" s="61"/>
      <c r="O557" s="61"/>
      <c r="P557" s="61"/>
      <c r="Q557" s="61"/>
      <c r="R557" s="62"/>
      <c r="S557" s="62"/>
      <c r="T557" s="62"/>
    </row>
    <row r="558" spans="1:20" ht="15.75" customHeight="1" x14ac:dyDescent="0.3">
      <c r="A558" s="36"/>
      <c r="B558" s="36"/>
      <c r="C558" s="6"/>
      <c r="D558" s="36"/>
      <c r="E558" s="36"/>
      <c r="F558" s="6"/>
      <c r="G558" s="37"/>
      <c r="H558" s="36"/>
      <c r="I558" s="36"/>
      <c r="J558" s="60"/>
      <c r="L558" s="61"/>
      <c r="M558" s="61"/>
      <c r="N558" s="61"/>
      <c r="O558" s="61"/>
      <c r="P558" s="61"/>
      <c r="Q558" s="61"/>
      <c r="R558" s="62"/>
      <c r="S558" s="62"/>
      <c r="T558" s="62"/>
    </row>
    <row r="559" spans="1:20" ht="15.75" customHeight="1" x14ac:dyDescent="0.3">
      <c r="A559" s="36"/>
      <c r="B559" s="36"/>
      <c r="C559" s="6"/>
      <c r="D559" s="36"/>
      <c r="E559" s="36"/>
      <c r="F559" s="6"/>
      <c r="G559" s="37"/>
      <c r="H559" s="36"/>
      <c r="I559" s="36"/>
      <c r="J559" s="60"/>
      <c r="L559" s="61"/>
      <c r="M559" s="61"/>
      <c r="N559" s="61"/>
      <c r="O559" s="61"/>
      <c r="P559" s="61"/>
      <c r="Q559" s="61"/>
      <c r="R559" s="62"/>
      <c r="S559" s="62"/>
      <c r="T559" s="62"/>
    </row>
    <row r="560" spans="1:20" ht="15.75" customHeight="1" x14ac:dyDescent="0.3">
      <c r="A560" s="36"/>
      <c r="B560" s="36"/>
      <c r="C560" s="6"/>
      <c r="D560" s="36"/>
      <c r="E560" s="36"/>
      <c r="F560" s="6"/>
      <c r="G560" s="37"/>
      <c r="H560" s="36"/>
      <c r="I560" s="36"/>
      <c r="J560" s="60"/>
      <c r="L560" s="61"/>
      <c r="M560" s="61"/>
      <c r="N560" s="61"/>
      <c r="O560" s="61"/>
      <c r="P560" s="61"/>
      <c r="Q560" s="61"/>
      <c r="R560" s="62"/>
      <c r="S560" s="62"/>
      <c r="T560" s="62"/>
    </row>
    <row r="561" spans="1:20" ht="15.75" customHeight="1" x14ac:dyDescent="0.3">
      <c r="A561" s="36"/>
      <c r="B561" s="36"/>
      <c r="C561" s="6"/>
      <c r="D561" s="36"/>
      <c r="E561" s="36"/>
      <c r="F561" s="6"/>
      <c r="G561" s="37"/>
      <c r="H561" s="36"/>
      <c r="I561" s="36"/>
      <c r="J561" s="60"/>
      <c r="L561" s="61"/>
      <c r="M561" s="61"/>
      <c r="N561" s="61"/>
      <c r="O561" s="61"/>
      <c r="P561" s="61"/>
      <c r="Q561" s="61"/>
      <c r="R561" s="62"/>
      <c r="S561" s="62"/>
      <c r="T561" s="62"/>
    </row>
    <row r="562" spans="1:20" ht="15.75" customHeight="1" x14ac:dyDescent="0.3">
      <c r="A562" s="36"/>
      <c r="B562" s="36"/>
      <c r="C562" s="6"/>
      <c r="D562" s="36"/>
      <c r="E562" s="36"/>
      <c r="F562" s="6"/>
      <c r="G562" s="37"/>
      <c r="H562" s="36"/>
      <c r="I562" s="36"/>
      <c r="J562" s="60"/>
      <c r="L562" s="61"/>
      <c r="M562" s="61"/>
      <c r="N562" s="61"/>
      <c r="O562" s="61"/>
      <c r="P562" s="61"/>
      <c r="Q562" s="61"/>
      <c r="R562" s="62"/>
      <c r="S562" s="62"/>
      <c r="T562" s="62"/>
    </row>
    <row r="563" spans="1:20" ht="15.75" customHeight="1" x14ac:dyDescent="0.3">
      <c r="A563" s="36"/>
      <c r="B563" s="36"/>
      <c r="C563" s="6"/>
      <c r="D563" s="36"/>
      <c r="E563" s="36"/>
      <c r="F563" s="6"/>
      <c r="G563" s="37"/>
      <c r="H563" s="36"/>
      <c r="I563" s="36"/>
      <c r="J563" s="60"/>
      <c r="L563" s="61"/>
      <c r="M563" s="61"/>
      <c r="N563" s="61"/>
      <c r="O563" s="61"/>
      <c r="P563" s="61"/>
      <c r="Q563" s="61"/>
      <c r="R563" s="62"/>
      <c r="S563" s="62"/>
      <c r="T563" s="62"/>
    </row>
    <row r="564" spans="1:20" ht="15.75" customHeight="1" x14ac:dyDescent="0.3">
      <c r="A564" s="36"/>
      <c r="B564" s="36"/>
      <c r="C564" s="6"/>
      <c r="D564" s="36"/>
      <c r="E564" s="36"/>
      <c r="F564" s="6"/>
      <c r="G564" s="37"/>
      <c r="H564" s="36"/>
      <c r="I564" s="36"/>
      <c r="J564" s="60"/>
      <c r="L564" s="61"/>
      <c r="M564" s="61"/>
      <c r="N564" s="61"/>
      <c r="O564" s="61"/>
      <c r="P564" s="61"/>
      <c r="Q564" s="61"/>
      <c r="R564" s="62"/>
      <c r="S564" s="62"/>
      <c r="T564" s="62"/>
    </row>
    <row r="565" spans="1:20" ht="15.75" customHeight="1" x14ac:dyDescent="0.3">
      <c r="A565" s="36"/>
      <c r="B565" s="36"/>
      <c r="C565" s="6"/>
      <c r="D565" s="36"/>
      <c r="E565" s="36"/>
      <c r="F565" s="6"/>
      <c r="G565" s="37"/>
      <c r="H565" s="36"/>
      <c r="I565" s="36"/>
      <c r="J565" s="60"/>
      <c r="L565" s="61"/>
      <c r="M565" s="61"/>
      <c r="N565" s="61"/>
      <c r="O565" s="61"/>
      <c r="P565" s="61"/>
      <c r="Q565" s="61"/>
      <c r="R565" s="62"/>
      <c r="S565" s="62"/>
      <c r="T565" s="62"/>
    </row>
    <row r="566" spans="1:20" ht="15.75" customHeight="1" x14ac:dyDescent="0.3">
      <c r="A566" s="36"/>
      <c r="B566" s="36"/>
      <c r="C566" s="6"/>
      <c r="D566" s="36"/>
      <c r="E566" s="36"/>
      <c r="F566" s="6"/>
      <c r="G566" s="37"/>
      <c r="H566" s="36"/>
      <c r="I566" s="36"/>
      <c r="J566" s="60"/>
      <c r="L566" s="61"/>
      <c r="M566" s="61"/>
      <c r="N566" s="61"/>
      <c r="O566" s="61"/>
      <c r="P566" s="61"/>
      <c r="Q566" s="61"/>
      <c r="R566" s="62"/>
      <c r="S566" s="62"/>
      <c r="T566" s="62"/>
    </row>
    <row r="567" spans="1:20" ht="15.75" customHeight="1" x14ac:dyDescent="0.3">
      <c r="A567" s="36"/>
      <c r="B567" s="36"/>
      <c r="C567" s="6"/>
      <c r="D567" s="36"/>
      <c r="E567" s="36"/>
      <c r="F567" s="6"/>
      <c r="G567" s="37"/>
      <c r="H567" s="36"/>
      <c r="I567" s="36"/>
      <c r="J567" s="60"/>
      <c r="L567" s="61"/>
      <c r="M567" s="61"/>
      <c r="N567" s="61"/>
      <c r="O567" s="61"/>
      <c r="P567" s="61"/>
      <c r="Q567" s="61"/>
      <c r="R567" s="62"/>
      <c r="S567" s="62"/>
      <c r="T567" s="62"/>
    </row>
    <row r="568" spans="1:20" ht="15.75" customHeight="1" x14ac:dyDescent="0.3">
      <c r="A568" s="36"/>
      <c r="B568" s="36"/>
      <c r="C568" s="6"/>
      <c r="D568" s="36"/>
      <c r="E568" s="36"/>
      <c r="F568" s="6"/>
      <c r="G568" s="37"/>
      <c r="H568" s="36"/>
      <c r="I568" s="36"/>
      <c r="J568" s="60"/>
      <c r="L568" s="61"/>
      <c r="M568" s="61"/>
      <c r="N568" s="61"/>
      <c r="O568" s="61"/>
      <c r="P568" s="61"/>
      <c r="Q568" s="61"/>
      <c r="R568" s="62"/>
      <c r="S568" s="62"/>
      <c r="T568" s="62"/>
    </row>
    <row r="569" spans="1:20" ht="15.75" customHeight="1" x14ac:dyDescent="0.3">
      <c r="A569" s="36"/>
      <c r="B569" s="36"/>
      <c r="C569" s="6"/>
      <c r="D569" s="36"/>
      <c r="E569" s="36"/>
      <c r="F569" s="6"/>
      <c r="G569" s="37"/>
      <c r="H569" s="36"/>
      <c r="I569" s="36"/>
      <c r="J569" s="60"/>
      <c r="L569" s="61"/>
      <c r="M569" s="61"/>
      <c r="N569" s="61"/>
      <c r="O569" s="61"/>
      <c r="P569" s="61"/>
      <c r="Q569" s="61"/>
      <c r="R569" s="62"/>
      <c r="S569" s="62"/>
      <c r="T569" s="62"/>
    </row>
    <row r="570" spans="1:20" ht="15.75" customHeight="1" x14ac:dyDescent="0.3">
      <c r="A570" s="36"/>
      <c r="B570" s="36"/>
      <c r="C570" s="6"/>
      <c r="D570" s="36"/>
      <c r="E570" s="36"/>
      <c r="F570" s="6"/>
      <c r="G570" s="37"/>
      <c r="H570" s="36"/>
      <c r="I570" s="36"/>
      <c r="J570" s="60"/>
      <c r="L570" s="61"/>
      <c r="M570" s="61"/>
      <c r="N570" s="61"/>
      <c r="O570" s="61"/>
      <c r="P570" s="61"/>
      <c r="Q570" s="61"/>
      <c r="R570" s="62"/>
      <c r="S570" s="62"/>
      <c r="T570" s="62"/>
    </row>
    <row r="571" spans="1:20" ht="15.75" customHeight="1" x14ac:dyDescent="0.3">
      <c r="A571" s="36"/>
      <c r="B571" s="36"/>
      <c r="C571" s="6"/>
      <c r="D571" s="36"/>
      <c r="E571" s="36"/>
      <c r="F571" s="6"/>
      <c r="G571" s="37"/>
      <c r="H571" s="36"/>
      <c r="I571" s="36"/>
      <c r="J571" s="60"/>
      <c r="L571" s="61"/>
      <c r="M571" s="61"/>
      <c r="N571" s="61"/>
      <c r="O571" s="61"/>
      <c r="P571" s="61"/>
      <c r="Q571" s="61"/>
      <c r="R571" s="62"/>
      <c r="S571" s="62"/>
      <c r="T571" s="62"/>
    </row>
    <row r="572" spans="1:20" ht="15.75" customHeight="1" x14ac:dyDescent="0.3">
      <c r="A572" s="36"/>
      <c r="B572" s="36"/>
      <c r="C572" s="6"/>
      <c r="D572" s="36"/>
      <c r="E572" s="36"/>
      <c r="F572" s="6"/>
      <c r="G572" s="37"/>
      <c r="H572" s="36"/>
      <c r="I572" s="36"/>
      <c r="J572" s="60"/>
      <c r="L572" s="61"/>
      <c r="M572" s="61"/>
      <c r="N572" s="61"/>
      <c r="O572" s="61"/>
      <c r="P572" s="61"/>
      <c r="Q572" s="61"/>
      <c r="R572" s="62"/>
      <c r="S572" s="62"/>
      <c r="T572" s="62"/>
    </row>
    <row r="573" spans="1:20" ht="15.75" customHeight="1" x14ac:dyDescent="0.3">
      <c r="A573" s="36"/>
      <c r="B573" s="36"/>
      <c r="C573" s="6"/>
      <c r="D573" s="36"/>
      <c r="E573" s="36"/>
      <c r="F573" s="6"/>
      <c r="G573" s="37"/>
      <c r="H573" s="36"/>
      <c r="I573" s="36"/>
      <c r="J573" s="60"/>
      <c r="L573" s="61"/>
      <c r="M573" s="61"/>
      <c r="N573" s="61"/>
      <c r="O573" s="61"/>
      <c r="P573" s="61"/>
      <c r="Q573" s="61"/>
      <c r="R573" s="62"/>
      <c r="S573" s="62"/>
      <c r="T573" s="62"/>
    </row>
    <row r="574" spans="1:20" ht="15.75" customHeight="1" x14ac:dyDescent="0.3">
      <c r="A574" s="36"/>
      <c r="B574" s="36"/>
      <c r="C574" s="6"/>
      <c r="D574" s="36"/>
      <c r="E574" s="36"/>
      <c r="F574" s="6"/>
      <c r="G574" s="37"/>
      <c r="H574" s="36"/>
      <c r="I574" s="36"/>
      <c r="J574" s="60"/>
      <c r="L574" s="61"/>
      <c r="M574" s="61"/>
      <c r="N574" s="61"/>
      <c r="O574" s="61"/>
      <c r="P574" s="61"/>
      <c r="Q574" s="61"/>
      <c r="R574" s="62"/>
      <c r="S574" s="62"/>
      <c r="T574" s="62"/>
    </row>
    <row r="575" spans="1:20" ht="15.75" customHeight="1" x14ac:dyDescent="0.3">
      <c r="A575" s="36"/>
      <c r="B575" s="36"/>
      <c r="C575" s="6"/>
      <c r="D575" s="36"/>
      <c r="E575" s="36"/>
      <c r="F575" s="6"/>
      <c r="G575" s="37"/>
      <c r="H575" s="36"/>
      <c r="I575" s="36"/>
      <c r="J575" s="60"/>
      <c r="L575" s="61"/>
      <c r="M575" s="61"/>
      <c r="N575" s="61"/>
      <c r="O575" s="61"/>
      <c r="P575" s="61"/>
      <c r="Q575" s="61"/>
      <c r="R575" s="62"/>
      <c r="S575" s="62"/>
      <c r="T575" s="62"/>
    </row>
    <row r="576" spans="1:20" ht="15.75" customHeight="1" x14ac:dyDescent="0.3">
      <c r="A576" s="36"/>
      <c r="B576" s="36"/>
      <c r="C576" s="6"/>
      <c r="D576" s="36"/>
      <c r="E576" s="36"/>
      <c r="F576" s="6"/>
      <c r="G576" s="37"/>
      <c r="H576" s="36"/>
      <c r="I576" s="36"/>
      <c r="J576" s="60"/>
      <c r="L576" s="61"/>
      <c r="M576" s="61"/>
      <c r="N576" s="61"/>
      <c r="O576" s="61"/>
      <c r="P576" s="61"/>
      <c r="Q576" s="61"/>
      <c r="R576" s="62"/>
      <c r="S576" s="62"/>
      <c r="T576" s="62"/>
    </row>
    <row r="577" spans="1:20" ht="15.75" customHeight="1" x14ac:dyDescent="0.3">
      <c r="A577" s="36"/>
      <c r="B577" s="36"/>
      <c r="C577" s="6"/>
      <c r="D577" s="36"/>
      <c r="E577" s="36"/>
      <c r="F577" s="6"/>
      <c r="G577" s="37"/>
      <c r="H577" s="36"/>
      <c r="I577" s="36"/>
      <c r="J577" s="60"/>
      <c r="L577" s="61"/>
      <c r="M577" s="61"/>
      <c r="N577" s="61"/>
      <c r="O577" s="61"/>
      <c r="P577" s="61"/>
      <c r="Q577" s="61"/>
      <c r="R577" s="62"/>
      <c r="S577" s="62"/>
      <c r="T577" s="62"/>
    </row>
    <row r="578" spans="1:20" ht="15.75" customHeight="1" x14ac:dyDescent="0.3">
      <c r="A578" s="36"/>
      <c r="B578" s="36"/>
      <c r="C578" s="6"/>
      <c r="D578" s="36"/>
      <c r="E578" s="36"/>
      <c r="F578" s="6"/>
      <c r="G578" s="37"/>
      <c r="H578" s="36"/>
      <c r="I578" s="36"/>
      <c r="J578" s="60"/>
      <c r="L578" s="61"/>
      <c r="M578" s="61"/>
      <c r="N578" s="61"/>
      <c r="O578" s="61"/>
      <c r="P578" s="61"/>
      <c r="Q578" s="61"/>
      <c r="R578" s="62"/>
      <c r="S578" s="62"/>
      <c r="T578" s="62"/>
    </row>
    <row r="579" spans="1:20" ht="15.75" customHeight="1" x14ac:dyDescent="0.3">
      <c r="A579" s="36"/>
      <c r="B579" s="36"/>
      <c r="C579" s="6"/>
      <c r="D579" s="36"/>
      <c r="E579" s="36"/>
      <c r="F579" s="6"/>
      <c r="G579" s="37"/>
      <c r="H579" s="36"/>
      <c r="I579" s="36"/>
      <c r="J579" s="60"/>
      <c r="L579" s="61"/>
      <c r="M579" s="61"/>
      <c r="N579" s="61"/>
      <c r="O579" s="61"/>
      <c r="P579" s="61"/>
      <c r="Q579" s="61"/>
      <c r="R579" s="62"/>
      <c r="S579" s="62"/>
      <c r="T579" s="62"/>
    </row>
    <row r="580" spans="1:20" ht="15.75" customHeight="1" x14ac:dyDescent="0.3">
      <c r="A580" s="36"/>
      <c r="B580" s="36"/>
      <c r="C580" s="6"/>
      <c r="D580" s="36"/>
      <c r="E580" s="36"/>
      <c r="F580" s="6"/>
      <c r="G580" s="37"/>
      <c r="H580" s="36"/>
      <c r="I580" s="36"/>
      <c r="J580" s="60"/>
      <c r="L580" s="61"/>
      <c r="M580" s="61"/>
      <c r="N580" s="61"/>
      <c r="O580" s="61"/>
      <c r="P580" s="61"/>
      <c r="Q580" s="61"/>
      <c r="R580" s="62"/>
      <c r="S580" s="62"/>
      <c r="T580" s="62"/>
    </row>
    <row r="581" spans="1:20" ht="15.75" customHeight="1" x14ac:dyDescent="0.3">
      <c r="A581" s="36"/>
      <c r="B581" s="36"/>
      <c r="C581" s="6"/>
      <c r="D581" s="36"/>
      <c r="E581" s="36"/>
      <c r="F581" s="6"/>
      <c r="G581" s="37"/>
      <c r="H581" s="36"/>
      <c r="I581" s="36"/>
      <c r="J581" s="60"/>
      <c r="L581" s="61"/>
      <c r="M581" s="61"/>
      <c r="N581" s="61"/>
      <c r="O581" s="61"/>
      <c r="P581" s="61"/>
      <c r="Q581" s="61"/>
      <c r="R581" s="62"/>
      <c r="S581" s="62"/>
      <c r="T581" s="62"/>
    </row>
    <row r="582" spans="1:20" ht="15.75" customHeight="1" x14ac:dyDescent="0.3">
      <c r="A582" s="36"/>
      <c r="B582" s="36"/>
      <c r="C582" s="6"/>
      <c r="D582" s="36"/>
      <c r="E582" s="36"/>
      <c r="F582" s="6"/>
      <c r="G582" s="37"/>
      <c r="H582" s="36"/>
      <c r="I582" s="36"/>
      <c r="J582" s="60"/>
      <c r="L582" s="61"/>
      <c r="M582" s="61"/>
      <c r="N582" s="61"/>
      <c r="O582" s="61"/>
      <c r="P582" s="61"/>
      <c r="Q582" s="61"/>
      <c r="R582" s="62"/>
      <c r="S582" s="62"/>
      <c r="T582" s="62"/>
    </row>
    <row r="583" spans="1:20" ht="15.75" customHeight="1" x14ac:dyDescent="0.3">
      <c r="A583" s="36"/>
      <c r="B583" s="36"/>
      <c r="C583" s="6"/>
      <c r="D583" s="36"/>
      <c r="E583" s="36"/>
      <c r="F583" s="6"/>
      <c r="G583" s="37"/>
      <c r="H583" s="36"/>
      <c r="I583" s="36"/>
      <c r="J583" s="60"/>
      <c r="L583" s="61"/>
      <c r="M583" s="61"/>
      <c r="N583" s="61"/>
      <c r="O583" s="61"/>
      <c r="P583" s="61"/>
      <c r="Q583" s="61"/>
      <c r="R583" s="62"/>
      <c r="S583" s="62"/>
      <c r="T583" s="62"/>
    </row>
    <row r="584" spans="1:20" ht="15.75" customHeight="1" x14ac:dyDescent="0.3">
      <c r="A584" s="36"/>
      <c r="B584" s="36"/>
      <c r="C584" s="6"/>
      <c r="D584" s="36"/>
      <c r="E584" s="36"/>
      <c r="F584" s="6"/>
      <c r="G584" s="37"/>
      <c r="H584" s="36"/>
      <c r="I584" s="36"/>
      <c r="J584" s="60"/>
      <c r="L584" s="61"/>
      <c r="M584" s="61"/>
      <c r="N584" s="61"/>
      <c r="O584" s="61"/>
      <c r="P584" s="61"/>
      <c r="Q584" s="61"/>
      <c r="R584" s="62"/>
      <c r="S584" s="62"/>
      <c r="T584" s="62"/>
    </row>
    <row r="585" spans="1:20" ht="15.75" customHeight="1" x14ac:dyDescent="0.3">
      <c r="A585" s="36"/>
      <c r="B585" s="36"/>
      <c r="C585" s="6"/>
      <c r="D585" s="36"/>
      <c r="E585" s="36"/>
      <c r="F585" s="6"/>
      <c r="G585" s="37"/>
      <c r="H585" s="36"/>
      <c r="I585" s="36"/>
      <c r="J585" s="60"/>
      <c r="L585" s="61"/>
      <c r="M585" s="61"/>
      <c r="N585" s="61"/>
      <c r="O585" s="61"/>
      <c r="P585" s="61"/>
      <c r="Q585" s="61"/>
      <c r="R585" s="62"/>
      <c r="S585" s="62"/>
      <c r="T585" s="62"/>
    </row>
    <row r="586" spans="1:20" ht="15.75" customHeight="1" x14ac:dyDescent="0.3">
      <c r="A586" s="36"/>
      <c r="B586" s="36"/>
      <c r="C586" s="6"/>
      <c r="D586" s="36"/>
      <c r="E586" s="36"/>
      <c r="F586" s="6"/>
      <c r="G586" s="37"/>
      <c r="H586" s="36"/>
      <c r="I586" s="36"/>
      <c r="J586" s="60"/>
      <c r="L586" s="61"/>
      <c r="M586" s="61"/>
      <c r="N586" s="61"/>
      <c r="O586" s="61"/>
      <c r="P586" s="61"/>
      <c r="Q586" s="61"/>
      <c r="R586" s="62"/>
      <c r="S586" s="62"/>
      <c r="T586" s="62"/>
    </row>
    <row r="587" spans="1:20" ht="15.75" customHeight="1" x14ac:dyDescent="0.3">
      <c r="A587" s="36"/>
      <c r="B587" s="36"/>
      <c r="C587" s="6"/>
      <c r="D587" s="36"/>
      <c r="E587" s="36"/>
      <c r="F587" s="6"/>
      <c r="G587" s="37"/>
      <c r="H587" s="36"/>
      <c r="I587" s="36"/>
      <c r="J587" s="60"/>
      <c r="L587" s="61"/>
      <c r="M587" s="61"/>
      <c r="N587" s="61"/>
      <c r="O587" s="61"/>
      <c r="P587" s="61"/>
      <c r="Q587" s="61"/>
      <c r="R587" s="62"/>
      <c r="S587" s="62"/>
      <c r="T587" s="62"/>
    </row>
    <row r="588" spans="1:20" ht="15.75" customHeight="1" x14ac:dyDescent="0.3">
      <c r="A588" s="36"/>
      <c r="B588" s="36"/>
      <c r="C588" s="6"/>
      <c r="D588" s="36"/>
      <c r="E588" s="36"/>
      <c r="F588" s="6"/>
      <c r="G588" s="37"/>
      <c r="H588" s="36"/>
      <c r="I588" s="36"/>
      <c r="J588" s="60"/>
      <c r="L588" s="61"/>
      <c r="M588" s="61"/>
      <c r="N588" s="61"/>
      <c r="O588" s="61"/>
      <c r="P588" s="61"/>
      <c r="Q588" s="61"/>
      <c r="R588" s="62"/>
      <c r="S588" s="62"/>
      <c r="T588" s="62"/>
    </row>
    <row r="589" spans="1:20" ht="15.75" customHeight="1" x14ac:dyDescent="0.3">
      <c r="A589" s="36"/>
      <c r="B589" s="36"/>
      <c r="C589" s="6"/>
      <c r="D589" s="36"/>
      <c r="E589" s="36"/>
      <c r="F589" s="6"/>
      <c r="G589" s="37"/>
      <c r="H589" s="36"/>
      <c r="I589" s="36"/>
      <c r="J589" s="60"/>
      <c r="L589" s="61"/>
      <c r="M589" s="61"/>
      <c r="N589" s="61"/>
      <c r="O589" s="61"/>
      <c r="P589" s="61"/>
      <c r="Q589" s="61"/>
      <c r="R589" s="62"/>
      <c r="S589" s="62"/>
      <c r="T589" s="62"/>
    </row>
    <row r="590" spans="1:20" ht="15.75" customHeight="1" x14ac:dyDescent="0.3">
      <c r="A590" s="36"/>
      <c r="B590" s="36"/>
      <c r="C590" s="6"/>
      <c r="D590" s="36"/>
      <c r="E590" s="36"/>
      <c r="F590" s="6"/>
      <c r="G590" s="37"/>
      <c r="H590" s="36"/>
      <c r="I590" s="36"/>
      <c r="J590" s="60"/>
      <c r="L590" s="61"/>
      <c r="M590" s="61"/>
      <c r="N590" s="61"/>
      <c r="O590" s="61"/>
      <c r="P590" s="61"/>
      <c r="Q590" s="61"/>
      <c r="R590" s="62"/>
      <c r="S590" s="62"/>
      <c r="T590" s="62"/>
    </row>
    <row r="591" spans="1:20" ht="15.75" customHeight="1" x14ac:dyDescent="0.3">
      <c r="A591" s="36"/>
      <c r="B591" s="36"/>
      <c r="C591" s="6"/>
      <c r="D591" s="36"/>
      <c r="E591" s="36"/>
      <c r="F591" s="6"/>
      <c r="G591" s="37"/>
      <c r="H591" s="36"/>
      <c r="I591" s="36"/>
      <c r="J591" s="60"/>
      <c r="L591" s="61"/>
      <c r="M591" s="61"/>
      <c r="N591" s="61"/>
      <c r="O591" s="61"/>
      <c r="P591" s="61"/>
      <c r="Q591" s="61"/>
      <c r="R591" s="62"/>
      <c r="S591" s="62"/>
      <c r="T591" s="62"/>
    </row>
    <row r="592" spans="1:20" ht="15.75" customHeight="1" x14ac:dyDescent="0.3">
      <c r="A592" s="36"/>
      <c r="B592" s="36"/>
      <c r="C592" s="6"/>
      <c r="D592" s="36"/>
      <c r="E592" s="36"/>
      <c r="F592" s="6"/>
      <c r="G592" s="37"/>
      <c r="H592" s="36"/>
      <c r="I592" s="36"/>
      <c r="J592" s="60"/>
      <c r="L592" s="61"/>
      <c r="M592" s="61"/>
      <c r="N592" s="61"/>
      <c r="O592" s="61"/>
      <c r="P592" s="61"/>
      <c r="Q592" s="61"/>
      <c r="R592" s="62"/>
      <c r="S592" s="62"/>
      <c r="T592" s="62"/>
    </row>
    <row r="593" spans="1:20" ht="15.75" customHeight="1" x14ac:dyDescent="0.3">
      <c r="A593" s="36"/>
      <c r="B593" s="36"/>
      <c r="C593" s="6"/>
      <c r="D593" s="36"/>
      <c r="E593" s="36"/>
      <c r="F593" s="6"/>
      <c r="G593" s="37"/>
      <c r="H593" s="36"/>
      <c r="I593" s="36"/>
      <c r="J593" s="60"/>
      <c r="L593" s="61"/>
      <c r="M593" s="61"/>
      <c r="N593" s="61"/>
      <c r="O593" s="61"/>
      <c r="P593" s="61"/>
      <c r="Q593" s="61"/>
      <c r="R593" s="62"/>
      <c r="S593" s="62"/>
      <c r="T593" s="62"/>
    </row>
    <row r="594" spans="1:20" ht="15.75" customHeight="1" x14ac:dyDescent="0.3">
      <c r="A594" s="36"/>
      <c r="B594" s="36"/>
      <c r="C594" s="6"/>
      <c r="D594" s="36"/>
      <c r="E594" s="36"/>
      <c r="F594" s="6"/>
      <c r="G594" s="37"/>
      <c r="H594" s="36"/>
      <c r="I594" s="36"/>
      <c r="J594" s="60"/>
      <c r="L594" s="61"/>
      <c r="M594" s="61"/>
      <c r="N594" s="61"/>
      <c r="O594" s="61"/>
      <c r="P594" s="61"/>
      <c r="Q594" s="61"/>
      <c r="R594" s="62"/>
      <c r="S594" s="62"/>
      <c r="T594" s="62"/>
    </row>
    <row r="595" spans="1:20" ht="15.75" customHeight="1" x14ac:dyDescent="0.3">
      <c r="A595" s="36"/>
      <c r="B595" s="36"/>
      <c r="C595" s="6"/>
      <c r="D595" s="36"/>
      <c r="E595" s="36"/>
      <c r="F595" s="6"/>
      <c r="G595" s="37"/>
      <c r="H595" s="36"/>
      <c r="I595" s="36"/>
      <c r="J595" s="60"/>
      <c r="L595" s="61"/>
      <c r="M595" s="61"/>
      <c r="N595" s="61"/>
      <c r="O595" s="61"/>
      <c r="P595" s="61"/>
      <c r="Q595" s="61"/>
      <c r="R595" s="62"/>
      <c r="S595" s="62"/>
      <c r="T595" s="62"/>
    </row>
    <row r="596" spans="1:20" ht="15.75" customHeight="1" x14ac:dyDescent="0.3">
      <c r="A596" s="36"/>
      <c r="B596" s="36"/>
      <c r="C596" s="6"/>
      <c r="D596" s="36"/>
      <c r="E596" s="36"/>
      <c r="F596" s="6"/>
      <c r="G596" s="37"/>
      <c r="H596" s="36"/>
      <c r="I596" s="36"/>
      <c r="J596" s="60"/>
      <c r="L596" s="61"/>
      <c r="M596" s="61"/>
      <c r="N596" s="61"/>
      <c r="O596" s="61"/>
      <c r="P596" s="61"/>
      <c r="Q596" s="61"/>
      <c r="R596" s="62"/>
      <c r="S596" s="62"/>
      <c r="T596" s="62"/>
    </row>
    <row r="597" spans="1:20" ht="15.75" customHeight="1" x14ac:dyDescent="0.3">
      <c r="A597" s="36"/>
      <c r="B597" s="36"/>
      <c r="C597" s="6"/>
      <c r="D597" s="36"/>
      <c r="E597" s="36"/>
      <c r="F597" s="6"/>
      <c r="G597" s="37"/>
      <c r="H597" s="36"/>
      <c r="I597" s="36"/>
      <c r="J597" s="60"/>
      <c r="L597" s="61"/>
      <c r="M597" s="61"/>
      <c r="N597" s="61"/>
      <c r="O597" s="61"/>
      <c r="P597" s="61"/>
      <c r="Q597" s="61"/>
      <c r="R597" s="62"/>
      <c r="S597" s="62"/>
      <c r="T597" s="62"/>
    </row>
    <row r="598" spans="1:20" ht="15.75" customHeight="1" x14ac:dyDescent="0.3">
      <c r="A598" s="36"/>
      <c r="B598" s="36"/>
      <c r="C598" s="6"/>
      <c r="D598" s="36"/>
      <c r="E598" s="36"/>
      <c r="F598" s="6"/>
      <c r="G598" s="37"/>
      <c r="H598" s="36"/>
      <c r="I598" s="36"/>
      <c r="J598" s="60"/>
      <c r="L598" s="61"/>
      <c r="M598" s="61"/>
      <c r="N598" s="61"/>
      <c r="O598" s="61"/>
      <c r="P598" s="61"/>
      <c r="Q598" s="61"/>
      <c r="R598" s="62"/>
      <c r="S598" s="62"/>
      <c r="T598" s="62"/>
    </row>
    <row r="599" spans="1:20" ht="15.75" customHeight="1" x14ac:dyDescent="0.3">
      <c r="A599" s="36"/>
      <c r="B599" s="36"/>
      <c r="C599" s="6"/>
      <c r="D599" s="36"/>
      <c r="E599" s="36"/>
      <c r="F599" s="6"/>
      <c r="G599" s="37"/>
      <c r="H599" s="36"/>
      <c r="I599" s="36"/>
      <c r="J599" s="60"/>
      <c r="L599" s="61"/>
      <c r="M599" s="61"/>
      <c r="N599" s="61"/>
      <c r="O599" s="61"/>
      <c r="P599" s="61"/>
      <c r="Q599" s="61"/>
      <c r="R599" s="62"/>
      <c r="S599" s="62"/>
      <c r="T599" s="62"/>
    </row>
    <row r="600" spans="1:20" ht="15.75" customHeight="1" x14ac:dyDescent="0.3">
      <c r="A600" s="36"/>
      <c r="B600" s="36"/>
      <c r="C600" s="6"/>
      <c r="D600" s="36"/>
      <c r="E600" s="36"/>
      <c r="F600" s="6"/>
      <c r="G600" s="37"/>
      <c r="H600" s="36"/>
      <c r="I600" s="36"/>
      <c r="J600" s="60"/>
      <c r="L600" s="61"/>
      <c r="M600" s="61"/>
      <c r="N600" s="61"/>
      <c r="O600" s="61"/>
      <c r="P600" s="61"/>
      <c r="Q600" s="61"/>
      <c r="R600" s="62"/>
      <c r="S600" s="62"/>
      <c r="T600" s="62"/>
    </row>
    <row r="601" spans="1:20" ht="15.75" customHeight="1" x14ac:dyDescent="0.3">
      <c r="A601" s="36"/>
      <c r="B601" s="36"/>
      <c r="C601" s="6"/>
      <c r="D601" s="36"/>
      <c r="E601" s="36"/>
      <c r="F601" s="6"/>
      <c r="G601" s="37"/>
      <c r="H601" s="36"/>
      <c r="I601" s="36"/>
      <c r="J601" s="60"/>
      <c r="L601" s="61"/>
      <c r="M601" s="61"/>
      <c r="N601" s="61"/>
      <c r="O601" s="61"/>
      <c r="P601" s="61"/>
      <c r="Q601" s="61"/>
      <c r="R601" s="62"/>
      <c r="S601" s="62"/>
      <c r="T601" s="62"/>
    </row>
    <row r="602" spans="1:20" ht="15.75" customHeight="1" x14ac:dyDescent="0.3">
      <c r="A602" s="36"/>
      <c r="B602" s="36"/>
      <c r="C602" s="6"/>
      <c r="D602" s="36"/>
      <c r="E602" s="36"/>
      <c r="F602" s="6"/>
      <c r="G602" s="37"/>
      <c r="H602" s="36"/>
      <c r="I602" s="36"/>
      <c r="J602" s="60"/>
      <c r="L602" s="61"/>
      <c r="M602" s="61"/>
      <c r="N602" s="61"/>
      <c r="O602" s="61"/>
      <c r="P602" s="61"/>
      <c r="Q602" s="61"/>
      <c r="R602" s="62"/>
      <c r="S602" s="62"/>
      <c r="T602" s="62"/>
    </row>
    <row r="603" spans="1:20" ht="15.75" customHeight="1" x14ac:dyDescent="0.3">
      <c r="A603" s="36"/>
      <c r="B603" s="36"/>
      <c r="C603" s="6"/>
      <c r="D603" s="36"/>
      <c r="E603" s="36"/>
      <c r="F603" s="6"/>
      <c r="G603" s="37"/>
      <c r="H603" s="36"/>
      <c r="I603" s="36"/>
      <c r="J603" s="60"/>
      <c r="L603" s="61"/>
      <c r="M603" s="61"/>
      <c r="N603" s="61"/>
      <c r="O603" s="61"/>
      <c r="P603" s="61"/>
      <c r="Q603" s="61"/>
      <c r="R603" s="62"/>
      <c r="S603" s="62"/>
      <c r="T603" s="62"/>
    </row>
    <row r="604" spans="1:20" ht="15.75" customHeight="1" x14ac:dyDescent="0.3">
      <c r="A604" s="36"/>
      <c r="B604" s="36"/>
      <c r="C604" s="6"/>
      <c r="D604" s="36"/>
      <c r="E604" s="36"/>
      <c r="F604" s="6"/>
      <c r="G604" s="37"/>
      <c r="H604" s="36"/>
      <c r="I604" s="36"/>
      <c r="J604" s="60"/>
      <c r="L604" s="61"/>
      <c r="M604" s="61"/>
      <c r="N604" s="61"/>
      <c r="O604" s="61"/>
      <c r="P604" s="61"/>
      <c r="Q604" s="61"/>
      <c r="R604" s="62"/>
      <c r="S604" s="62"/>
      <c r="T604" s="62"/>
    </row>
    <row r="605" spans="1:20" ht="15.75" customHeight="1" x14ac:dyDescent="0.3">
      <c r="A605" s="36"/>
      <c r="B605" s="36"/>
      <c r="C605" s="6"/>
      <c r="D605" s="36"/>
      <c r="E605" s="36"/>
      <c r="F605" s="6"/>
      <c r="G605" s="37"/>
      <c r="H605" s="36"/>
      <c r="I605" s="36"/>
      <c r="J605" s="60"/>
      <c r="L605" s="61"/>
      <c r="M605" s="61"/>
      <c r="N605" s="61"/>
      <c r="O605" s="61"/>
      <c r="P605" s="61"/>
      <c r="Q605" s="61"/>
      <c r="R605" s="62"/>
      <c r="S605" s="62"/>
      <c r="T605" s="62"/>
    </row>
    <row r="606" spans="1:20" ht="15.75" customHeight="1" x14ac:dyDescent="0.3">
      <c r="A606" s="36"/>
      <c r="B606" s="36"/>
      <c r="C606" s="6"/>
      <c r="D606" s="36"/>
      <c r="E606" s="36"/>
      <c r="F606" s="6"/>
      <c r="G606" s="37"/>
      <c r="H606" s="36"/>
      <c r="I606" s="36"/>
      <c r="J606" s="60"/>
      <c r="L606" s="61"/>
      <c r="M606" s="61"/>
      <c r="N606" s="61"/>
      <c r="O606" s="61"/>
      <c r="P606" s="61"/>
      <c r="Q606" s="61"/>
      <c r="R606" s="62"/>
      <c r="S606" s="62"/>
      <c r="T606" s="62"/>
    </row>
    <row r="607" spans="1:20" ht="15.75" customHeight="1" x14ac:dyDescent="0.3">
      <c r="A607" s="36"/>
      <c r="B607" s="36"/>
      <c r="C607" s="6"/>
      <c r="D607" s="36"/>
      <c r="E607" s="36"/>
      <c r="F607" s="6"/>
      <c r="G607" s="37"/>
      <c r="H607" s="36"/>
      <c r="I607" s="36"/>
      <c r="J607" s="60"/>
      <c r="L607" s="61"/>
      <c r="M607" s="61"/>
      <c r="N607" s="61"/>
      <c r="O607" s="61"/>
      <c r="P607" s="61"/>
      <c r="Q607" s="61"/>
      <c r="R607" s="62"/>
      <c r="S607" s="62"/>
      <c r="T607" s="62"/>
    </row>
    <row r="608" spans="1:20" ht="15.75" customHeight="1" x14ac:dyDescent="0.3">
      <c r="A608" s="36"/>
      <c r="B608" s="36"/>
      <c r="C608" s="6"/>
      <c r="D608" s="36"/>
      <c r="E608" s="36"/>
      <c r="F608" s="6"/>
      <c r="G608" s="37"/>
      <c r="H608" s="36"/>
      <c r="I608" s="36"/>
      <c r="J608" s="60"/>
      <c r="L608" s="61"/>
      <c r="M608" s="61"/>
      <c r="N608" s="61"/>
      <c r="O608" s="61"/>
      <c r="P608" s="61"/>
      <c r="Q608" s="61"/>
      <c r="R608" s="62"/>
      <c r="S608" s="62"/>
      <c r="T608" s="62"/>
    </row>
    <row r="609" spans="1:20" ht="15.75" customHeight="1" x14ac:dyDescent="0.3">
      <c r="A609" s="36"/>
      <c r="B609" s="36"/>
      <c r="C609" s="6"/>
      <c r="D609" s="36"/>
      <c r="E609" s="36"/>
      <c r="F609" s="6"/>
      <c r="G609" s="37"/>
      <c r="H609" s="36"/>
      <c r="I609" s="36"/>
      <c r="J609" s="60"/>
      <c r="L609" s="61"/>
      <c r="M609" s="61"/>
      <c r="N609" s="61"/>
      <c r="O609" s="61"/>
      <c r="P609" s="61"/>
      <c r="Q609" s="61"/>
      <c r="R609" s="62"/>
      <c r="S609" s="62"/>
      <c r="T609" s="62"/>
    </row>
    <row r="610" spans="1:20" ht="15.75" customHeight="1" x14ac:dyDescent="0.3">
      <c r="A610" s="36"/>
      <c r="B610" s="36"/>
      <c r="C610" s="6"/>
      <c r="D610" s="36"/>
      <c r="E610" s="36"/>
      <c r="F610" s="6"/>
      <c r="G610" s="37"/>
      <c r="H610" s="36"/>
      <c r="I610" s="36"/>
      <c r="J610" s="60"/>
      <c r="L610" s="61"/>
      <c r="M610" s="61"/>
      <c r="N610" s="61"/>
      <c r="O610" s="61"/>
      <c r="P610" s="61"/>
      <c r="Q610" s="61"/>
      <c r="R610" s="62"/>
      <c r="S610" s="62"/>
      <c r="T610" s="62"/>
    </row>
    <row r="611" spans="1:20" ht="15.75" customHeight="1" x14ac:dyDescent="0.3">
      <c r="A611" s="36"/>
      <c r="B611" s="36"/>
      <c r="C611" s="6"/>
      <c r="D611" s="36"/>
      <c r="E611" s="36"/>
      <c r="F611" s="6"/>
      <c r="G611" s="37"/>
      <c r="H611" s="36"/>
      <c r="I611" s="36"/>
      <c r="J611" s="60"/>
      <c r="L611" s="61"/>
      <c r="M611" s="61"/>
      <c r="N611" s="61"/>
      <c r="O611" s="61"/>
      <c r="P611" s="61"/>
      <c r="Q611" s="61"/>
      <c r="R611" s="62"/>
      <c r="S611" s="62"/>
      <c r="T611" s="62"/>
    </row>
    <row r="612" spans="1:20" ht="15.75" customHeight="1" x14ac:dyDescent="0.3">
      <c r="A612" s="36"/>
      <c r="B612" s="36"/>
      <c r="C612" s="6"/>
      <c r="D612" s="36"/>
      <c r="E612" s="36"/>
      <c r="F612" s="6"/>
      <c r="G612" s="37"/>
      <c r="H612" s="36"/>
      <c r="I612" s="36"/>
      <c r="J612" s="60"/>
      <c r="L612" s="61"/>
      <c r="M612" s="61"/>
      <c r="N612" s="61"/>
      <c r="O612" s="61"/>
      <c r="P612" s="61"/>
      <c r="Q612" s="61"/>
      <c r="R612" s="62"/>
      <c r="S612" s="62"/>
      <c r="T612" s="62"/>
    </row>
    <row r="613" spans="1:20" ht="15.75" customHeight="1" x14ac:dyDescent="0.3">
      <c r="A613" s="36"/>
      <c r="B613" s="36"/>
      <c r="C613" s="6"/>
      <c r="D613" s="36"/>
      <c r="E613" s="36"/>
      <c r="F613" s="6"/>
      <c r="G613" s="37"/>
      <c r="H613" s="36"/>
      <c r="I613" s="36"/>
      <c r="J613" s="60"/>
      <c r="L613" s="61"/>
      <c r="M613" s="61"/>
      <c r="N613" s="61"/>
      <c r="O613" s="61"/>
      <c r="P613" s="61"/>
      <c r="Q613" s="61"/>
      <c r="R613" s="62"/>
      <c r="S613" s="62"/>
      <c r="T613" s="62"/>
    </row>
    <row r="614" spans="1:20" ht="15.75" customHeight="1" x14ac:dyDescent="0.3">
      <c r="A614" s="36"/>
      <c r="B614" s="36"/>
      <c r="C614" s="6"/>
      <c r="D614" s="36"/>
      <c r="E614" s="36"/>
      <c r="F614" s="6"/>
      <c r="G614" s="37"/>
      <c r="H614" s="36"/>
      <c r="I614" s="36"/>
      <c r="J614" s="60"/>
      <c r="L614" s="61"/>
      <c r="M614" s="61"/>
      <c r="N614" s="61"/>
      <c r="O614" s="61"/>
      <c r="P614" s="61"/>
      <c r="Q614" s="61"/>
      <c r="R614" s="62"/>
      <c r="S614" s="62"/>
      <c r="T614" s="62"/>
    </row>
    <row r="615" spans="1:20" ht="15.75" customHeight="1" x14ac:dyDescent="0.3">
      <c r="A615" s="36"/>
      <c r="B615" s="36"/>
      <c r="C615" s="6"/>
      <c r="D615" s="36"/>
      <c r="E615" s="36"/>
      <c r="F615" s="6"/>
      <c r="G615" s="37"/>
      <c r="H615" s="36"/>
      <c r="I615" s="36"/>
      <c r="J615" s="60"/>
      <c r="L615" s="61"/>
      <c r="M615" s="61"/>
      <c r="N615" s="61"/>
      <c r="O615" s="61"/>
      <c r="P615" s="61"/>
      <c r="Q615" s="61"/>
      <c r="R615" s="62"/>
      <c r="S615" s="62"/>
      <c r="T615" s="62"/>
    </row>
    <row r="616" spans="1:20" ht="15.75" customHeight="1" x14ac:dyDescent="0.3">
      <c r="A616" s="36"/>
      <c r="B616" s="36"/>
      <c r="C616" s="6"/>
      <c r="D616" s="36"/>
      <c r="E616" s="36"/>
      <c r="F616" s="6"/>
      <c r="G616" s="37"/>
      <c r="H616" s="36"/>
      <c r="I616" s="36"/>
      <c r="J616" s="60"/>
      <c r="L616" s="61"/>
      <c r="M616" s="61"/>
      <c r="N616" s="61"/>
      <c r="O616" s="61"/>
      <c r="P616" s="61"/>
      <c r="Q616" s="61"/>
      <c r="R616" s="62"/>
      <c r="S616" s="62"/>
      <c r="T616" s="62"/>
    </row>
    <row r="617" spans="1:20" ht="15.75" customHeight="1" x14ac:dyDescent="0.3">
      <c r="A617" s="36"/>
      <c r="B617" s="36"/>
      <c r="C617" s="6"/>
      <c r="D617" s="36"/>
      <c r="E617" s="36"/>
      <c r="F617" s="6"/>
      <c r="G617" s="37"/>
      <c r="H617" s="36"/>
      <c r="I617" s="36"/>
      <c r="J617" s="60"/>
      <c r="L617" s="61"/>
      <c r="M617" s="61"/>
      <c r="N617" s="61"/>
      <c r="O617" s="61"/>
      <c r="P617" s="61"/>
      <c r="Q617" s="61"/>
      <c r="R617" s="62"/>
      <c r="S617" s="62"/>
      <c r="T617" s="62"/>
    </row>
    <row r="618" spans="1:20" ht="15.75" customHeight="1" x14ac:dyDescent="0.3">
      <c r="A618" s="36"/>
      <c r="B618" s="36"/>
      <c r="C618" s="6"/>
      <c r="D618" s="36"/>
      <c r="E618" s="36"/>
      <c r="F618" s="6"/>
      <c r="G618" s="37"/>
      <c r="H618" s="36"/>
      <c r="I618" s="36"/>
      <c r="J618" s="60"/>
      <c r="L618" s="61"/>
      <c r="M618" s="61"/>
      <c r="N618" s="61"/>
      <c r="O618" s="61"/>
      <c r="P618" s="61"/>
      <c r="Q618" s="61"/>
      <c r="R618" s="62"/>
      <c r="S618" s="62"/>
      <c r="T618" s="62"/>
    </row>
    <row r="619" spans="1:20" ht="15.75" customHeight="1" x14ac:dyDescent="0.3">
      <c r="A619" s="36"/>
      <c r="B619" s="36"/>
      <c r="C619" s="6"/>
      <c r="D619" s="36"/>
      <c r="E619" s="36"/>
      <c r="F619" s="6"/>
      <c r="G619" s="37"/>
      <c r="H619" s="36"/>
      <c r="I619" s="36"/>
      <c r="J619" s="60"/>
      <c r="L619" s="61"/>
      <c r="M619" s="61"/>
      <c r="N619" s="61"/>
      <c r="O619" s="61"/>
      <c r="P619" s="61"/>
      <c r="Q619" s="61"/>
      <c r="R619" s="62"/>
      <c r="S619" s="62"/>
      <c r="T619" s="62"/>
    </row>
    <row r="620" spans="1:20" ht="15.75" customHeight="1" x14ac:dyDescent="0.3">
      <c r="A620" s="36"/>
      <c r="B620" s="36"/>
      <c r="C620" s="6"/>
      <c r="D620" s="36"/>
      <c r="E620" s="36"/>
      <c r="F620" s="6"/>
      <c r="G620" s="37"/>
      <c r="H620" s="36"/>
      <c r="I620" s="36"/>
      <c r="J620" s="60"/>
      <c r="L620" s="61"/>
      <c r="M620" s="61"/>
      <c r="N620" s="61"/>
      <c r="O620" s="61"/>
      <c r="P620" s="61"/>
      <c r="Q620" s="61"/>
      <c r="R620" s="62"/>
      <c r="S620" s="62"/>
      <c r="T620" s="62"/>
    </row>
    <row r="621" spans="1:20" ht="15.75" customHeight="1" x14ac:dyDescent="0.3">
      <c r="A621" s="36"/>
      <c r="B621" s="36"/>
      <c r="C621" s="6"/>
      <c r="D621" s="36"/>
      <c r="E621" s="36"/>
      <c r="F621" s="6"/>
      <c r="G621" s="37"/>
      <c r="H621" s="36"/>
      <c r="I621" s="36"/>
      <c r="J621" s="60"/>
      <c r="L621" s="61"/>
      <c r="M621" s="61"/>
      <c r="N621" s="61"/>
      <c r="O621" s="61"/>
      <c r="P621" s="61"/>
      <c r="Q621" s="61"/>
      <c r="R621" s="62"/>
      <c r="S621" s="62"/>
      <c r="T621" s="62"/>
    </row>
    <row r="622" spans="1:20" ht="15.75" customHeight="1" x14ac:dyDescent="0.3">
      <c r="A622" s="36"/>
      <c r="B622" s="36"/>
      <c r="C622" s="6"/>
      <c r="D622" s="36"/>
      <c r="E622" s="36"/>
      <c r="F622" s="6"/>
      <c r="G622" s="37"/>
      <c r="H622" s="36"/>
      <c r="I622" s="36"/>
      <c r="J622" s="60"/>
      <c r="L622" s="61"/>
      <c r="M622" s="61"/>
      <c r="N622" s="61"/>
      <c r="O622" s="61"/>
      <c r="P622" s="61"/>
      <c r="Q622" s="61"/>
      <c r="R622" s="62"/>
      <c r="S622" s="62"/>
      <c r="T622" s="62"/>
    </row>
    <row r="623" spans="1:20" ht="15.75" customHeight="1" x14ac:dyDescent="0.3">
      <c r="A623" s="36"/>
      <c r="B623" s="36"/>
      <c r="C623" s="6"/>
      <c r="D623" s="36"/>
      <c r="E623" s="36"/>
      <c r="F623" s="6"/>
      <c r="G623" s="37"/>
      <c r="H623" s="36"/>
      <c r="I623" s="36"/>
      <c r="J623" s="60"/>
      <c r="L623" s="61"/>
      <c r="M623" s="61"/>
      <c r="N623" s="61"/>
      <c r="O623" s="61"/>
      <c r="P623" s="61"/>
      <c r="Q623" s="61"/>
      <c r="R623" s="62"/>
      <c r="S623" s="62"/>
      <c r="T623" s="62"/>
    </row>
    <row r="624" spans="1:20" ht="15.75" customHeight="1" x14ac:dyDescent="0.3">
      <c r="A624" s="36"/>
      <c r="B624" s="36"/>
      <c r="C624" s="6"/>
      <c r="D624" s="36"/>
      <c r="E624" s="36"/>
      <c r="F624" s="6"/>
      <c r="G624" s="37"/>
      <c r="H624" s="36"/>
      <c r="I624" s="36"/>
      <c r="J624" s="60"/>
      <c r="L624" s="61"/>
      <c r="M624" s="61"/>
      <c r="N624" s="61"/>
      <c r="O624" s="61"/>
      <c r="P624" s="61"/>
      <c r="Q624" s="61"/>
      <c r="R624" s="62"/>
      <c r="S624" s="62"/>
      <c r="T624" s="62"/>
    </row>
    <row r="625" spans="1:20" ht="15.75" customHeight="1" x14ac:dyDescent="0.3">
      <c r="A625" s="36"/>
      <c r="B625" s="36"/>
      <c r="C625" s="6"/>
      <c r="D625" s="36"/>
      <c r="E625" s="36"/>
      <c r="F625" s="6"/>
      <c r="G625" s="37"/>
      <c r="H625" s="36"/>
      <c r="I625" s="36"/>
      <c r="J625" s="60"/>
      <c r="L625" s="61"/>
      <c r="M625" s="61"/>
      <c r="N625" s="61"/>
      <c r="O625" s="61"/>
      <c r="P625" s="61"/>
      <c r="Q625" s="61"/>
      <c r="R625" s="62"/>
      <c r="S625" s="62"/>
      <c r="T625" s="62"/>
    </row>
    <row r="626" spans="1:20" ht="15.75" customHeight="1" x14ac:dyDescent="0.3">
      <c r="A626" s="36"/>
      <c r="B626" s="36"/>
      <c r="C626" s="6"/>
      <c r="D626" s="36"/>
      <c r="E626" s="36"/>
      <c r="F626" s="6"/>
      <c r="G626" s="37"/>
      <c r="H626" s="36"/>
      <c r="I626" s="36"/>
      <c r="J626" s="60"/>
      <c r="L626" s="61"/>
      <c r="M626" s="61"/>
      <c r="N626" s="61"/>
      <c r="O626" s="61"/>
      <c r="P626" s="61"/>
      <c r="Q626" s="61"/>
      <c r="R626" s="62"/>
      <c r="S626" s="62"/>
      <c r="T626" s="62"/>
    </row>
    <row r="627" spans="1:20" ht="15.75" customHeight="1" x14ac:dyDescent="0.3">
      <c r="A627" s="36"/>
      <c r="B627" s="36"/>
      <c r="C627" s="6"/>
      <c r="D627" s="36"/>
      <c r="E627" s="36"/>
      <c r="F627" s="6"/>
      <c r="G627" s="37"/>
      <c r="H627" s="36"/>
      <c r="I627" s="36"/>
      <c r="J627" s="60"/>
      <c r="L627" s="61"/>
      <c r="M627" s="61"/>
      <c r="N627" s="61"/>
      <c r="O627" s="61"/>
      <c r="P627" s="61"/>
      <c r="Q627" s="61"/>
      <c r="R627" s="62"/>
      <c r="S627" s="62"/>
      <c r="T627" s="62"/>
    </row>
    <row r="628" spans="1:20" ht="15.75" customHeight="1" x14ac:dyDescent="0.3">
      <c r="A628" s="36"/>
      <c r="B628" s="36"/>
      <c r="C628" s="6"/>
      <c r="D628" s="36"/>
      <c r="E628" s="36"/>
      <c r="F628" s="6"/>
      <c r="G628" s="37"/>
      <c r="H628" s="36"/>
      <c r="I628" s="36"/>
      <c r="J628" s="60"/>
      <c r="L628" s="61"/>
      <c r="M628" s="61"/>
      <c r="N628" s="61"/>
      <c r="O628" s="61"/>
      <c r="P628" s="61"/>
      <c r="Q628" s="61"/>
      <c r="R628" s="62"/>
      <c r="S628" s="62"/>
      <c r="T628" s="62"/>
    </row>
    <row r="629" spans="1:20" ht="15.75" customHeight="1" x14ac:dyDescent="0.3">
      <c r="A629" s="36"/>
      <c r="B629" s="36"/>
      <c r="C629" s="6"/>
      <c r="D629" s="36"/>
      <c r="E629" s="36"/>
      <c r="F629" s="6"/>
      <c r="G629" s="37"/>
      <c r="H629" s="36"/>
      <c r="I629" s="36"/>
      <c r="J629" s="60"/>
      <c r="L629" s="61"/>
      <c r="M629" s="61"/>
      <c r="N629" s="61"/>
      <c r="O629" s="61"/>
      <c r="P629" s="61"/>
      <c r="Q629" s="61"/>
      <c r="R629" s="62"/>
      <c r="S629" s="62"/>
      <c r="T629" s="62"/>
    </row>
    <row r="630" spans="1:20" ht="15.75" customHeight="1" x14ac:dyDescent="0.3">
      <c r="A630" s="36"/>
      <c r="B630" s="36"/>
      <c r="C630" s="6"/>
      <c r="D630" s="36"/>
      <c r="E630" s="36"/>
      <c r="F630" s="6"/>
      <c r="G630" s="37"/>
      <c r="H630" s="36"/>
      <c r="I630" s="36"/>
      <c r="J630" s="60"/>
      <c r="L630" s="61"/>
      <c r="M630" s="61"/>
      <c r="N630" s="61"/>
      <c r="O630" s="61"/>
      <c r="P630" s="61"/>
      <c r="Q630" s="61"/>
      <c r="R630" s="62"/>
      <c r="S630" s="62"/>
      <c r="T630" s="62"/>
    </row>
    <row r="631" spans="1:20" ht="15.75" customHeight="1" x14ac:dyDescent="0.3">
      <c r="A631" s="36"/>
      <c r="B631" s="36"/>
      <c r="C631" s="6"/>
      <c r="D631" s="36"/>
      <c r="E631" s="36"/>
      <c r="F631" s="6"/>
      <c r="G631" s="37"/>
      <c r="H631" s="36"/>
      <c r="I631" s="36"/>
      <c r="J631" s="60"/>
      <c r="L631" s="61"/>
      <c r="M631" s="61"/>
      <c r="N631" s="61"/>
      <c r="O631" s="61"/>
      <c r="P631" s="61"/>
      <c r="Q631" s="61"/>
      <c r="R631" s="62"/>
      <c r="S631" s="62"/>
      <c r="T631" s="62"/>
    </row>
    <row r="632" spans="1:20" ht="15.75" customHeight="1" x14ac:dyDescent="0.3">
      <c r="A632" s="36"/>
      <c r="B632" s="36"/>
      <c r="C632" s="6"/>
      <c r="D632" s="36"/>
      <c r="E632" s="36"/>
      <c r="F632" s="6"/>
      <c r="G632" s="37"/>
      <c r="H632" s="36"/>
      <c r="I632" s="36"/>
      <c r="J632" s="60"/>
      <c r="L632" s="61"/>
      <c r="M632" s="61"/>
      <c r="N632" s="61"/>
      <c r="O632" s="61"/>
      <c r="P632" s="61"/>
      <c r="Q632" s="61"/>
      <c r="R632" s="62"/>
      <c r="S632" s="62"/>
      <c r="T632" s="62"/>
    </row>
    <row r="633" spans="1:20" ht="15.75" customHeight="1" x14ac:dyDescent="0.3">
      <c r="A633" s="36"/>
      <c r="B633" s="36"/>
      <c r="C633" s="6"/>
      <c r="D633" s="36"/>
      <c r="E633" s="36"/>
      <c r="F633" s="6"/>
      <c r="G633" s="37"/>
      <c r="H633" s="36"/>
      <c r="I633" s="36"/>
      <c r="J633" s="60"/>
      <c r="L633" s="61"/>
      <c r="M633" s="61"/>
      <c r="N633" s="61"/>
      <c r="O633" s="61"/>
      <c r="P633" s="61"/>
      <c r="Q633" s="61"/>
      <c r="R633" s="62"/>
      <c r="S633" s="62"/>
      <c r="T633" s="62"/>
    </row>
    <row r="634" spans="1:20" ht="15.75" customHeight="1" x14ac:dyDescent="0.3">
      <c r="A634" s="36"/>
      <c r="B634" s="36"/>
      <c r="C634" s="6"/>
      <c r="D634" s="36"/>
      <c r="E634" s="36"/>
      <c r="F634" s="6"/>
      <c r="G634" s="37"/>
      <c r="H634" s="36"/>
      <c r="I634" s="36"/>
      <c r="J634" s="60"/>
      <c r="L634" s="61"/>
      <c r="M634" s="61"/>
      <c r="N634" s="61"/>
      <c r="O634" s="61"/>
      <c r="P634" s="61"/>
      <c r="Q634" s="61"/>
      <c r="R634" s="62"/>
      <c r="S634" s="62"/>
      <c r="T634" s="62"/>
    </row>
    <row r="635" spans="1:20" ht="15.75" customHeight="1" x14ac:dyDescent="0.3">
      <c r="A635" s="36"/>
      <c r="B635" s="36"/>
      <c r="C635" s="6"/>
      <c r="D635" s="36"/>
      <c r="E635" s="36"/>
      <c r="F635" s="6"/>
      <c r="G635" s="37"/>
      <c r="H635" s="36"/>
      <c r="I635" s="36"/>
      <c r="J635" s="60"/>
      <c r="L635" s="61"/>
      <c r="M635" s="61"/>
      <c r="N635" s="61"/>
      <c r="O635" s="61"/>
      <c r="P635" s="61"/>
      <c r="Q635" s="61"/>
      <c r="R635" s="62"/>
      <c r="S635" s="62"/>
      <c r="T635" s="62"/>
    </row>
    <row r="636" spans="1:20" ht="15.75" customHeight="1" x14ac:dyDescent="0.3">
      <c r="A636" s="36"/>
      <c r="B636" s="36"/>
      <c r="C636" s="6"/>
      <c r="D636" s="36"/>
      <c r="E636" s="36"/>
      <c r="F636" s="6"/>
      <c r="G636" s="37"/>
      <c r="H636" s="36"/>
      <c r="I636" s="36"/>
      <c r="J636" s="60"/>
      <c r="L636" s="61"/>
      <c r="M636" s="61"/>
      <c r="N636" s="61"/>
      <c r="O636" s="61"/>
      <c r="P636" s="61"/>
      <c r="Q636" s="61"/>
      <c r="R636" s="62"/>
      <c r="S636" s="62"/>
      <c r="T636" s="62"/>
    </row>
    <row r="637" spans="1:20" ht="15.75" customHeight="1" x14ac:dyDescent="0.3">
      <c r="A637" s="36"/>
      <c r="B637" s="36"/>
      <c r="C637" s="6"/>
      <c r="D637" s="36"/>
      <c r="E637" s="36"/>
      <c r="F637" s="6"/>
      <c r="G637" s="37"/>
      <c r="H637" s="36"/>
      <c r="I637" s="36"/>
      <c r="J637" s="60"/>
      <c r="L637" s="61"/>
      <c r="M637" s="61"/>
      <c r="N637" s="61"/>
      <c r="O637" s="61"/>
      <c r="P637" s="61"/>
      <c r="Q637" s="61"/>
      <c r="R637" s="62"/>
      <c r="S637" s="62"/>
      <c r="T637" s="62"/>
    </row>
    <row r="638" spans="1:20" ht="15.75" customHeight="1" x14ac:dyDescent="0.3">
      <c r="A638" s="36"/>
      <c r="B638" s="36"/>
      <c r="C638" s="6"/>
      <c r="D638" s="36"/>
      <c r="E638" s="36"/>
      <c r="F638" s="6"/>
      <c r="G638" s="37"/>
      <c r="H638" s="36"/>
      <c r="I638" s="36"/>
      <c r="J638" s="60"/>
      <c r="L638" s="61"/>
      <c r="M638" s="61"/>
      <c r="N638" s="61"/>
      <c r="O638" s="61"/>
      <c r="P638" s="61"/>
      <c r="Q638" s="61"/>
      <c r="R638" s="62"/>
      <c r="S638" s="62"/>
      <c r="T638" s="62"/>
    </row>
    <row r="639" spans="1:20" ht="15.75" customHeight="1" x14ac:dyDescent="0.3">
      <c r="A639" s="36"/>
      <c r="B639" s="36"/>
      <c r="C639" s="6"/>
      <c r="D639" s="36"/>
      <c r="E639" s="36"/>
      <c r="F639" s="6"/>
      <c r="G639" s="37"/>
      <c r="H639" s="36"/>
      <c r="I639" s="36"/>
      <c r="J639" s="60"/>
      <c r="L639" s="61"/>
      <c r="M639" s="61"/>
      <c r="N639" s="61"/>
      <c r="O639" s="61"/>
      <c r="P639" s="61"/>
      <c r="Q639" s="61"/>
      <c r="R639" s="62"/>
      <c r="S639" s="62"/>
      <c r="T639" s="62"/>
    </row>
    <row r="640" spans="1:20" ht="15.75" customHeight="1" x14ac:dyDescent="0.3">
      <c r="A640" s="36"/>
      <c r="B640" s="36"/>
      <c r="C640" s="6"/>
      <c r="D640" s="36"/>
      <c r="E640" s="36"/>
      <c r="F640" s="6"/>
      <c r="G640" s="37"/>
      <c r="H640" s="36"/>
      <c r="I640" s="36"/>
      <c r="J640" s="60"/>
      <c r="L640" s="61"/>
      <c r="M640" s="61"/>
      <c r="N640" s="61"/>
      <c r="O640" s="61"/>
      <c r="P640" s="61"/>
      <c r="Q640" s="61"/>
      <c r="R640" s="62"/>
      <c r="S640" s="62"/>
      <c r="T640" s="62"/>
    </row>
    <row r="641" spans="1:20" ht="15.75" customHeight="1" x14ac:dyDescent="0.3">
      <c r="A641" s="36"/>
      <c r="B641" s="36"/>
      <c r="C641" s="6"/>
      <c r="D641" s="36"/>
      <c r="E641" s="36"/>
      <c r="F641" s="6"/>
      <c r="G641" s="37"/>
      <c r="H641" s="36"/>
      <c r="I641" s="36"/>
      <c r="J641" s="60"/>
      <c r="L641" s="61"/>
      <c r="M641" s="61"/>
      <c r="N641" s="61"/>
      <c r="O641" s="61"/>
      <c r="P641" s="61"/>
      <c r="Q641" s="61"/>
      <c r="R641" s="62"/>
      <c r="S641" s="62"/>
      <c r="T641" s="62"/>
    </row>
    <row r="642" spans="1:20" ht="15.75" customHeight="1" x14ac:dyDescent="0.3">
      <c r="A642" s="36"/>
      <c r="B642" s="36"/>
      <c r="C642" s="6"/>
      <c r="D642" s="36"/>
      <c r="E642" s="36"/>
      <c r="F642" s="6"/>
      <c r="G642" s="37"/>
      <c r="H642" s="36"/>
      <c r="I642" s="36"/>
      <c r="J642" s="60"/>
      <c r="L642" s="61"/>
      <c r="M642" s="61"/>
      <c r="N642" s="61"/>
      <c r="O642" s="61"/>
      <c r="P642" s="61"/>
      <c r="Q642" s="61"/>
      <c r="R642" s="62"/>
      <c r="S642" s="62"/>
      <c r="T642" s="62"/>
    </row>
    <row r="643" spans="1:20" ht="15.75" customHeight="1" x14ac:dyDescent="0.3">
      <c r="A643" s="36"/>
      <c r="B643" s="36"/>
      <c r="C643" s="6"/>
      <c r="D643" s="36"/>
      <c r="E643" s="36"/>
      <c r="F643" s="6"/>
      <c r="G643" s="37"/>
      <c r="H643" s="36"/>
      <c r="I643" s="36"/>
      <c r="J643" s="60"/>
      <c r="L643" s="61"/>
      <c r="M643" s="61"/>
      <c r="N643" s="61"/>
      <c r="O643" s="61"/>
      <c r="P643" s="61"/>
      <c r="Q643" s="61"/>
      <c r="R643" s="62"/>
      <c r="S643" s="62"/>
      <c r="T643" s="62"/>
    </row>
    <row r="644" spans="1:20" ht="15.75" customHeight="1" x14ac:dyDescent="0.3">
      <c r="A644" s="36"/>
      <c r="B644" s="36"/>
      <c r="C644" s="6"/>
      <c r="D644" s="36"/>
      <c r="E644" s="36"/>
      <c r="F644" s="6"/>
      <c r="G644" s="37"/>
      <c r="H644" s="36"/>
      <c r="I644" s="36"/>
      <c r="J644" s="60"/>
      <c r="L644" s="61"/>
      <c r="M644" s="61"/>
      <c r="N644" s="61"/>
      <c r="O644" s="61"/>
      <c r="P644" s="61"/>
      <c r="Q644" s="61"/>
      <c r="R644" s="62"/>
      <c r="S644" s="62"/>
      <c r="T644" s="62"/>
    </row>
    <row r="645" spans="1:20" ht="15.75" customHeight="1" x14ac:dyDescent="0.3">
      <c r="A645" s="36"/>
      <c r="B645" s="36"/>
      <c r="C645" s="6"/>
      <c r="D645" s="36"/>
      <c r="E645" s="36"/>
      <c r="F645" s="6"/>
      <c r="G645" s="37"/>
      <c r="H645" s="36"/>
      <c r="I645" s="36"/>
      <c r="J645" s="60"/>
      <c r="L645" s="61"/>
      <c r="M645" s="61"/>
      <c r="N645" s="61"/>
      <c r="O645" s="61"/>
      <c r="P645" s="61"/>
      <c r="Q645" s="61"/>
      <c r="R645" s="62"/>
      <c r="S645" s="62"/>
      <c r="T645" s="62"/>
    </row>
    <row r="646" spans="1:20" ht="15.75" customHeight="1" x14ac:dyDescent="0.3">
      <c r="A646" s="36"/>
      <c r="B646" s="36"/>
      <c r="C646" s="6"/>
      <c r="D646" s="36"/>
      <c r="E646" s="36"/>
      <c r="F646" s="6"/>
      <c r="G646" s="37"/>
      <c r="H646" s="36"/>
      <c r="I646" s="36"/>
      <c r="J646" s="60"/>
      <c r="L646" s="61"/>
      <c r="M646" s="61"/>
      <c r="N646" s="61"/>
      <c r="O646" s="61"/>
      <c r="P646" s="61"/>
      <c r="Q646" s="61"/>
      <c r="R646" s="62"/>
      <c r="S646" s="62"/>
      <c r="T646" s="62"/>
    </row>
    <row r="647" spans="1:20" ht="15.75" customHeight="1" x14ac:dyDescent="0.3">
      <c r="A647" s="36"/>
      <c r="B647" s="36"/>
      <c r="C647" s="6"/>
      <c r="D647" s="36"/>
      <c r="E647" s="36"/>
      <c r="F647" s="6"/>
      <c r="G647" s="37"/>
      <c r="H647" s="36"/>
      <c r="I647" s="36"/>
      <c r="J647" s="60"/>
      <c r="L647" s="61"/>
      <c r="M647" s="61"/>
      <c r="N647" s="61"/>
      <c r="O647" s="61"/>
      <c r="P647" s="61"/>
      <c r="Q647" s="61"/>
      <c r="R647" s="62"/>
      <c r="S647" s="62"/>
      <c r="T647" s="62"/>
    </row>
    <row r="648" spans="1:20" ht="15.75" customHeight="1" x14ac:dyDescent="0.3">
      <c r="A648" s="36"/>
      <c r="B648" s="36"/>
      <c r="C648" s="6"/>
      <c r="D648" s="36"/>
      <c r="E648" s="36"/>
      <c r="F648" s="6"/>
      <c r="G648" s="37"/>
      <c r="H648" s="36"/>
      <c r="I648" s="36"/>
      <c r="J648" s="60"/>
      <c r="L648" s="61"/>
      <c r="M648" s="61"/>
      <c r="N648" s="61"/>
      <c r="O648" s="61"/>
      <c r="P648" s="61"/>
      <c r="Q648" s="61"/>
      <c r="R648" s="62"/>
      <c r="S648" s="62"/>
      <c r="T648" s="62"/>
    </row>
    <row r="649" spans="1:20" ht="15.75" customHeight="1" x14ac:dyDescent="0.3">
      <c r="A649" s="36"/>
      <c r="B649" s="36"/>
      <c r="C649" s="6"/>
      <c r="D649" s="36"/>
      <c r="E649" s="36"/>
      <c r="F649" s="6"/>
      <c r="G649" s="37"/>
      <c r="H649" s="36"/>
      <c r="I649" s="36"/>
      <c r="J649" s="60"/>
      <c r="L649" s="61"/>
      <c r="M649" s="61"/>
      <c r="N649" s="61"/>
      <c r="O649" s="61"/>
      <c r="P649" s="61"/>
      <c r="Q649" s="61"/>
      <c r="R649" s="62"/>
      <c r="S649" s="62"/>
      <c r="T649" s="62"/>
    </row>
    <row r="650" spans="1:20" ht="15.75" customHeight="1" x14ac:dyDescent="0.3">
      <c r="A650" s="36"/>
      <c r="B650" s="36"/>
      <c r="C650" s="6"/>
      <c r="D650" s="36"/>
      <c r="E650" s="36"/>
      <c r="F650" s="6"/>
      <c r="G650" s="37"/>
      <c r="H650" s="36"/>
      <c r="I650" s="36"/>
      <c r="J650" s="60"/>
      <c r="L650" s="61"/>
      <c r="M650" s="61"/>
      <c r="N650" s="61"/>
      <c r="O650" s="61"/>
      <c r="P650" s="61"/>
      <c r="Q650" s="61"/>
      <c r="R650" s="62"/>
      <c r="S650" s="62"/>
      <c r="T650" s="62"/>
    </row>
    <row r="651" spans="1:20" ht="15.75" customHeight="1" x14ac:dyDescent="0.3">
      <c r="A651" s="36"/>
      <c r="B651" s="36"/>
      <c r="C651" s="6"/>
      <c r="D651" s="36"/>
      <c r="E651" s="36"/>
      <c r="F651" s="6"/>
      <c r="G651" s="37"/>
      <c r="H651" s="36"/>
      <c r="I651" s="36"/>
      <c r="J651" s="60"/>
      <c r="L651" s="61"/>
      <c r="M651" s="61"/>
      <c r="N651" s="61"/>
      <c r="O651" s="61"/>
      <c r="P651" s="61"/>
      <c r="Q651" s="61"/>
      <c r="R651" s="62"/>
      <c r="S651" s="62"/>
      <c r="T651" s="62"/>
    </row>
    <row r="652" spans="1:20" ht="15.75" customHeight="1" x14ac:dyDescent="0.3">
      <c r="A652" s="36"/>
      <c r="B652" s="36"/>
      <c r="C652" s="6"/>
      <c r="D652" s="36"/>
      <c r="E652" s="36"/>
      <c r="F652" s="6"/>
      <c r="G652" s="37"/>
      <c r="H652" s="36"/>
      <c r="I652" s="36"/>
      <c r="J652" s="60"/>
      <c r="L652" s="61"/>
      <c r="M652" s="61"/>
      <c r="N652" s="61"/>
      <c r="O652" s="61"/>
      <c r="P652" s="61"/>
      <c r="Q652" s="61"/>
      <c r="R652" s="62"/>
      <c r="S652" s="62"/>
      <c r="T652" s="62"/>
    </row>
    <row r="653" spans="1:20" ht="15.75" customHeight="1" x14ac:dyDescent="0.3">
      <c r="A653" s="36"/>
      <c r="B653" s="36"/>
      <c r="C653" s="6"/>
      <c r="D653" s="36"/>
      <c r="E653" s="36"/>
      <c r="F653" s="6"/>
      <c r="G653" s="37"/>
      <c r="H653" s="36"/>
      <c r="I653" s="36"/>
      <c r="J653" s="60"/>
      <c r="L653" s="61"/>
      <c r="M653" s="61"/>
      <c r="N653" s="61"/>
      <c r="O653" s="61"/>
      <c r="P653" s="61"/>
      <c r="Q653" s="61"/>
      <c r="R653" s="62"/>
      <c r="S653" s="62"/>
      <c r="T653" s="62"/>
    </row>
    <row r="654" spans="1:20" ht="15.75" customHeight="1" x14ac:dyDescent="0.3">
      <c r="A654" s="36"/>
      <c r="B654" s="36"/>
      <c r="C654" s="6"/>
      <c r="D654" s="36"/>
      <c r="E654" s="36"/>
      <c r="F654" s="6"/>
      <c r="G654" s="37"/>
      <c r="H654" s="36"/>
      <c r="I654" s="36"/>
      <c r="J654" s="60"/>
      <c r="L654" s="61"/>
      <c r="M654" s="61"/>
      <c r="N654" s="61"/>
      <c r="O654" s="61"/>
      <c r="P654" s="61"/>
      <c r="Q654" s="61"/>
      <c r="R654" s="62"/>
      <c r="S654" s="62"/>
      <c r="T654" s="62"/>
    </row>
    <row r="655" spans="1:20" ht="15.75" customHeight="1" x14ac:dyDescent="0.3">
      <c r="A655" s="36"/>
      <c r="B655" s="36"/>
      <c r="C655" s="6"/>
      <c r="D655" s="36"/>
      <c r="E655" s="36"/>
      <c r="F655" s="6"/>
      <c r="G655" s="37"/>
      <c r="H655" s="36"/>
      <c r="I655" s="36"/>
      <c r="J655" s="60"/>
      <c r="L655" s="61"/>
      <c r="M655" s="61"/>
      <c r="N655" s="61"/>
      <c r="O655" s="61"/>
      <c r="P655" s="61"/>
      <c r="Q655" s="61"/>
      <c r="R655" s="62"/>
      <c r="S655" s="62"/>
      <c r="T655" s="62"/>
    </row>
    <row r="656" spans="1:20" ht="15.75" customHeight="1" x14ac:dyDescent="0.3">
      <c r="A656" s="36"/>
      <c r="B656" s="36"/>
      <c r="C656" s="6"/>
      <c r="D656" s="36"/>
      <c r="E656" s="36"/>
      <c r="F656" s="6"/>
      <c r="G656" s="37"/>
      <c r="H656" s="36"/>
      <c r="I656" s="36"/>
      <c r="J656" s="60"/>
      <c r="L656" s="61"/>
      <c r="M656" s="61"/>
      <c r="N656" s="61"/>
      <c r="O656" s="61"/>
      <c r="P656" s="61"/>
      <c r="Q656" s="61"/>
      <c r="R656" s="62"/>
      <c r="S656" s="62"/>
      <c r="T656" s="62"/>
    </row>
    <row r="657" spans="1:20" ht="15.75" customHeight="1" x14ac:dyDescent="0.3">
      <c r="A657" s="36"/>
      <c r="B657" s="36"/>
      <c r="C657" s="6"/>
      <c r="D657" s="36"/>
      <c r="E657" s="36"/>
      <c r="F657" s="6"/>
      <c r="G657" s="37"/>
      <c r="H657" s="36"/>
      <c r="I657" s="36"/>
      <c r="J657" s="60"/>
      <c r="L657" s="61"/>
      <c r="M657" s="61"/>
      <c r="N657" s="61"/>
      <c r="O657" s="61"/>
      <c r="P657" s="61"/>
      <c r="Q657" s="61"/>
      <c r="R657" s="62"/>
      <c r="S657" s="62"/>
      <c r="T657" s="62"/>
    </row>
    <row r="658" spans="1:20" ht="15.75" customHeight="1" x14ac:dyDescent="0.3">
      <c r="A658" s="36"/>
      <c r="B658" s="36"/>
      <c r="C658" s="6"/>
      <c r="D658" s="36"/>
      <c r="E658" s="36"/>
      <c r="F658" s="6"/>
      <c r="G658" s="37"/>
      <c r="H658" s="36"/>
      <c r="I658" s="36"/>
      <c r="J658" s="60"/>
      <c r="L658" s="61"/>
      <c r="M658" s="61"/>
      <c r="N658" s="61"/>
      <c r="O658" s="61"/>
      <c r="P658" s="61"/>
      <c r="Q658" s="61"/>
      <c r="R658" s="62"/>
      <c r="S658" s="62"/>
      <c r="T658" s="62"/>
    </row>
    <row r="659" spans="1:20" ht="15.75" customHeight="1" x14ac:dyDescent="0.3">
      <c r="A659" s="36"/>
      <c r="B659" s="36"/>
      <c r="C659" s="6"/>
      <c r="D659" s="36"/>
      <c r="E659" s="36"/>
      <c r="F659" s="6"/>
      <c r="G659" s="37"/>
      <c r="H659" s="36"/>
      <c r="I659" s="36"/>
      <c r="J659" s="60"/>
      <c r="L659" s="61"/>
      <c r="M659" s="61"/>
      <c r="N659" s="61"/>
      <c r="O659" s="61"/>
      <c r="P659" s="61"/>
      <c r="Q659" s="61"/>
      <c r="R659" s="62"/>
      <c r="S659" s="62"/>
      <c r="T659" s="62"/>
    </row>
    <row r="660" spans="1:20" ht="15.75" customHeight="1" x14ac:dyDescent="0.3">
      <c r="A660" s="36"/>
      <c r="B660" s="36"/>
      <c r="C660" s="6"/>
      <c r="D660" s="36"/>
      <c r="E660" s="36"/>
      <c r="F660" s="6"/>
      <c r="G660" s="37"/>
      <c r="H660" s="36"/>
      <c r="I660" s="36"/>
      <c r="J660" s="60"/>
      <c r="L660" s="61"/>
      <c r="M660" s="61"/>
      <c r="N660" s="61"/>
      <c r="O660" s="61"/>
      <c r="P660" s="61"/>
      <c r="Q660" s="61"/>
      <c r="R660" s="62"/>
      <c r="S660" s="62"/>
      <c r="T660" s="62"/>
    </row>
    <row r="661" spans="1:20" ht="15.75" customHeight="1" x14ac:dyDescent="0.3">
      <c r="A661" s="36"/>
      <c r="B661" s="36"/>
      <c r="C661" s="6"/>
      <c r="D661" s="36"/>
      <c r="E661" s="36"/>
      <c r="F661" s="6"/>
      <c r="G661" s="37"/>
      <c r="H661" s="36"/>
      <c r="I661" s="36"/>
      <c r="J661" s="60"/>
      <c r="L661" s="61"/>
      <c r="M661" s="61"/>
      <c r="N661" s="61"/>
      <c r="O661" s="61"/>
      <c r="P661" s="61"/>
      <c r="Q661" s="61"/>
      <c r="R661" s="62"/>
      <c r="S661" s="62"/>
      <c r="T661" s="62"/>
    </row>
    <row r="662" spans="1:20" ht="15.75" customHeight="1" x14ac:dyDescent="0.3">
      <c r="A662" s="36"/>
      <c r="B662" s="36"/>
      <c r="C662" s="6"/>
      <c r="D662" s="36"/>
      <c r="E662" s="36"/>
      <c r="F662" s="6"/>
      <c r="G662" s="37"/>
      <c r="H662" s="36"/>
      <c r="I662" s="36"/>
      <c r="J662" s="60"/>
      <c r="L662" s="61"/>
      <c r="M662" s="61"/>
      <c r="N662" s="61"/>
      <c r="O662" s="61"/>
      <c r="P662" s="61"/>
      <c r="Q662" s="61"/>
      <c r="R662" s="62"/>
      <c r="S662" s="62"/>
      <c r="T662" s="62"/>
    </row>
    <row r="663" spans="1:20" ht="15.75" customHeight="1" x14ac:dyDescent="0.3">
      <c r="A663" s="36"/>
      <c r="B663" s="36"/>
      <c r="C663" s="6"/>
      <c r="D663" s="36"/>
      <c r="E663" s="36"/>
      <c r="F663" s="6"/>
      <c r="G663" s="37"/>
      <c r="H663" s="36"/>
      <c r="I663" s="36"/>
      <c r="J663" s="60"/>
      <c r="L663" s="61"/>
      <c r="M663" s="61"/>
      <c r="N663" s="61"/>
      <c r="O663" s="61"/>
      <c r="P663" s="61"/>
      <c r="Q663" s="61"/>
      <c r="R663" s="62"/>
      <c r="S663" s="62"/>
      <c r="T663" s="62"/>
    </row>
    <row r="664" spans="1:20" ht="15.75" customHeight="1" x14ac:dyDescent="0.3">
      <c r="A664" s="36"/>
      <c r="B664" s="36"/>
      <c r="C664" s="6"/>
      <c r="D664" s="36"/>
      <c r="E664" s="36"/>
      <c r="F664" s="6"/>
      <c r="G664" s="37"/>
      <c r="H664" s="36"/>
      <c r="I664" s="36"/>
      <c r="J664" s="60"/>
      <c r="L664" s="61"/>
      <c r="M664" s="61"/>
      <c r="N664" s="61"/>
      <c r="O664" s="61"/>
      <c r="P664" s="61"/>
      <c r="Q664" s="61"/>
      <c r="R664" s="62"/>
      <c r="S664" s="62"/>
      <c r="T664" s="62"/>
    </row>
    <row r="665" spans="1:20" ht="15.75" customHeight="1" x14ac:dyDescent="0.3">
      <c r="A665" s="36"/>
      <c r="B665" s="36"/>
      <c r="C665" s="6"/>
      <c r="D665" s="36"/>
      <c r="E665" s="36"/>
      <c r="F665" s="6"/>
      <c r="G665" s="37"/>
      <c r="H665" s="36"/>
      <c r="I665" s="36"/>
      <c r="J665" s="60"/>
      <c r="L665" s="61"/>
      <c r="M665" s="61"/>
      <c r="N665" s="61"/>
      <c r="O665" s="61"/>
      <c r="P665" s="61"/>
      <c r="Q665" s="61"/>
      <c r="R665" s="62"/>
      <c r="S665" s="62"/>
      <c r="T665" s="62"/>
    </row>
    <row r="666" spans="1:20" ht="15.75" customHeight="1" x14ac:dyDescent="0.3">
      <c r="A666" s="36"/>
      <c r="B666" s="36"/>
      <c r="C666" s="6"/>
      <c r="D666" s="36"/>
      <c r="E666" s="36"/>
      <c r="F666" s="6"/>
      <c r="G666" s="37"/>
      <c r="H666" s="36"/>
      <c r="I666" s="36"/>
      <c r="J666" s="60"/>
      <c r="L666" s="61"/>
      <c r="M666" s="61"/>
      <c r="N666" s="61"/>
      <c r="O666" s="61"/>
      <c r="P666" s="61"/>
      <c r="Q666" s="61"/>
      <c r="R666" s="62"/>
      <c r="S666" s="62"/>
      <c r="T666" s="62"/>
    </row>
    <row r="667" spans="1:20" ht="15.75" customHeight="1" x14ac:dyDescent="0.3">
      <c r="A667" s="36"/>
      <c r="B667" s="36"/>
      <c r="C667" s="6"/>
      <c r="D667" s="36"/>
      <c r="E667" s="36"/>
      <c r="F667" s="6"/>
      <c r="G667" s="37"/>
      <c r="H667" s="36"/>
      <c r="I667" s="36"/>
      <c r="J667" s="60"/>
      <c r="L667" s="61"/>
      <c r="M667" s="61"/>
      <c r="N667" s="61"/>
      <c r="O667" s="61"/>
      <c r="P667" s="61"/>
      <c r="Q667" s="61"/>
      <c r="R667" s="62"/>
      <c r="S667" s="62"/>
      <c r="T667" s="62"/>
    </row>
    <row r="668" spans="1:20" ht="15.75" customHeight="1" x14ac:dyDescent="0.3">
      <c r="A668" s="36"/>
      <c r="B668" s="36"/>
      <c r="C668" s="6"/>
      <c r="D668" s="36"/>
      <c r="E668" s="36"/>
      <c r="F668" s="6"/>
      <c r="G668" s="37"/>
      <c r="H668" s="36"/>
      <c r="I668" s="36"/>
      <c r="J668" s="60"/>
      <c r="L668" s="61"/>
      <c r="M668" s="61"/>
      <c r="N668" s="61"/>
      <c r="O668" s="61"/>
      <c r="P668" s="61"/>
      <c r="Q668" s="61"/>
      <c r="R668" s="62"/>
      <c r="S668" s="62"/>
      <c r="T668" s="62"/>
    </row>
    <row r="669" spans="1:20" ht="15.75" customHeight="1" x14ac:dyDescent="0.3">
      <c r="A669" s="36"/>
      <c r="B669" s="36"/>
      <c r="C669" s="6"/>
      <c r="D669" s="36"/>
      <c r="E669" s="36"/>
      <c r="F669" s="6"/>
      <c r="G669" s="37"/>
      <c r="H669" s="36"/>
      <c r="I669" s="36"/>
      <c r="J669" s="60"/>
      <c r="L669" s="61"/>
      <c r="M669" s="61"/>
      <c r="N669" s="61"/>
      <c r="O669" s="61"/>
      <c r="P669" s="61"/>
      <c r="Q669" s="61"/>
      <c r="R669" s="62"/>
      <c r="S669" s="62"/>
      <c r="T669" s="62"/>
    </row>
    <row r="670" spans="1:20" ht="15.75" customHeight="1" x14ac:dyDescent="0.3">
      <c r="A670" s="36"/>
      <c r="B670" s="36"/>
      <c r="C670" s="6"/>
      <c r="D670" s="36"/>
      <c r="E670" s="36"/>
      <c r="F670" s="6"/>
      <c r="G670" s="37"/>
      <c r="H670" s="36"/>
      <c r="I670" s="36"/>
      <c r="J670" s="60"/>
      <c r="L670" s="61"/>
      <c r="M670" s="61"/>
      <c r="N670" s="61"/>
      <c r="O670" s="61"/>
      <c r="P670" s="61"/>
      <c r="Q670" s="61"/>
      <c r="R670" s="62"/>
      <c r="S670" s="62"/>
      <c r="T670" s="62"/>
    </row>
    <row r="671" spans="1:20" ht="15.75" customHeight="1" x14ac:dyDescent="0.3">
      <c r="A671" s="36"/>
      <c r="B671" s="36"/>
      <c r="C671" s="6"/>
      <c r="D671" s="36"/>
      <c r="E671" s="36"/>
      <c r="F671" s="6"/>
      <c r="G671" s="37"/>
      <c r="H671" s="36"/>
      <c r="I671" s="36"/>
      <c r="J671" s="60"/>
      <c r="L671" s="61"/>
      <c r="M671" s="61"/>
      <c r="N671" s="61"/>
      <c r="O671" s="61"/>
      <c r="P671" s="61"/>
      <c r="Q671" s="61"/>
      <c r="R671" s="62"/>
      <c r="S671" s="62"/>
      <c r="T671" s="62"/>
    </row>
    <row r="672" spans="1:20" ht="15.75" customHeight="1" x14ac:dyDescent="0.3">
      <c r="A672" s="36"/>
      <c r="B672" s="36"/>
      <c r="C672" s="6"/>
      <c r="D672" s="36"/>
      <c r="E672" s="36"/>
      <c r="F672" s="6"/>
      <c r="G672" s="37"/>
      <c r="H672" s="36"/>
      <c r="I672" s="36"/>
      <c r="J672" s="60"/>
      <c r="L672" s="61"/>
      <c r="M672" s="61"/>
      <c r="N672" s="61"/>
      <c r="O672" s="61"/>
      <c r="P672" s="61"/>
      <c r="Q672" s="61"/>
      <c r="R672" s="62"/>
      <c r="S672" s="62"/>
      <c r="T672" s="62"/>
    </row>
    <row r="673" spans="1:20" ht="15.75" customHeight="1" x14ac:dyDescent="0.3">
      <c r="A673" s="36"/>
      <c r="B673" s="36"/>
      <c r="C673" s="6"/>
      <c r="D673" s="36"/>
      <c r="E673" s="36"/>
      <c r="F673" s="6"/>
      <c r="G673" s="37"/>
      <c r="H673" s="36"/>
      <c r="I673" s="36"/>
      <c r="J673" s="60"/>
      <c r="L673" s="61"/>
      <c r="M673" s="61"/>
      <c r="N673" s="61"/>
      <c r="O673" s="61"/>
      <c r="P673" s="61"/>
      <c r="Q673" s="61"/>
      <c r="R673" s="62"/>
      <c r="S673" s="62"/>
      <c r="T673" s="62"/>
    </row>
    <row r="674" spans="1:20" ht="15.75" customHeight="1" x14ac:dyDescent="0.3">
      <c r="A674" s="36"/>
      <c r="B674" s="36"/>
      <c r="C674" s="6"/>
      <c r="D674" s="36"/>
      <c r="E674" s="36"/>
      <c r="F674" s="6"/>
      <c r="G674" s="37"/>
      <c r="H674" s="36"/>
      <c r="I674" s="36"/>
      <c r="J674" s="60"/>
      <c r="L674" s="61"/>
      <c r="M674" s="61"/>
      <c r="N674" s="61"/>
      <c r="O674" s="61"/>
      <c r="P674" s="61"/>
      <c r="Q674" s="61"/>
      <c r="R674" s="62"/>
      <c r="S674" s="62"/>
      <c r="T674" s="62"/>
    </row>
    <row r="675" spans="1:20" ht="15.75" customHeight="1" x14ac:dyDescent="0.3">
      <c r="A675" s="36"/>
      <c r="B675" s="36"/>
      <c r="C675" s="6"/>
      <c r="D675" s="36"/>
      <c r="E675" s="36"/>
      <c r="F675" s="6"/>
      <c r="G675" s="37"/>
      <c r="H675" s="36"/>
      <c r="I675" s="36"/>
      <c r="J675" s="60"/>
      <c r="L675" s="61"/>
      <c r="M675" s="61"/>
      <c r="N675" s="61"/>
      <c r="O675" s="61"/>
      <c r="P675" s="61"/>
      <c r="Q675" s="61"/>
      <c r="R675" s="62"/>
      <c r="S675" s="62"/>
      <c r="T675" s="62"/>
    </row>
    <row r="676" spans="1:20" ht="15.75" customHeight="1" x14ac:dyDescent="0.3">
      <c r="A676" s="36"/>
      <c r="B676" s="36"/>
      <c r="C676" s="6"/>
      <c r="D676" s="36"/>
      <c r="E676" s="36"/>
      <c r="F676" s="6"/>
      <c r="G676" s="37"/>
      <c r="H676" s="36"/>
      <c r="I676" s="36"/>
      <c r="J676" s="60"/>
      <c r="L676" s="61"/>
      <c r="M676" s="61"/>
      <c r="N676" s="61"/>
      <c r="O676" s="61"/>
      <c r="P676" s="61"/>
      <c r="Q676" s="61"/>
      <c r="R676" s="62"/>
      <c r="S676" s="62"/>
      <c r="T676" s="62"/>
    </row>
    <row r="677" spans="1:20" ht="15.75" customHeight="1" x14ac:dyDescent="0.3">
      <c r="A677" s="36"/>
      <c r="B677" s="36"/>
      <c r="C677" s="6"/>
      <c r="D677" s="36"/>
      <c r="E677" s="36"/>
      <c r="F677" s="6"/>
      <c r="G677" s="37"/>
      <c r="H677" s="36"/>
      <c r="I677" s="36"/>
      <c r="J677" s="60"/>
      <c r="L677" s="61"/>
      <c r="M677" s="61"/>
      <c r="N677" s="61"/>
      <c r="O677" s="61"/>
      <c r="P677" s="61"/>
      <c r="Q677" s="61"/>
      <c r="R677" s="62"/>
      <c r="S677" s="62"/>
      <c r="T677" s="62"/>
    </row>
    <row r="678" spans="1:20" ht="15.75" customHeight="1" x14ac:dyDescent="0.3">
      <c r="A678" s="36"/>
      <c r="B678" s="36"/>
      <c r="C678" s="6"/>
      <c r="D678" s="36"/>
      <c r="E678" s="36"/>
      <c r="F678" s="6"/>
      <c r="G678" s="37"/>
      <c r="H678" s="36"/>
      <c r="I678" s="36"/>
      <c r="J678" s="60"/>
      <c r="L678" s="61"/>
      <c r="M678" s="61"/>
      <c r="N678" s="61"/>
      <c r="O678" s="61"/>
      <c r="P678" s="61"/>
      <c r="Q678" s="61"/>
      <c r="R678" s="62"/>
      <c r="S678" s="62"/>
      <c r="T678" s="62"/>
    </row>
    <row r="679" spans="1:20" ht="15.75" customHeight="1" x14ac:dyDescent="0.3">
      <c r="A679" s="36"/>
      <c r="B679" s="36"/>
      <c r="C679" s="6"/>
      <c r="D679" s="36"/>
      <c r="E679" s="36"/>
      <c r="F679" s="6"/>
      <c r="G679" s="37"/>
      <c r="H679" s="36"/>
      <c r="I679" s="36"/>
      <c r="J679" s="60"/>
      <c r="L679" s="61"/>
      <c r="M679" s="61"/>
      <c r="N679" s="61"/>
      <c r="O679" s="61"/>
      <c r="P679" s="61"/>
      <c r="Q679" s="61"/>
      <c r="R679" s="62"/>
      <c r="S679" s="62"/>
      <c r="T679" s="62"/>
    </row>
    <row r="680" spans="1:20" ht="15.75" customHeight="1" x14ac:dyDescent="0.3">
      <c r="A680" s="36"/>
      <c r="B680" s="36"/>
      <c r="C680" s="6"/>
      <c r="D680" s="36"/>
      <c r="E680" s="36"/>
      <c r="F680" s="6"/>
      <c r="G680" s="37"/>
      <c r="H680" s="36"/>
      <c r="I680" s="36"/>
      <c r="J680" s="60"/>
      <c r="L680" s="61"/>
      <c r="M680" s="61"/>
      <c r="N680" s="61"/>
      <c r="O680" s="61"/>
      <c r="P680" s="61"/>
      <c r="Q680" s="61"/>
      <c r="R680" s="62"/>
      <c r="S680" s="62"/>
      <c r="T680" s="62"/>
    </row>
    <row r="681" spans="1:20" ht="15.75" customHeight="1" x14ac:dyDescent="0.3">
      <c r="A681" s="36"/>
      <c r="B681" s="36"/>
      <c r="C681" s="6"/>
      <c r="D681" s="36"/>
      <c r="E681" s="36"/>
      <c r="F681" s="6"/>
      <c r="G681" s="37"/>
      <c r="H681" s="36"/>
      <c r="I681" s="36"/>
      <c r="J681" s="60"/>
      <c r="L681" s="61"/>
      <c r="M681" s="61"/>
      <c r="N681" s="61"/>
      <c r="O681" s="61"/>
      <c r="P681" s="61"/>
      <c r="Q681" s="61"/>
      <c r="R681" s="62"/>
      <c r="S681" s="62"/>
      <c r="T681" s="62"/>
    </row>
    <row r="682" spans="1:20" ht="15.75" customHeight="1" x14ac:dyDescent="0.3">
      <c r="A682" s="36"/>
      <c r="B682" s="36"/>
      <c r="C682" s="6"/>
      <c r="D682" s="36"/>
      <c r="E682" s="36"/>
      <c r="F682" s="6"/>
      <c r="G682" s="37"/>
      <c r="H682" s="36"/>
      <c r="I682" s="36"/>
      <c r="J682" s="60"/>
      <c r="L682" s="61"/>
      <c r="M682" s="61"/>
      <c r="N682" s="61"/>
      <c r="O682" s="61"/>
      <c r="P682" s="61"/>
      <c r="Q682" s="61"/>
      <c r="R682" s="62"/>
      <c r="S682" s="62"/>
      <c r="T682" s="62"/>
    </row>
    <row r="683" spans="1:20" ht="15.75" customHeight="1" x14ac:dyDescent="0.3">
      <c r="A683" s="36"/>
      <c r="B683" s="36"/>
      <c r="C683" s="6"/>
      <c r="D683" s="36"/>
      <c r="E683" s="36"/>
      <c r="F683" s="6"/>
      <c r="G683" s="37"/>
      <c r="H683" s="36"/>
      <c r="I683" s="36"/>
      <c r="J683" s="60"/>
      <c r="L683" s="61"/>
      <c r="M683" s="61"/>
      <c r="N683" s="61"/>
      <c r="O683" s="61"/>
      <c r="P683" s="61"/>
      <c r="Q683" s="61"/>
      <c r="R683" s="62"/>
      <c r="S683" s="62"/>
      <c r="T683" s="62"/>
    </row>
    <row r="684" spans="1:20" ht="15.75" customHeight="1" x14ac:dyDescent="0.3">
      <c r="A684" s="36"/>
      <c r="B684" s="36"/>
      <c r="C684" s="6"/>
      <c r="D684" s="36"/>
      <c r="E684" s="36"/>
      <c r="F684" s="6"/>
      <c r="G684" s="37"/>
      <c r="H684" s="36"/>
      <c r="I684" s="36"/>
      <c r="J684" s="60"/>
      <c r="L684" s="61"/>
      <c r="M684" s="61"/>
      <c r="N684" s="61"/>
      <c r="O684" s="61"/>
      <c r="P684" s="61"/>
      <c r="Q684" s="61"/>
      <c r="R684" s="62"/>
      <c r="S684" s="62"/>
      <c r="T684" s="62"/>
    </row>
    <row r="685" spans="1:20" ht="15.75" customHeight="1" x14ac:dyDescent="0.3">
      <c r="A685" s="36"/>
      <c r="B685" s="36"/>
      <c r="C685" s="6"/>
      <c r="D685" s="36"/>
      <c r="E685" s="36"/>
      <c r="F685" s="6"/>
      <c r="G685" s="37"/>
      <c r="H685" s="36"/>
      <c r="I685" s="36"/>
      <c r="J685" s="60"/>
      <c r="L685" s="61"/>
      <c r="M685" s="61"/>
      <c r="N685" s="61"/>
      <c r="O685" s="61"/>
      <c r="P685" s="61"/>
      <c r="Q685" s="61"/>
      <c r="R685" s="62"/>
      <c r="S685" s="62"/>
      <c r="T685" s="62"/>
    </row>
    <row r="686" spans="1:20" ht="15.75" customHeight="1" x14ac:dyDescent="0.3">
      <c r="A686" s="36"/>
      <c r="B686" s="36"/>
      <c r="C686" s="6"/>
      <c r="D686" s="36"/>
      <c r="E686" s="36"/>
      <c r="F686" s="6"/>
      <c r="G686" s="37"/>
      <c r="H686" s="36"/>
      <c r="I686" s="36"/>
      <c r="J686" s="60"/>
      <c r="L686" s="61"/>
      <c r="M686" s="61"/>
      <c r="N686" s="61"/>
      <c r="O686" s="61"/>
      <c r="P686" s="61"/>
      <c r="Q686" s="61"/>
      <c r="R686" s="62"/>
      <c r="S686" s="62"/>
      <c r="T686" s="62"/>
    </row>
    <row r="687" spans="1:20" ht="15.75" customHeight="1" x14ac:dyDescent="0.3">
      <c r="A687" s="36"/>
      <c r="B687" s="36"/>
      <c r="C687" s="6"/>
      <c r="D687" s="36"/>
      <c r="E687" s="36"/>
      <c r="F687" s="6"/>
      <c r="G687" s="37"/>
      <c r="H687" s="36"/>
      <c r="I687" s="36"/>
      <c r="J687" s="60"/>
      <c r="L687" s="61"/>
      <c r="M687" s="61"/>
      <c r="N687" s="61"/>
      <c r="O687" s="61"/>
      <c r="P687" s="61"/>
      <c r="Q687" s="61"/>
      <c r="R687" s="62"/>
      <c r="S687" s="62"/>
      <c r="T687" s="62"/>
    </row>
    <row r="688" spans="1:20" ht="15.75" customHeight="1" x14ac:dyDescent="0.3">
      <c r="A688" s="36"/>
      <c r="B688" s="36"/>
      <c r="C688" s="6"/>
      <c r="D688" s="36"/>
      <c r="E688" s="36"/>
      <c r="F688" s="6"/>
      <c r="G688" s="37"/>
      <c r="H688" s="36"/>
      <c r="I688" s="36"/>
      <c r="J688" s="60"/>
      <c r="L688" s="61"/>
      <c r="M688" s="61"/>
      <c r="N688" s="61"/>
      <c r="O688" s="61"/>
      <c r="P688" s="61"/>
      <c r="Q688" s="61"/>
      <c r="R688" s="62"/>
      <c r="S688" s="62"/>
      <c r="T688" s="62"/>
    </row>
    <row r="689" spans="1:20" ht="15.75" customHeight="1" x14ac:dyDescent="0.3">
      <c r="A689" s="36"/>
      <c r="B689" s="36"/>
      <c r="C689" s="6"/>
      <c r="D689" s="36"/>
      <c r="E689" s="36"/>
      <c r="F689" s="6"/>
      <c r="G689" s="37"/>
      <c r="H689" s="36"/>
      <c r="I689" s="36"/>
      <c r="J689" s="60"/>
      <c r="L689" s="61"/>
      <c r="M689" s="61"/>
      <c r="N689" s="61"/>
      <c r="O689" s="61"/>
      <c r="P689" s="61"/>
      <c r="Q689" s="61"/>
      <c r="R689" s="62"/>
      <c r="S689" s="62"/>
      <c r="T689" s="62"/>
    </row>
    <row r="690" spans="1:20" ht="15.75" customHeight="1" x14ac:dyDescent="0.3">
      <c r="A690" s="36"/>
      <c r="B690" s="36"/>
      <c r="C690" s="6"/>
      <c r="D690" s="36"/>
      <c r="E690" s="36"/>
      <c r="F690" s="6"/>
      <c r="G690" s="37"/>
      <c r="H690" s="36"/>
      <c r="I690" s="36"/>
      <c r="J690" s="60"/>
      <c r="L690" s="61"/>
      <c r="M690" s="61"/>
      <c r="N690" s="61"/>
      <c r="O690" s="61"/>
      <c r="P690" s="61"/>
      <c r="Q690" s="61"/>
      <c r="R690" s="62"/>
      <c r="S690" s="62"/>
      <c r="T690" s="62"/>
    </row>
    <row r="691" spans="1:20" ht="15.75" customHeight="1" x14ac:dyDescent="0.3">
      <c r="A691" s="36"/>
      <c r="B691" s="36"/>
      <c r="C691" s="6"/>
      <c r="D691" s="36"/>
      <c r="E691" s="36"/>
      <c r="F691" s="6"/>
      <c r="G691" s="37"/>
      <c r="H691" s="36"/>
      <c r="I691" s="36"/>
      <c r="J691" s="60"/>
      <c r="L691" s="61"/>
      <c r="M691" s="61"/>
      <c r="N691" s="61"/>
      <c r="O691" s="61"/>
      <c r="P691" s="61"/>
      <c r="Q691" s="61"/>
      <c r="R691" s="62"/>
      <c r="S691" s="62"/>
      <c r="T691" s="62"/>
    </row>
    <row r="692" spans="1:20" ht="15.75" customHeight="1" x14ac:dyDescent="0.3">
      <c r="A692" s="36"/>
      <c r="B692" s="36"/>
      <c r="C692" s="6"/>
      <c r="D692" s="36"/>
      <c r="E692" s="36"/>
      <c r="F692" s="6"/>
      <c r="G692" s="37"/>
      <c r="H692" s="36"/>
      <c r="I692" s="36"/>
      <c r="J692" s="60"/>
      <c r="L692" s="61"/>
      <c r="M692" s="61"/>
      <c r="N692" s="61"/>
      <c r="O692" s="61"/>
      <c r="P692" s="61"/>
      <c r="Q692" s="61"/>
      <c r="R692" s="62"/>
      <c r="S692" s="62"/>
      <c r="T692" s="62"/>
    </row>
    <row r="693" spans="1:20" ht="15.75" customHeight="1" x14ac:dyDescent="0.3">
      <c r="A693" s="36"/>
      <c r="B693" s="36"/>
      <c r="C693" s="6"/>
      <c r="D693" s="36"/>
      <c r="E693" s="36"/>
      <c r="F693" s="6"/>
      <c r="G693" s="37"/>
      <c r="H693" s="36"/>
      <c r="I693" s="36"/>
      <c r="J693" s="60"/>
      <c r="L693" s="61"/>
      <c r="M693" s="61"/>
      <c r="N693" s="61"/>
      <c r="O693" s="61"/>
      <c r="P693" s="61"/>
      <c r="Q693" s="61"/>
      <c r="R693" s="62"/>
      <c r="S693" s="62"/>
      <c r="T693" s="62"/>
    </row>
    <row r="694" spans="1:20" ht="15.75" customHeight="1" x14ac:dyDescent="0.3">
      <c r="A694" s="36"/>
      <c r="B694" s="36"/>
      <c r="C694" s="6"/>
      <c r="D694" s="36"/>
      <c r="E694" s="36"/>
      <c r="F694" s="6"/>
      <c r="G694" s="37"/>
      <c r="H694" s="36"/>
      <c r="I694" s="36"/>
      <c r="J694" s="60"/>
      <c r="L694" s="61"/>
      <c r="M694" s="61"/>
      <c r="N694" s="61"/>
      <c r="O694" s="61"/>
      <c r="P694" s="61"/>
      <c r="Q694" s="61"/>
      <c r="R694" s="62"/>
      <c r="S694" s="62"/>
      <c r="T694" s="62"/>
    </row>
    <row r="695" spans="1:20" ht="15.75" customHeight="1" x14ac:dyDescent="0.3">
      <c r="A695" s="36"/>
      <c r="B695" s="36"/>
      <c r="C695" s="6"/>
      <c r="D695" s="36"/>
      <c r="E695" s="36"/>
      <c r="F695" s="6"/>
      <c r="G695" s="37"/>
      <c r="H695" s="36"/>
      <c r="I695" s="36"/>
      <c r="J695" s="60"/>
      <c r="L695" s="61"/>
      <c r="M695" s="61"/>
      <c r="N695" s="61"/>
      <c r="O695" s="61"/>
      <c r="P695" s="61"/>
      <c r="Q695" s="61"/>
      <c r="R695" s="62"/>
      <c r="S695" s="62"/>
      <c r="T695" s="62"/>
    </row>
    <row r="696" spans="1:20" ht="15.75" customHeight="1" x14ac:dyDescent="0.3">
      <c r="A696" s="36"/>
      <c r="B696" s="36"/>
      <c r="C696" s="6"/>
      <c r="D696" s="36"/>
      <c r="E696" s="36"/>
      <c r="F696" s="6"/>
      <c r="G696" s="37"/>
      <c r="H696" s="36"/>
      <c r="I696" s="36"/>
      <c r="J696" s="60"/>
      <c r="L696" s="61"/>
      <c r="M696" s="61"/>
      <c r="N696" s="61"/>
      <c r="O696" s="61"/>
      <c r="P696" s="61"/>
      <c r="Q696" s="61"/>
      <c r="R696" s="62"/>
      <c r="S696" s="62"/>
      <c r="T696" s="62"/>
    </row>
    <row r="697" spans="1:20" ht="15.75" customHeight="1" x14ac:dyDescent="0.3">
      <c r="A697" s="36"/>
      <c r="B697" s="36"/>
      <c r="C697" s="6"/>
      <c r="D697" s="36"/>
      <c r="E697" s="36"/>
      <c r="F697" s="6"/>
      <c r="G697" s="37"/>
      <c r="H697" s="36"/>
      <c r="I697" s="36"/>
      <c r="J697" s="60"/>
      <c r="L697" s="61"/>
      <c r="M697" s="61"/>
      <c r="N697" s="61"/>
      <c r="O697" s="61"/>
      <c r="P697" s="61"/>
      <c r="Q697" s="61"/>
      <c r="R697" s="62"/>
      <c r="S697" s="62"/>
      <c r="T697" s="62"/>
    </row>
    <row r="698" spans="1:20" ht="15.75" customHeight="1" x14ac:dyDescent="0.3">
      <c r="A698" s="36"/>
      <c r="B698" s="36"/>
      <c r="C698" s="6"/>
      <c r="D698" s="36"/>
      <c r="E698" s="36"/>
      <c r="F698" s="6"/>
      <c r="G698" s="37"/>
      <c r="H698" s="36"/>
      <c r="I698" s="36"/>
      <c r="J698" s="60"/>
      <c r="L698" s="61"/>
      <c r="M698" s="61"/>
      <c r="N698" s="61"/>
      <c r="O698" s="61"/>
      <c r="P698" s="61"/>
      <c r="Q698" s="61"/>
      <c r="R698" s="62"/>
      <c r="S698" s="62"/>
      <c r="T698" s="62"/>
    </row>
    <row r="699" spans="1:20" ht="15.75" customHeight="1" x14ac:dyDescent="0.3">
      <c r="A699" s="36"/>
      <c r="B699" s="36"/>
      <c r="C699" s="6"/>
      <c r="D699" s="36"/>
      <c r="E699" s="36"/>
      <c r="F699" s="6"/>
      <c r="G699" s="37"/>
      <c r="H699" s="36"/>
      <c r="I699" s="36"/>
      <c r="J699" s="60"/>
      <c r="L699" s="61"/>
      <c r="M699" s="61"/>
      <c r="N699" s="61"/>
      <c r="O699" s="61"/>
      <c r="P699" s="61"/>
      <c r="Q699" s="61"/>
      <c r="R699" s="62"/>
      <c r="S699" s="62"/>
      <c r="T699" s="62"/>
    </row>
    <row r="700" spans="1:20" ht="15.75" customHeight="1" x14ac:dyDescent="0.3">
      <c r="A700" s="36"/>
      <c r="B700" s="36"/>
      <c r="C700" s="6"/>
      <c r="D700" s="36"/>
      <c r="E700" s="36"/>
      <c r="F700" s="6"/>
      <c r="G700" s="37"/>
      <c r="H700" s="36"/>
      <c r="I700" s="36"/>
      <c r="J700" s="60"/>
      <c r="L700" s="61"/>
      <c r="M700" s="61"/>
      <c r="N700" s="61"/>
      <c r="O700" s="61"/>
      <c r="P700" s="61"/>
      <c r="Q700" s="61"/>
      <c r="R700" s="62"/>
      <c r="S700" s="62"/>
      <c r="T700" s="62"/>
    </row>
    <row r="701" spans="1:20" ht="15.75" customHeight="1" x14ac:dyDescent="0.3">
      <c r="A701" s="36"/>
      <c r="B701" s="36"/>
      <c r="C701" s="6"/>
      <c r="D701" s="36"/>
      <c r="E701" s="36"/>
      <c r="F701" s="6"/>
      <c r="G701" s="37"/>
      <c r="H701" s="36"/>
      <c r="I701" s="36"/>
      <c r="J701" s="60"/>
      <c r="L701" s="61"/>
      <c r="M701" s="61"/>
      <c r="N701" s="61"/>
      <c r="O701" s="61"/>
      <c r="P701" s="61"/>
      <c r="Q701" s="61"/>
      <c r="R701" s="62"/>
      <c r="S701" s="62"/>
      <c r="T701" s="62"/>
    </row>
    <row r="702" spans="1:20" ht="15.75" customHeight="1" x14ac:dyDescent="0.3">
      <c r="A702" s="36"/>
      <c r="B702" s="36"/>
      <c r="C702" s="6"/>
      <c r="D702" s="36"/>
      <c r="E702" s="36"/>
      <c r="F702" s="6"/>
      <c r="G702" s="37"/>
      <c r="H702" s="36"/>
      <c r="I702" s="36"/>
      <c r="J702" s="60"/>
      <c r="L702" s="61"/>
      <c r="M702" s="61"/>
      <c r="N702" s="61"/>
      <c r="O702" s="61"/>
      <c r="P702" s="61"/>
      <c r="Q702" s="61"/>
      <c r="R702" s="62"/>
      <c r="S702" s="62"/>
      <c r="T702" s="62"/>
    </row>
    <row r="703" spans="1:20" ht="15.75" customHeight="1" x14ac:dyDescent="0.3">
      <c r="A703" s="36"/>
      <c r="B703" s="36"/>
      <c r="C703" s="6"/>
      <c r="D703" s="36"/>
      <c r="E703" s="36"/>
      <c r="F703" s="6"/>
      <c r="G703" s="37"/>
      <c r="H703" s="36"/>
      <c r="I703" s="36"/>
      <c r="J703" s="60"/>
      <c r="L703" s="61"/>
      <c r="M703" s="61"/>
      <c r="N703" s="61"/>
      <c r="O703" s="61"/>
      <c r="P703" s="61"/>
      <c r="Q703" s="61"/>
      <c r="R703" s="62"/>
      <c r="S703" s="62"/>
      <c r="T703" s="62"/>
    </row>
    <row r="704" spans="1:20" ht="15.75" customHeight="1" x14ac:dyDescent="0.3">
      <c r="A704" s="36"/>
      <c r="B704" s="36"/>
      <c r="C704" s="6"/>
      <c r="D704" s="36"/>
      <c r="E704" s="36"/>
      <c r="F704" s="6"/>
      <c r="G704" s="37"/>
      <c r="H704" s="36"/>
      <c r="I704" s="36"/>
      <c r="J704" s="60"/>
      <c r="L704" s="61"/>
      <c r="M704" s="61"/>
      <c r="N704" s="61"/>
      <c r="O704" s="61"/>
      <c r="P704" s="61"/>
      <c r="Q704" s="61"/>
      <c r="R704" s="62"/>
      <c r="S704" s="62"/>
      <c r="T704" s="62"/>
    </row>
    <row r="705" spans="1:20" ht="15.75" customHeight="1" x14ac:dyDescent="0.3">
      <c r="A705" s="36"/>
      <c r="B705" s="36"/>
      <c r="C705" s="6"/>
      <c r="D705" s="36"/>
      <c r="E705" s="36"/>
      <c r="F705" s="6"/>
      <c r="G705" s="37"/>
      <c r="H705" s="36"/>
      <c r="I705" s="36"/>
      <c r="J705" s="60"/>
      <c r="L705" s="61"/>
      <c r="M705" s="61"/>
      <c r="N705" s="61"/>
      <c r="O705" s="61"/>
      <c r="P705" s="61"/>
      <c r="Q705" s="61"/>
      <c r="R705" s="62"/>
      <c r="S705" s="62"/>
      <c r="T705" s="62"/>
    </row>
    <row r="706" spans="1:20" ht="15.75" customHeight="1" x14ac:dyDescent="0.3">
      <c r="A706" s="36"/>
      <c r="B706" s="36"/>
      <c r="C706" s="6"/>
      <c r="D706" s="36"/>
      <c r="E706" s="36"/>
      <c r="F706" s="6"/>
      <c r="G706" s="37"/>
      <c r="H706" s="36"/>
      <c r="I706" s="36"/>
      <c r="J706" s="60"/>
      <c r="L706" s="61"/>
      <c r="M706" s="61"/>
      <c r="N706" s="61"/>
      <c r="O706" s="61"/>
      <c r="P706" s="61"/>
      <c r="Q706" s="61"/>
      <c r="R706" s="62"/>
      <c r="S706" s="62"/>
      <c r="T706" s="62"/>
    </row>
    <row r="707" spans="1:20" ht="15.75" customHeight="1" x14ac:dyDescent="0.3">
      <c r="A707" s="36"/>
      <c r="B707" s="36"/>
      <c r="C707" s="6"/>
      <c r="D707" s="36"/>
      <c r="E707" s="36"/>
      <c r="F707" s="6"/>
      <c r="G707" s="37"/>
      <c r="H707" s="36"/>
      <c r="I707" s="36"/>
      <c r="J707" s="60"/>
      <c r="L707" s="61"/>
      <c r="M707" s="61"/>
      <c r="N707" s="61"/>
      <c r="O707" s="61"/>
      <c r="P707" s="61"/>
      <c r="Q707" s="61"/>
      <c r="R707" s="62"/>
      <c r="S707" s="62"/>
      <c r="T707" s="62"/>
    </row>
    <row r="708" spans="1:20" ht="15.75" customHeight="1" x14ac:dyDescent="0.3">
      <c r="A708" s="36"/>
      <c r="B708" s="36"/>
      <c r="C708" s="6"/>
      <c r="D708" s="36"/>
      <c r="E708" s="36"/>
      <c r="F708" s="6"/>
      <c r="G708" s="37"/>
      <c r="H708" s="36"/>
      <c r="I708" s="36"/>
      <c r="J708" s="60"/>
      <c r="L708" s="61"/>
      <c r="M708" s="61"/>
      <c r="N708" s="61"/>
      <c r="O708" s="61"/>
      <c r="P708" s="61"/>
      <c r="Q708" s="61"/>
      <c r="R708" s="62"/>
      <c r="S708" s="62"/>
      <c r="T708" s="62"/>
    </row>
    <row r="709" spans="1:20" ht="15.75" customHeight="1" x14ac:dyDescent="0.3">
      <c r="A709" s="36"/>
      <c r="B709" s="36"/>
      <c r="C709" s="6"/>
      <c r="D709" s="36"/>
      <c r="E709" s="36"/>
      <c r="F709" s="6"/>
      <c r="G709" s="37"/>
      <c r="H709" s="36"/>
      <c r="I709" s="36"/>
      <c r="J709" s="60"/>
      <c r="L709" s="61"/>
      <c r="M709" s="61"/>
      <c r="N709" s="61"/>
      <c r="O709" s="61"/>
      <c r="P709" s="61"/>
      <c r="Q709" s="61"/>
      <c r="R709" s="62"/>
      <c r="S709" s="62"/>
      <c r="T709" s="62"/>
    </row>
    <row r="710" spans="1:20" ht="15.75" customHeight="1" x14ac:dyDescent="0.3">
      <c r="A710" s="36"/>
      <c r="B710" s="36"/>
      <c r="C710" s="6"/>
      <c r="D710" s="36"/>
      <c r="E710" s="36"/>
      <c r="F710" s="6"/>
      <c r="G710" s="37"/>
      <c r="H710" s="36"/>
      <c r="I710" s="36"/>
      <c r="J710" s="60"/>
      <c r="L710" s="61"/>
      <c r="M710" s="61"/>
      <c r="N710" s="61"/>
      <c r="O710" s="61"/>
      <c r="P710" s="61"/>
      <c r="Q710" s="61"/>
      <c r="R710" s="62"/>
      <c r="S710" s="62"/>
      <c r="T710" s="62"/>
    </row>
    <row r="711" spans="1:20" ht="15.75" customHeight="1" x14ac:dyDescent="0.3">
      <c r="A711" s="36"/>
      <c r="B711" s="36"/>
      <c r="C711" s="6"/>
      <c r="D711" s="36"/>
      <c r="E711" s="36"/>
      <c r="F711" s="6"/>
      <c r="G711" s="37"/>
      <c r="H711" s="36"/>
      <c r="I711" s="36"/>
      <c r="J711" s="60"/>
      <c r="L711" s="61"/>
      <c r="M711" s="61"/>
      <c r="N711" s="61"/>
      <c r="O711" s="61"/>
      <c r="P711" s="61"/>
      <c r="Q711" s="61"/>
      <c r="R711" s="62"/>
      <c r="S711" s="62"/>
      <c r="T711" s="62"/>
    </row>
    <row r="712" spans="1:20" ht="15.75" customHeight="1" x14ac:dyDescent="0.3">
      <c r="A712" s="36"/>
      <c r="B712" s="36"/>
      <c r="C712" s="6"/>
      <c r="D712" s="36"/>
      <c r="E712" s="36"/>
      <c r="F712" s="6"/>
      <c r="G712" s="37"/>
      <c r="H712" s="36"/>
      <c r="I712" s="36"/>
      <c r="J712" s="60"/>
      <c r="L712" s="61"/>
      <c r="M712" s="61"/>
      <c r="N712" s="61"/>
      <c r="O712" s="61"/>
      <c r="P712" s="61"/>
      <c r="Q712" s="61"/>
      <c r="R712" s="62"/>
      <c r="S712" s="62"/>
      <c r="T712" s="62"/>
    </row>
    <row r="713" spans="1:20" ht="15.75" customHeight="1" x14ac:dyDescent="0.3">
      <c r="A713" s="36"/>
      <c r="B713" s="36"/>
      <c r="C713" s="6"/>
      <c r="D713" s="36"/>
      <c r="E713" s="36"/>
      <c r="F713" s="6"/>
      <c r="G713" s="37"/>
      <c r="H713" s="36"/>
      <c r="I713" s="36"/>
      <c r="J713" s="60"/>
      <c r="L713" s="61"/>
      <c r="M713" s="61"/>
      <c r="N713" s="61"/>
      <c r="O713" s="61"/>
      <c r="P713" s="61"/>
      <c r="Q713" s="61"/>
      <c r="R713" s="62"/>
      <c r="S713" s="62"/>
      <c r="T713" s="62"/>
    </row>
    <row r="714" spans="1:20" ht="15.75" customHeight="1" x14ac:dyDescent="0.3">
      <c r="A714" s="36"/>
      <c r="B714" s="36"/>
      <c r="C714" s="6"/>
      <c r="D714" s="36"/>
      <c r="E714" s="36"/>
      <c r="F714" s="6"/>
      <c r="G714" s="37"/>
      <c r="H714" s="36"/>
      <c r="I714" s="36"/>
      <c r="J714" s="60"/>
      <c r="L714" s="61"/>
      <c r="M714" s="61"/>
      <c r="N714" s="61"/>
      <c r="O714" s="61"/>
      <c r="P714" s="61"/>
      <c r="Q714" s="61"/>
      <c r="R714" s="62"/>
      <c r="S714" s="62"/>
      <c r="T714" s="62"/>
    </row>
    <row r="715" spans="1:20" ht="15.75" customHeight="1" x14ac:dyDescent="0.3">
      <c r="A715" s="36"/>
      <c r="B715" s="36"/>
      <c r="C715" s="6"/>
      <c r="D715" s="36"/>
      <c r="E715" s="36"/>
      <c r="F715" s="6"/>
      <c r="G715" s="37"/>
      <c r="H715" s="36"/>
      <c r="I715" s="36"/>
      <c r="J715" s="60"/>
      <c r="L715" s="61"/>
      <c r="M715" s="61"/>
      <c r="N715" s="61"/>
      <c r="O715" s="61"/>
      <c r="P715" s="61"/>
      <c r="Q715" s="61"/>
      <c r="R715" s="62"/>
      <c r="S715" s="62"/>
      <c r="T715" s="62"/>
    </row>
    <row r="716" spans="1:20" ht="15.75" customHeight="1" x14ac:dyDescent="0.3">
      <c r="A716" s="36"/>
      <c r="B716" s="36"/>
      <c r="C716" s="6"/>
      <c r="D716" s="36"/>
      <c r="E716" s="36"/>
      <c r="F716" s="6"/>
      <c r="G716" s="37"/>
      <c r="H716" s="36"/>
      <c r="I716" s="36"/>
      <c r="J716" s="60"/>
      <c r="L716" s="61"/>
      <c r="M716" s="61"/>
      <c r="N716" s="61"/>
      <c r="O716" s="61"/>
      <c r="P716" s="61"/>
      <c r="Q716" s="61"/>
      <c r="R716" s="62"/>
      <c r="S716" s="62"/>
      <c r="T716" s="62"/>
    </row>
    <row r="717" spans="1:20" ht="15.75" customHeight="1" x14ac:dyDescent="0.3">
      <c r="A717" s="36"/>
      <c r="B717" s="36"/>
      <c r="C717" s="6"/>
      <c r="D717" s="36"/>
      <c r="E717" s="36"/>
      <c r="F717" s="6"/>
      <c r="G717" s="37"/>
      <c r="H717" s="36"/>
      <c r="I717" s="36"/>
      <c r="J717" s="60"/>
      <c r="L717" s="61"/>
      <c r="M717" s="61"/>
      <c r="N717" s="61"/>
      <c r="O717" s="61"/>
      <c r="P717" s="61"/>
      <c r="Q717" s="61"/>
      <c r="R717" s="62"/>
      <c r="S717" s="62"/>
      <c r="T717" s="62"/>
    </row>
    <row r="718" spans="1:20" ht="15.75" customHeight="1" x14ac:dyDescent="0.3">
      <c r="A718" s="36"/>
      <c r="B718" s="36"/>
      <c r="C718" s="6"/>
      <c r="D718" s="36"/>
      <c r="E718" s="36"/>
      <c r="F718" s="6"/>
      <c r="G718" s="37"/>
      <c r="H718" s="36"/>
      <c r="I718" s="36"/>
      <c r="J718" s="60"/>
      <c r="L718" s="61"/>
      <c r="M718" s="61"/>
      <c r="N718" s="61"/>
      <c r="O718" s="61"/>
      <c r="P718" s="61"/>
      <c r="Q718" s="61"/>
      <c r="R718" s="62"/>
      <c r="S718" s="62"/>
      <c r="T718" s="62"/>
    </row>
    <row r="719" spans="1:20" ht="15.75" customHeight="1" x14ac:dyDescent="0.3">
      <c r="A719" s="36"/>
      <c r="B719" s="36"/>
      <c r="C719" s="6"/>
      <c r="D719" s="36"/>
      <c r="E719" s="36"/>
      <c r="F719" s="6"/>
      <c r="G719" s="37"/>
      <c r="H719" s="36"/>
      <c r="I719" s="36"/>
      <c r="J719" s="60"/>
      <c r="L719" s="61"/>
      <c r="M719" s="61"/>
      <c r="N719" s="61"/>
      <c r="O719" s="61"/>
      <c r="P719" s="61"/>
      <c r="Q719" s="61"/>
      <c r="R719" s="62"/>
      <c r="S719" s="62"/>
      <c r="T719" s="62"/>
    </row>
    <row r="720" spans="1:20" ht="15.75" customHeight="1" x14ac:dyDescent="0.3">
      <c r="A720" s="36"/>
      <c r="B720" s="36"/>
      <c r="C720" s="6"/>
      <c r="D720" s="36"/>
      <c r="E720" s="36"/>
      <c r="F720" s="6"/>
      <c r="G720" s="37"/>
      <c r="H720" s="36"/>
      <c r="I720" s="36"/>
      <c r="J720" s="60"/>
      <c r="L720" s="61"/>
      <c r="M720" s="61"/>
      <c r="N720" s="61"/>
      <c r="O720" s="61"/>
      <c r="P720" s="61"/>
      <c r="Q720" s="61"/>
      <c r="R720" s="62"/>
      <c r="S720" s="62"/>
      <c r="T720" s="62"/>
    </row>
    <row r="721" spans="1:20" ht="15.75" customHeight="1" x14ac:dyDescent="0.3">
      <c r="A721" s="36"/>
      <c r="B721" s="36"/>
      <c r="C721" s="6"/>
      <c r="D721" s="36"/>
      <c r="E721" s="36"/>
      <c r="F721" s="6"/>
      <c r="G721" s="37"/>
      <c r="H721" s="36"/>
      <c r="I721" s="36"/>
      <c r="J721" s="60"/>
      <c r="L721" s="61"/>
      <c r="M721" s="61"/>
      <c r="N721" s="61"/>
      <c r="O721" s="61"/>
      <c r="P721" s="61"/>
      <c r="Q721" s="61"/>
      <c r="R721" s="62"/>
      <c r="S721" s="62"/>
      <c r="T721" s="62"/>
    </row>
    <row r="722" spans="1:20" ht="15.75" customHeight="1" x14ac:dyDescent="0.3">
      <c r="A722" s="36"/>
      <c r="B722" s="36"/>
      <c r="C722" s="6"/>
      <c r="D722" s="36"/>
      <c r="E722" s="36"/>
      <c r="F722" s="6"/>
      <c r="G722" s="37"/>
      <c r="H722" s="36"/>
      <c r="I722" s="36"/>
      <c r="J722" s="60"/>
      <c r="L722" s="61"/>
      <c r="M722" s="61"/>
      <c r="N722" s="61"/>
      <c r="O722" s="61"/>
      <c r="P722" s="61"/>
      <c r="Q722" s="61"/>
      <c r="R722" s="62"/>
      <c r="S722" s="62"/>
      <c r="T722" s="62"/>
    </row>
    <row r="723" spans="1:20" ht="15.75" customHeight="1" x14ac:dyDescent="0.3">
      <c r="A723" s="36"/>
      <c r="B723" s="36"/>
      <c r="C723" s="6"/>
      <c r="D723" s="36"/>
      <c r="E723" s="36"/>
      <c r="F723" s="6"/>
      <c r="G723" s="37"/>
      <c r="H723" s="36"/>
      <c r="I723" s="36"/>
      <c r="J723" s="60"/>
      <c r="L723" s="61"/>
      <c r="M723" s="61"/>
      <c r="N723" s="61"/>
      <c r="O723" s="61"/>
      <c r="P723" s="61"/>
      <c r="Q723" s="61"/>
      <c r="R723" s="62"/>
      <c r="S723" s="62"/>
      <c r="T723" s="62"/>
    </row>
    <row r="724" spans="1:20" ht="15.75" customHeight="1" x14ac:dyDescent="0.3">
      <c r="A724" s="36"/>
      <c r="B724" s="36"/>
      <c r="C724" s="6"/>
      <c r="D724" s="36"/>
      <c r="E724" s="36"/>
      <c r="F724" s="6"/>
      <c r="G724" s="37"/>
      <c r="H724" s="36"/>
      <c r="I724" s="36"/>
      <c r="J724" s="60"/>
      <c r="L724" s="61"/>
      <c r="M724" s="61"/>
      <c r="N724" s="61"/>
      <c r="O724" s="61"/>
      <c r="P724" s="61"/>
      <c r="Q724" s="61"/>
      <c r="R724" s="62"/>
      <c r="S724" s="62"/>
      <c r="T724" s="62"/>
    </row>
    <row r="725" spans="1:20" ht="15.75" customHeight="1" x14ac:dyDescent="0.3">
      <c r="A725" s="36"/>
      <c r="B725" s="36"/>
      <c r="C725" s="6"/>
      <c r="D725" s="36"/>
      <c r="E725" s="36"/>
      <c r="F725" s="6"/>
      <c r="G725" s="37"/>
      <c r="H725" s="36"/>
      <c r="I725" s="36"/>
      <c r="J725" s="60"/>
      <c r="L725" s="61"/>
      <c r="M725" s="61"/>
      <c r="N725" s="61"/>
      <c r="O725" s="61"/>
      <c r="P725" s="61"/>
      <c r="Q725" s="61"/>
      <c r="R725" s="62"/>
      <c r="S725" s="62"/>
      <c r="T725" s="62"/>
    </row>
    <row r="726" spans="1:20" ht="15.75" customHeight="1" x14ac:dyDescent="0.3">
      <c r="A726" s="36"/>
      <c r="B726" s="36"/>
      <c r="C726" s="6"/>
      <c r="D726" s="36"/>
      <c r="E726" s="36"/>
      <c r="F726" s="6"/>
      <c r="G726" s="37"/>
      <c r="H726" s="36"/>
      <c r="I726" s="36"/>
      <c r="J726" s="60"/>
      <c r="L726" s="61"/>
      <c r="M726" s="61"/>
      <c r="N726" s="61"/>
      <c r="O726" s="61"/>
      <c r="P726" s="61"/>
      <c r="Q726" s="61"/>
      <c r="R726" s="62"/>
      <c r="S726" s="62"/>
      <c r="T726" s="62"/>
    </row>
    <row r="727" spans="1:20" ht="15.75" customHeight="1" x14ac:dyDescent="0.3">
      <c r="A727" s="36"/>
      <c r="B727" s="36"/>
      <c r="C727" s="6"/>
      <c r="D727" s="36"/>
      <c r="E727" s="36"/>
      <c r="F727" s="6"/>
      <c r="G727" s="37"/>
      <c r="H727" s="36"/>
      <c r="I727" s="36"/>
      <c r="J727" s="60"/>
      <c r="L727" s="61"/>
      <c r="M727" s="61"/>
      <c r="N727" s="61"/>
      <c r="O727" s="61"/>
      <c r="P727" s="61"/>
      <c r="Q727" s="61"/>
      <c r="R727" s="62"/>
      <c r="S727" s="62"/>
      <c r="T727" s="62"/>
    </row>
    <row r="728" spans="1:20" ht="15.75" customHeight="1" x14ac:dyDescent="0.3">
      <c r="A728" s="36"/>
      <c r="B728" s="36"/>
      <c r="C728" s="6"/>
      <c r="D728" s="36"/>
      <c r="E728" s="36"/>
      <c r="F728" s="6"/>
      <c r="G728" s="37"/>
      <c r="H728" s="36"/>
      <c r="I728" s="36"/>
      <c r="J728" s="60"/>
      <c r="L728" s="61"/>
      <c r="M728" s="61"/>
      <c r="N728" s="61"/>
      <c r="O728" s="61"/>
      <c r="P728" s="61"/>
      <c r="Q728" s="61"/>
      <c r="R728" s="62"/>
      <c r="S728" s="62"/>
      <c r="T728" s="62"/>
    </row>
    <row r="729" spans="1:20" ht="15.75" customHeight="1" x14ac:dyDescent="0.3">
      <c r="A729" s="36"/>
      <c r="B729" s="36"/>
      <c r="C729" s="6"/>
      <c r="D729" s="36"/>
      <c r="E729" s="36"/>
      <c r="F729" s="6"/>
      <c r="G729" s="37"/>
      <c r="H729" s="36"/>
      <c r="I729" s="36"/>
      <c r="J729" s="60"/>
      <c r="L729" s="61"/>
      <c r="M729" s="61"/>
      <c r="N729" s="61"/>
      <c r="O729" s="61"/>
      <c r="P729" s="61"/>
      <c r="Q729" s="61"/>
      <c r="R729" s="62"/>
      <c r="S729" s="62"/>
      <c r="T729" s="62"/>
    </row>
    <row r="730" spans="1:20" ht="15.75" customHeight="1" x14ac:dyDescent="0.3">
      <c r="A730" s="36"/>
      <c r="B730" s="36"/>
      <c r="C730" s="6"/>
      <c r="D730" s="36"/>
      <c r="E730" s="36"/>
      <c r="F730" s="6"/>
      <c r="G730" s="37"/>
      <c r="H730" s="36"/>
      <c r="I730" s="36"/>
      <c r="J730" s="60"/>
      <c r="L730" s="61"/>
      <c r="M730" s="61"/>
      <c r="N730" s="61"/>
      <c r="O730" s="61"/>
      <c r="P730" s="61"/>
      <c r="Q730" s="61"/>
      <c r="R730" s="62"/>
      <c r="S730" s="62"/>
      <c r="T730" s="62"/>
    </row>
    <row r="731" spans="1:20" ht="15.75" customHeight="1" x14ac:dyDescent="0.3">
      <c r="A731" s="36"/>
      <c r="B731" s="36"/>
      <c r="C731" s="6"/>
      <c r="D731" s="36"/>
      <c r="E731" s="36"/>
      <c r="F731" s="6"/>
      <c r="G731" s="37"/>
      <c r="H731" s="36"/>
      <c r="I731" s="36"/>
      <c r="J731" s="60"/>
      <c r="L731" s="61"/>
      <c r="M731" s="61"/>
      <c r="N731" s="61"/>
      <c r="O731" s="61"/>
      <c r="P731" s="61"/>
      <c r="Q731" s="61"/>
      <c r="R731" s="62"/>
      <c r="S731" s="62"/>
      <c r="T731" s="62"/>
    </row>
    <row r="732" spans="1:20" ht="15.75" customHeight="1" x14ac:dyDescent="0.3">
      <c r="A732" s="36"/>
      <c r="B732" s="36"/>
      <c r="C732" s="6"/>
      <c r="D732" s="36"/>
      <c r="E732" s="36"/>
      <c r="F732" s="6"/>
      <c r="G732" s="37"/>
      <c r="H732" s="36"/>
      <c r="I732" s="36"/>
      <c r="J732" s="60"/>
      <c r="L732" s="61"/>
      <c r="M732" s="61"/>
      <c r="N732" s="61"/>
      <c r="O732" s="61"/>
      <c r="P732" s="61"/>
      <c r="Q732" s="61"/>
      <c r="R732" s="62"/>
      <c r="S732" s="62"/>
      <c r="T732" s="62"/>
    </row>
    <row r="733" spans="1:20" ht="15.75" customHeight="1" x14ac:dyDescent="0.3">
      <c r="A733" s="36"/>
      <c r="B733" s="36"/>
      <c r="C733" s="6"/>
      <c r="D733" s="36"/>
      <c r="E733" s="36"/>
      <c r="F733" s="6"/>
      <c r="G733" s="37"/>
      <c r="H733" s="36"/>
      <c r="I733" s="36"/>
      <c r="J733" s="60"/>
      <c r="L733" s="61"/>
      <c r="M733" s="61"/>
      <c r="N733" s="61"/>
      <c r="O733" s="61"/>
      <c r="P733" s="61"/>
      <c r="Q733" s="61"/>
      <c r="R733" s="62"/>
      <c r="S733" s="62"/>
      <c r="T733" s="62"/>
    </row>
    <row r="734" spans="1:20" ht="15.75" customHeight="1" x14ac:dyDescent="0.3">
      <c r="A734" s="36"/>
      <c r="B734" s="36"/>
      <c r="C734" s="6"/>
      <c r="D734" s="36"/>
      <c r="E734" s="36"/>
      <c r="F734" s="6"/>
      <c r="G734" s="37"/>
      <c r="H734" s="36"/>
      <c r="I734" s="36"/>
      <c r="J734" s="60"/>
      <c r="L734" s="61"/>
      <c r="M734" s="61"/>
      <c r="N734" s="61"/>
      <c r="O734" s="61"/>
      <c r="P734" s="61"/>
      <c r="Q734" s="61"/>
      <c r="R734" s="62"/>
      <c r="S734" s="62"/>
      <c r="T734" s="62"/>
    </row>
    <row r="735" spans="1:20" ht="15.75" customHeight="1" x14ac:dyDescent="0.3">
      <c r="A735" s="36"/>
      <c r="B735" s="36"/>
      <c r="C735" s="6"/>
      <c r="D735" s="36"/>
      <c r="E735" s="36"/>
      <c r="F735" s="6"/>
      <c r="G735" s="37"/>
      <c r="H735" s="36"/>
      <c r="I735" s="36"/>
      <c r="J735" s="60"/>
      <c r="L735" s="61"/>
      <c r="M735" s="61"/>
      <c r="N735" s="61"/>
      <c r="O735" s="61"/>
      <c r="P735" s="61"/>
      <c r="Q735" s="61"/>
      <c r="R735" s="62"/>
      <c r="S735" s="62"/>
      <c r="T735" s="62"/>
    </row>
    <row r="736" spans="1:20" ht="15.75" customHeight="1" x14ac:dyDescent="0.3">
      <c r="A736" s="36"/>
      <c r="B736" s="36"/>
      <c r="C736" s="6"/>
      <c r="D736" s="36"/>
      <c r="E736" s="36"/>
      <c r="F736" s="6"/>
      <c r="G736" s="37"/>
      <c r="H736" s="36"/>
      <c r="I736" s="36"/>
      <c r="J736" s="60"/>
      <c r="L736" s="61"/>
      <c r="M736" s="61"/>
      <c r="N736" s="61"/>
      <c r="O736" s="61"/>
      <c r="P736" s="61"/>
      <c r="Q736" s="61"/>
      <c r="R736" s="62"/>
      <c r="S736" s="62"/>
      <c r="T736" s="62"/>
    </row>
    <row r="737" spans="1:20" ht="15.75" customHeight="1" x14ac:dyDescent="0.3">
      <c r="A737" s="36"/>
      <c r="B737" s="36"/>
      <c r="C737" s="6"/>
      <c r="D737" s="36"/>
      <c r="E737" s="36"/>
      <c r="F737" s="6"/>
      <c r="G737" s="37"/>
      <c r="H737" s="36"/>
      <c r="I737" s="36"/>
      <c r="J737" s="60"/>
      <c r="L737" s="61"/>
      <c r="M737" s="61"/>
      <c r="N737" s="61"/>
      <c r="O737" s="61"/>
      <c r="P737" s="61"/>
      <c r="Q737" s="61"/>
      <c r="R737" s="62"/>
      <c r="S737" s="62"/>
      <c r="T737" s="62"/>
    </row>
    <row r="738" spans="1:20" ht="15.75" customHeight="1" x14ac:dyDescent="0.3">
      <c r="A738" s="36"/>
      <c r="B738" s="36"/>
      <c r="C738" s="6"/>
      <c r="D738" s="36"/>
      <c r="E738" s="36"/>
      <c r="F738" s="6"/>
      <c r="G738" s="37"/>
      <c r="H738" s="36"/>
      <c r="I738" s="36"/>
      <c r="J738" s="60"/>
      <c r="L738" s="61"/>
      <c r="M738" s="61"/>
      <c r="N738" s="61"/>
      <c r="O738" s="61"/>
      <c r="P738" s="61"/>
      <c r="Q738" s="61"/>
      <c r="R738" s="62"/>
      <c r="S738" s="62"/>
      <c r="T738" s="62"/>
    </row>
    <row r="739" spans="1:20" ht="15.75" customHeight="1" x14ac:dyDescent="0.3">
      <c r="A739" s="36"/>
      <c r="B739" s="36"/>
      <c r="C739" s="6"/>
      <c r="D739" s="36"/>
      <c r="E739" s="36"/>
      <c r="F739" s="6"/>
      <c r="G739" s="37"/>
      <c r="H739" s="36"/>
      <c r="I739" s="36"/>
      <c r="J739" s="60"/>
      <c r="L739" s="61"/>
      <c r="M739" s="61"/>
      <c r="N739" s="61"/>
      <c r="O739" s="61"/>
      <c r="P739" s="61"/>
      <c r="Q739" s="61"/>
      <c r="R739" s="62"/>
      <c r="S739" s="62"/>
      <c r="T739" s="62"/>
    </row>
    <row r="740" spans="1:20" ht="15.75" customHeight="1" x14ac:dyDescent="0.3">
      <c r="A740" s="36"/>
      <c r="B740" s="36"/>
      <c r="C740" s="6"/>
      <c r="D740" s="36"/>
      <c r="E740" s="36"/>
      <c r="F740" s="6"/>
      <c r="G740" s="37"/>
      <c r="H740" s="36"/>
      <c r="I740" s="36"/>
      <c r="J740" s="60"/>
      <c r="L740" s="61"/>
      <c r="M740" s="61"/>
      <c r="N740" s="61"/>
      <c r="O740" s="61"/>
      <c r="P740" s="61"/>
      <c r="Q740" s="61"/>
      <c r="R740" s="62"/>
      <c r="S740" s="62"/>
      <c r="T740" s="62"/>
    </row>
    <row r="741" spans="1:20" ht="15.75" customHeight="1" x14ac:dyDescent="0.3">
      <c r="A741" s="36"/>
      <c r="B741" s="36"/>
      <c r="C741" s="6"/>
      <c r="D741" s="36"/>
      <c r="E741" s="36"/>
      <c r="F741" s="6"/>
      <c r="G741" s="37"/>
      <c r="H741" s="36"/>
      <c r="I741" s="36"/>
      <c r="J741" s="60"/>
      <c r="L741" s="61"/>
      <c r="M741" s="61"/>
      <c r="N741" s="61"/>
      <c r="O741" s="61"/>
      <c r="P741" s="61"/>
      <c r="Q741" s="61"/>
      <c r="R741" s="62"/>
      <c r="S741" s="62"/>
      <c r="T741" s="62"/>
    </row>
    <row r="742" spans="1:20" ht="15.75" customHeight="1" x14ac:dyDescent="0.3">
      <c r="A742" s="36"/>
      <c r="B742" s="36"/>
      <c r="C742" s="6"/>
      <c r="D742" s="36"/>
      <c r="E742" s="36"/>
      <c r="F742" s="6"/>
      <c r="G742" s="37"/>
      <c r="H742" s="36"/>
      <c r="I742" s="36"/>
      <c r="J742" s="60"/>
      <c r="L742" s="61"/>
      <c r="M742" s="61"/>
      <c r="N742" s="61"/>
      <c r="O742" s="61"/>
      <c r="P742" s="61"/>
      <c r="Q742" s="61"/>
      <c r="R742" s="62"/>
      <c r="S742" s="62"/>
      <c r="T742" s="62"/>
    </row>
    <row r="743" spans="1:20" ht="15.75" customHeight="1" x14ac:dyDescent="0.3">
      <c r="A743" s="36"/>
      <c r="B743" s="36"/>
      <c r="C743" s="6"/>
      <c r="D743" s="36"/>
      <c r="E743" s="36"/>
      <c r="F743" s="6"/>
      <c r="G743" s="37"/>
      <c r="H743" s="36"/>
      <c r="I743" s="36"/>
      <c r="J743" s="60"/>
      <c r="L743" s="61"/>
      <c r="M743" s="61"/>
      <c r="N743" s="61"/>
      <c r="O743" s="61"/>
      <c r="P743" s="61"/>
      <c r="Q743" s="61"/>
      <c r="R743" s="62"/>
      <c r="S743" s="62"/>
      <c r="T743" s="62"/>
    </row>
    <row r="744" spans="1:20" ht="15.75" customHeight="1" x14ac:dyDescent="0.3">
      <c r="A744" s="36"/>
      <c r="B744" s="36"/>
      <c r="C744" s="6"/>
      <c r="D744" s="36"/>
      <c r="E744" s="36"/>
      <c r="F744" s="6"/>
      <c r="G744" s="37"/>
      <c r="H744" s="36"/>
      <c r="I744" s="36"/>
      <c r="J744" s="60"/>
      <c r="L744" s="61"/>
      <c r="M744" s="61"/>
      <c r="N744" s="61"/>
      <c r="O744" s="61"/>
      <c r="P744" s="61"/>
      <c r="Q744" s="61"/>
      <c r="R744" s="62"/>
      <c r="S744" s="62"/>
      <c r="T744" s="62"/>
    </row>
    <row r="745" spans="1:20" ht="15.75" customHeight="1" x14ac:dyDescent="0.3">
      <c r="A745" s="36"/>
      <c r="B745" s="36"/>
      <c r="C745" s="6"/>
      <c r="D745" s="36"/>
      <c r="E745" s="36"/>
      <c r="F745" s="6"/>
      <c r="G745" s="37"/>
      <c r="H745" s="36"/>
      <c r="I745" s="36"/>
      <c r="J745" s="60"/>
      <c r="L745" s="61"/>
      <c r="M745" s="61"/>
      <c r="N745" s="61"/>
      <c r="O745" s="61"/>
      <c r="P745" s="61"/>
      <c r="Q745" s="61"/>
      <c r="R745" s="62"/>
      <c r="S745" s="62"/>
      <c r="T745" s="62"/>
    </row>
    <row r="746" spans="1:20" ht="15.75" customHeight="1" x14ac:dyDescent="0.3">
      <c r="A746" s="36"/>
      <c r="B746" s="36"/>
      <c r="C746" s="6"/>
      <c r="D746" s="36"/>
      <c r="E746" s="36"/>
      <c r="F746" s="6"/>
      <c r="G746" s="37"/>
      <c r="H746" s="36"/>
      <c r="I746" s="36"/>
      <c r="J746" s="60"/>
      <c r="L746" s="61"/>
      <c r="M746" s="61"/>
      <c r="N746" s="61"/>
      <c r="O746" s="61"/>
      <c r="P746" s="61"/>
      <c r="Q746" s="61"/>
      <c r="R746" s="62"/>
      <c r="S746" s="62"/>
      <c r="T746" s="62"/>
    </row>
    <row r="747" spans="1:20" ht="15.75" customHeight="1" x14ac:dyDescent="0.3">
      <c r="A747" s="36"/>
      <c r="B747" s="36"/>
      <c r="C747" s="6"/>
      <c r="D747" s="36"/>
      <c r="E747" s="36"/>
      <c r="F747" s="6"/>
      <c r="G747" s="37"/>
      <c r="H747" s="36"/>
      <c r="I747" s="36"/>
      <c r="J747" s="60"/>
      <c r="L747" s="61"/>
      <c r="M747" s="61"/>
      <c r="N747" s="61"/>
      <c r="O747" s="61"/>
      <c r="P747" s="61"/>
      <c r="Q747" s="61"/>
      <c r="R747" s="62"/>
      <c r="S747" s="62"/>
      <c r="T747" s="62"/>
    </row>
    <row r="748" spans="1:20" ht="15.75" customHeight="1" x14ac:dyDescent="0.3">
      <c r="A748" s="36"/>
      <c r="B748" s="36"/>
      <c r="C748" s="6"/>
      <c r="D748" s="36"/>
      <c r="E748" s="36"/>
      <c r="F748" s="6"/>
      <c r="G748" s="37"/>
      <c r="H748" s="36"/>
      <c r="I748" s="36"/>
      <c r="J748" s="60"/>
      <c r="L748" s="61"/>
      <c r="M748" s="61"/>
      <c r="N748" s="61"/>
      <c r="O748" s="61"/>
      <c r="P748" s="61"/>
      <c r="Q748" s="61"/>
      <c r="R748" s="62"/>
      <c r="S748" s="62"/>
      <c r="T748" s="62"/>
    </row>
    <row r="749" spans="1:20" ht="15.75" customHeight="1" x14ac:dyDescent="0.3">
      <c r="A749" s="36"/>
      <c r="B749" s="36"/>
      <c r="C749" s="6"/>
      <c r="D749" s="36"/>
      <c r="E749" s="36"/>
      <c r="F749" s="6"/>
      <c r="G749" s="37"/>
      <c r="H749" s="36"/>
      <c r="I749" s="36"/>
      <c r="J749" s="60"/>
      <c r="L749" s="61"/>
      <c r="M749" s="61"/>
      <c r="N749" s="61"/>
      <c r="O749" s="61"/>
      <c r="P749" s="61"/>
      <c r="Q749" s="61"/>
      <c r="R749" s="62"/>
      <c r="S749" s="62"/>
      <c r="T749" s="62"/>
    </row>
    <row r="750" spans="1:20" ht="15.75" customHeight="1" x14ac:dyDescent="0.3">
      <c r="A750" s="36"/>
      <c r="B750" s="36"/>
      <c r="C750" s="6"/>
      <c r="D750" s="36"/>
      <c r="E750" s="36"/>
      <c r="F750" s="6"/>
      <c r="G750" s="37"/>
      <c r="H750" s="36"/>
      <c r="I750" s="36"/>
      <c r="J750" s="60"/>
      <c r="L750" s="61"/>
      <c r="M750" s="61"/>
      <c r="N750" s="61"/>
      <c r="O750" s="61"/>
      <c r="P750" s="61"/>
      <c r="Q750" s="61"/>
      <c r="R750" s="62"/>
      <c r="S750" s="62"/>
      <c r="T750" s="62"/>
    </row>
    <row r="751" spans="1:20" ht="15.75" customHeight="1" x14ac:dyDescent="0.3">
      <c r="A751" s="36"/>
      <c r="B751" s="36"/>
      <c r="C751" s="6"/>
      <c r="D751" s="36"/>
      <c r="E751" s="36"/>
      <c r="F751" s="6"/>
      <c r="G751" s="37"/>
      <c r="H751" s="36"/>
      <c r="I751" s="36"/>
      <c r="J751" s="60"/>
      <c r="L751" s="61"/>
      <c r="M751" s="61"/>
      <c r="N751" s="61"/>
      <c r="O751" s="61"/>
      <c r="P751" s="61"/>
      <c r="Q751" s="61"/>
      <c r="R751" s="62"/>
      <c r="S751" s="62"/>
      <c r="T751" s="62"/>
    </row>
    <row r="752" spans="1:20" ht="15.75" customHeight="1" x14ac:dyDescent="0.3">
      <c r="A752" s="36"/>
      <c r="B752" s="36"/>
      <c r="C752" s="6"/>
      <c r="D752" s="36"/>
      <c r="E752" s="36"/>
      <c r="F752" s="6"/>
      <c r="G752" s="37"/>
      <c r="H752" s="36"/>
      <c r="I752" s="36"/>
      <c r="J752" s="60"/>
      <c r="L752" s="61"/>
      <c r="M752" s="61"/>
      <c r="N752" s="61"/>
      <c r="O752" s="61"/>
      <c r="P752" s="61"/>
      <c r="Q752" s="61"/>
      <c r="R752" s="62"/>
      <c r="S752" s="62"/>
      <c r="T752" s="62"/>
    </row>
    <row r="753" spans="1:20" ht="15.75" customHeight="1" x14ac:dyDescent="0.3">
      <c r="A753" s="36"/>
      <c r="B753" s="36"/>
      <c r="C753" s="6"/>
      <c r="D753" s="36"/>
      <c r="E753" s="36"/>
      <c r="F753" s="6"/>
      <c r="G753" s="37"/>
      <c r="H753" s="36"/>
      <c r="I753" s="36"/>
      <c r="J753" s="60"/>
      <c r="L753" s="61"/>
      <c r="M753" s="61"/>
      <c r="N753" s="61"/>
      <c r="O753" s="61"/>
      <c r="P753" s="61"/>
      <c r="Q753" s="61"/>
      <c r="R753" s="62"/>
      <c r="S753" s="62"/>
      <c r="T753" s="62"/>
    </row>
    <row r="754" spans="1:20" ht="15.75" customHeight="1" x14ac:dyDescent="0.3">
      <c r="A754" s="36"/>
      <c r="B754" s="36"/>
      <c r="C754" s="6"/>
      <c r="D754" s="36"/>
      <c r="E754" s="36"/>
      <c r="F754" s="6"/>
      <c r="G754" s="37"/>
      <c r="H754" s="36"/>
      <c r="I754" s="36"/>
      <c r="J754" s="60"/>
      <c r="L754" s="61"/>
      <c r="M754" s="61"/>
      <c r="N754" s="61"/>
      <c r="O754" s="61"/>
      <c r="P754" s="61"/>
      <c r="Q754" s="61"/>
      <c r="R754" s="62"/>
      <c r="S754" s="62"/>
      <c r="T754" s="62"/>
    </row>
    <row r="755" spans="1:20" ht="15.75" customHeight="1" x14ac:dyDescent="0.3">
      <c r="A755" s="36"/>
      <c r="B755" s="36"/>
      <c r="C755" s="6"/>
      <c r="D755" s="36"/>
      <c r="E755" s="36"/>
      <c r="F755" s="6"/>
      <c r="G755" s="37"/>
      <c r="H755" s="36"/>
      <c r="I755" s="36"/>
      <c r="J755" s="60"/>
      <c r="L755" s="61"/>
      <c r="M755" s="61"/>
      <c r="N755" s="61"/>
      <c r="O755" s="61"/>
      <c r="P755" s="61"/>
      <c r="Q755" s="61"/>
      <c r="R755" s="62"/>
      <c r="S755" s="62"/>
      <c r="T755" s="62"/>
    </row>
    <row r="756" spans="1:20" ht="15.75" customHeight="1" x14ac:dyDescent="0.3">
      <c r="A756" s="36"/>
      <c r="B756" s="36"/>
      <c r="C756" s="6"/>
      <c r="D756" s="36"/>
      <c r="E756" s="36"/>
      <c r="F756" s="6"/>
      <c r="G756" s="37"/>
      <c r="H756" s="36"/>
      <c r="I756" s="36"/>
      <c r="J756" s="60"/>
      <c r="L756" s="61"/>
      <c r="M756" s="61"/>
      <c r="N756" s="61"/>
      <c r="O756" s="61"/>
      <c r="P756" s="61"/>
      <c r="Q756" s="61"/>
      <c r="R756" s="62"/>
      <c r="S756" s="62"/>
      <c r="T756" s="62"/>
    </row>
    <row r="757" spans="1:20" ht="15.75" customHeight="1" x14ac:dyDescent="0.3">
      <c r="A757" s="36"/>
      <c r="B757" s="36"/>
      <c r="C757" s="6"/>
      <c r="D757" s="36"/>
      <c r="E757" s="36"/>
      <c r="F757" s="6"/>
      <c r="G757" s="37"/>
      <c r="H757" s="36"/>
      <c r="I757" s="36"/>
      <c r="J757" s="60"/>
      <c r="L757" s="61"/>
      <c r="M757" s="61"/>
      <c r="N757" s="61"/>
      <c r="O757" s="61"/>
      <c r="P757" s="61"/>
      <c r="Q757" s="61"/>
      <c r="R757" s="62"/>
      <c r="S757" s="62"/>
      <c r="T757" s="62"/>
    </row>
    <row r="758" spans="1:20" ht="15.75" customHeight="1" x14ac:dyDescent="0.3">
      <c r="A758" s="36"/>
      <c r="B758" s="36"/>
      <c r="C758" s="6"/>
      <c r="D758" s="36"/>
      <c r="E758" s="36"/>
      <c r="F758" s="6"/>
      <c r="G758" s="37"/>
      <c r="H758" s="36"/>
      <c r="I758" s="36"/>
      <c r="J758" s="60"/>
      <c r="L758" s="61"/>
      <c r="M758" s="61"/>
      <c r="N758" s="61"/>
      <c r="O758" s="61"/>
      <c r="P758" s="61"/>
      <c r="Q758" s="61"/>
      <c r="R758" s="62"/>
      <c r="S758" s="62"/>
      <c r="T758" s="62"/>
    </row>
    <row r="759" spans="1:20" ht="15.75" customHeight="1" x14ac:dyDescent="0.3">
      <c r="A759" s="36"/>
      <c r="B759" s="36"/>
      <c r="C759" s="6"/>
      <c r="D759" s="36"/>
      <c r="E759" s="36"/>
      <c r="F759" s="6"/>
      <c r="G759" s="37"/>
      <c r="H759" s="36"/>
      <c r="I759" s="36"/>
      <c r="J759" s="60"/>
      <c r="L759" s="61"/>
      <c r="M759" s="61"/>
      <c r="N759" s="61"/>
      <c r="O759" s="61"/>
      <c r="P759" s="61"/>
      <c r="Q759" s="61"/>
      <c r="R759" s="62"/>
      <c r="S759" s="62"/>
      <c r="T759" s="62"/>
    </row>
    <row r="760" spans="1:20" ht="15.75" customHeight="1" x14ac:dyDescent="0.3">
      <c r="A760" s="36"/>
      <c r="B760" s="36"/>
      <c r="C760" s="6"/>
      <c r="D760" s="36"/>
      <c r="E760" s="36"/>
      <c r="F760" s="6"/>
      <c r="G760" s="37"/>
      <c r="H760" s="36"/>
      <c r="I760" s="36"/>
      <c r="J760" s="60"/>
      <c r="L760" s="61"/>
      <c r="M760" s="61"/>
      <c r="N760" s="61"/>
      <c r="O760" s="61"/>
      <c r="P760" s="61"/>
      <c r="Q760" s="61"/>
      <c r="R760" s="62"/>
      <c r="S760" s="62"/>
      <c r="T760" s="62"/>
    </row>
    <row r="761" spans="1:20" ht="15.75" customHeight="1" x14ac:dyDescent="0.3">
      <c r="A761" s="36"/>
      <c r="B761" s="36"/>
      <c r="C761" s="6"/>
      <c r="D761" s="36"/>
      <c r="E761" s="36"/>
      <c r="F761" s="6"/>
      <c r="G761" s="37"/>
      <c r="H761" s="36"/>
      <c r="I761" s="36"/>
      <c r="J761" s="60"/>
      <c r="L761" s="61"/>
      <c r="M761" s="61"/>
      <c r="N761" s="61"/>
      <c r="O761" s="61"/>
      <c r="P761" s="61"/>
      <c r="Q761" s="61"/>
      <c r="R761" s="62"/>
      <c r="S761" s="62"/>
      <c r="T761" s="62"/>
    </row>
    <row r="762" spans="1:20" ht="15.75" customHeight="1" x14ac:dyDescent="0.3">
      <c r="A762" s="36"/>
      <c r="B762" s="36"/>
      <c r="C762" s="6"/>
      <c r="D762" s="36"/>
      <c r="E762" s="36"/>
      <c r="F762" s="6"/>
      <c r="G762" s="37"/>
      <c r="H762" s="36"/>
      <c r="I762" s="36"/>
      <c r="J762" s="60"/>
      <c r="L762" s="61"/>
      <c r="M762" s="61"/>
      <c r="N762" s="61"/>
      <c r="O762" s="61"/>
      <c r="P762" s="61"/>
      <c r="Q762" s="61"/>
      <c r="R762" s="62"/>
      <c r="S762" s="62"/>
      <c r="T762" s="62"/>
    </row>
    <row r="763" spans="1:20" ht="15.75" customHeight="1" x14ac:dyDescent="0.3">
      <c r="A763" s="36"/>
      <c r="B763" s="36"/>
      <c r="C763" s="6"/>
      <c r="D763" s="36"/>
      <c r="E763" s="36"/>
      <c r="F763" s="6"/>
      <c r="G763" s="37"/>
      <c r="H763" s="36"/>
      <c r="I763" s="36"/>
      <c r="J763" s="60"/>
      <c r="L763" s="61"/>
      <c r="M763" s="61"/>
      <c r="N763" s="61"/>
      <c r="O763" s="61"/>
      <c r="P763" s="61"/>
      <c r="Q763" s="61"/>
      <c r="R763" s="62"/>
      <c r="S763" s="62"/>
      <c r="T763" s="62"/>
    </row>
    <row r="764" spans="1:20" ht="15.75" customHeight="1" x14ac:dyDescent="0.3">
      <c r="A764" s="36"/>
      <c r="B764" s="36"/>
      <c r="C764" s="6"/>
      <c r="D764" s="36"/>
      <c r="E764" s="36"/>
      <c r="F764" s="6"/>
      <c r="G764" s="37"/>
      <c r="H764" s="36"/>
      <c r="I764" s="36"/>
      <c r="J764" s="60"/>
      <c r="L764" s="61"/>
      <c r="M764" s="61"/>
      <c r="N764" s="61"/>
      <c r="O764" s="61"/>
      <c r="P764" s="61"/>
      <c r="Q764" s="61"/>
      <c r="R764" s="62"/>
      <c r="S764" s="62"/>
      <c r="T764" s="62"/>
    </row>
    <row r="765" spans="1:20" ht="15.75" customHeight="1" x14ac:dyDescent="0.3">
      <c r="A765" s="36"/>
      <c r="B765" s="36"/>
      <c r="C765" s="6"/>
      <c r="D765" s="36"/>
      <c r="E765" s="36"/>
      <c r="F765" s="6"/>
      <c r="G765" s="37"/>
      <c r="H765" s="36"/>
      <c r="I765" s="36"/>
      <c r="J765" s="60"/>
      <c r="L765" s="61"/>
      <c r="M765" s="61"/>
      <c r="N765" s="61"/>
      <c r="O765" s="61"/>
      <c r="P765" s="61"/>
      <c r="Q765" s="61"/>
      <c r="R765" s="62"/>
      <c r="S765" s="62"/>
      <c r="T765" s="62"/>
    </row>
    <row r="766" spans="1:20" ht="15.75" customHeight="1" x14ac:dyDescent="0.3">
      <c r="A766" s="36"/>
      <c r="B766" s="36"/>
      <c r="C766" s="6"/>
      <c r="D766" s="36"/>
      <c r="E766" s="36"/>
      <c r="F766" s="6"/>
      <c r="G766" s="37"/>
      <c r="H766" s="36"/>
      <c r="I766" s="36"/>
      <c r="J766" s="60"/>
      <c r="L766" s="61"/>
      <c r="M766" s="61"/>
      <c r="N766" s="61"/>
      <c r="O766" s="61"/>
      <c r="P766" s="61"/>
      <c r="Q766" s="61"/>
      <c r="R766" s="62"/>
      <c r="S766" s="62"/>
      <c r="T766" s="62"/>
    </row>
    <row r="767" spans="1:20" ht="15.75" customHeight="1" x14ac:dyDescent="0.3">
      <c r="A767" s="36"/>
      <c r="B767" s="36"/>
      <c r="C767" s="6"/>
      <c r="D767" s="36"/>
      <c r="E767" s="36"/>
      <c r="F767" s="6"/>
      <c r="G767" s="37"/>
      <c r="H767" s="36"/>
      <c r="I767" s="36"/>
      <c r="J767" s="60"/>
      <c r="L767" s="61"/>
      <c r="M767" s="61"/>
      <c r="N767" s="61"/>
      <c r="O767" s="61"/>
      <c r="P767" s="61"/>
      <c r="Q767" s="61"/>
      <c r="R767" s="62"/>
      <c r="S767" s="62"/>
      <c r="T767" s="62"/>
    </row>
    <row r="768" spans="1:20" ht="15.75" customHeight="1" x14ac:dyDescent="0.3">
      <c r="A768" s="36"/>
      <c r="B768" s="36"/>
      <c r="C768" s="6"/>
      <c r="D768" s="36"/>
      <c r="E768" s="36"/>
      <c r="F768" s="6"/>
      <c r="G768" s="37"/>
      <c r="H768" s="36"/>
      <c r="I768" s="36"/>
      <c r="J768" s="60"/>
      <c r="L768" s="61"/>
      <c r="M768" s="61"/>
      <c r="N768" s="61"/>
      <c r="O768" s="61"/>
      <c r="P768" s="61"/>
      <c r="Q768" s="61"/>
      <c r="R768" s="62"/>
      <c r="S768" s="62"/>
      <c r="T768" s="62"/>
    </row>
    <row r="769" spans="1:20" ht="15.75" customHeight="1" x14ac:dyDescent="0.3">
      <c r="A769" s="36"/>
      <c r="B769" s="36"/>
      <c r="C769" s="6"/>
      <c r="D769" s="36"/>
      <c r="E769" s="36"/>
      <c r="F769" s="6"/>
      <c r="G769" s="37"/>
      <c r="H769" s="36"/>
      <c r="I769" s="36"/>
      <c r="J769" s="60"/>
      <c r="L769" s="61"/>
      <c r="M769" s="61"/>
      <c r="N769" s="61"/>
      <c r="O769" s="61"/>
      <c r="P769" s="61"/>
      <c r="Q769" s="61"/>
      <c r="R769" s="62"/>
      <c r="S769" s="62"/>
      <c r="T769" s="62"/>
    </row>
    <row r="770" spans="1:20" ht="15.75" customHeight="1" x14ac:dyDescent="0.3">
      <c r="A770" s="36"/>
      <c r="B770" s="36"/>
      <c r="C770" s="6"/>
      <c r="D770" s="36"/>
      <c r="E770" s="36"/>
      <c r="F770" s="6"/>
      <c r="G770" s="37"/>
      <c r="H770" s="36"/>
      <c r="I770" s="36"/>
      <c r="J770" s="60"/>
      <c r="L770" s="61"/>
      <c r="M770" s="61"/>
      <c r="N770" s="61"/>
      <c r="O770" s="61"/>
      <c r="P770" s="61"/>
      <c r="Q770" s="61"/>
      <c r="R770" s="62"/>
      <c r="S770" s="62"/>
      <c r="T770" s="62"/>
    </row>
    <row r="771" spans="1:20" ht="15.75" customHeight="1" x14ac:dyDescent="0.3">
      <c r="A771" s="36"/>
      <c r="B771" s="36"/>
      <c r="C771" s="6"/>
      <c r="D771" s="36"/>
      <c r="E771" s="36"/>
      <c r="F771" s="6"/>
      <c r="G771" s="37"/>
      <c r="H771" s="36"/>
      <c r="I771" s="36"/>
      <c r="J771" s="60"/>
      <c r="L771" s="61"/>
      <c r="M771" s="61"/>
      <c r="N771" s="61"/>
      <c r="O771" s="61"/>
      <c r="P771" s="61"/>
      <c r="Q771" s="61"/>
      <c r="R771" s="62"/>
      <c r="S771" s="62"/>
      <c r="T771" s="62"/>
    </row>
    <row r="772" spans="1:20" ht="15.75" customHeight="1" x14ac:dyDescent="0.3">
      <c r="A772" s="36"/>
      <c r="B772" s="36"/>
      <c r="C772" s="6"/>
      <c r="D772" s="36"/>
      <c r="E772" s="36"/>
      <c r="F772" s="6"/>
      <c r="G772" s="37"/>
      <c r="H772" s="36"/>
      <c r="I772" s="36"/>
      <c r="J772" s="60"/>
      <c r="L772" s="61"/>
      <c r="M772" s="61"/>
      <c r="N772" s="61"/>
      <c r="O772" s="61"/>
      <c r="P772" s="61"/>
      <c r="Q772" s="61"/>
      <c r="R772" s="62"/>
      <c r="S772" s="62"/>
      <c r="T772" s="62"/>
    </row>
    <row r="773" spans="1:20" ht="15.75" customHeight="1" x14ac:dyDescent="0.3">
      <c r="A773" s="36"/>
      <c r="B773" s="36"/>
      <c r="C773" s="6"/>
      <c r="D773" s="36"/>
      <c r="E773" s="36"/>
      <c r="F773" s="6"/>
      <c r="G773" s="37"/>
      <c r="H773" s="36"/>
      <c r="I773" s="36"/>
      <c r="J773" s="60"/>
      <c r="L773" s="61"/>
      <c r="M773" s="61"/>
      <c r="N773" s="61"/>
      <c r="O773" s="61"/>
      <c r="P773" s="61"/>
      <c r="Q773" s="61"/>
      <c r="R773" s="62"/>
      <c r="S773" s="62"/>
      <c r="T773" s="62"/>
    </row>
    <row r="774" spans="1:20" ht="15.75" customHeight="1" x14ac:dyDescent="0.3">
      <c r="A774" s="36"/>
      <c r="B774" s="36"/>
      <c r="C774" s="6"/>
      <c r="D774" s="36"/>
      <c r="E774" s="36"/>
      <c r="F774" s="6"/>
      <c r="G774" s="37"/>
      <c r="H774" s="36"/>
      <c r="I774" s="36"/>
      <c r="J774" s="60"/>
      <c r="L774" s="61"/>
      <c r="M774" s="61"/>
      <c r="N774" s="61"/>
      <c r="O774" s="61"/>
      <c r="P774" s="61"/>
      <c r="Q774" s="61"/>
      <c r="R774" s="62"/>
      <c r="S774" s="62"/>
      <c r="T774" s="62"/>
    </row>
    <row r="775" spans="1:20" ht="15.75" customHeight="1" x14ac:dyDescent="0.3">
      <c r="A775" s="36"/>
      <c r="B775" s="36"/>
      <c r="C775" s="6"/>
      <c r="D775" s="36"/>
      <c r="E775" s="36"/>
      <c r="F775" s="6"/>
      <c r="G775" s="37"/>
      <c r="H775" s="36"/>
      <c r="I775" s="36"/>
      <c r="J775" s="60"/>
      <c r="L775" s="61"/>
      <c r="M775" s="61"/>
      <c r="N775" s="61"/>
      <c r="O775" s="61"/>
      <c r="P775" s="61"/>
      <c r="Q775" s="61"/>
      <c r="R775" s="62"/>
      <c r="S775" s="62"/>
      <c r="T775" s="62"/>
    </row>
    <row r="776" spans="1:20" ht="15.75" customHeight="1" x14ac:dyDescent="0.3">
      <c r="A776" s="36"/>
      <c r="B776" s="36"/>
      <c r="C776" s="6"/>
      <c r="D776" s="36"/>
      <c r="E776" s="36"/>
      <c r="F776" s="6"/>
      <c r="G776" s="37"/>
      <c r="H776" s="36"/>
      <c r="I776" s="36"/>
      <c r="J776" s="60"/>
      <c r="L776" s="61"/>
      <c r="M776" s="61"/>
      <c r="N776" s="61"/>
      <c r="O776" s="61"/>
      <c r="P776" s="61"/>
      <c r="Q776" s="61"/>
      <c r="R776" s="62"/>
      <c r="S776" s="62"/>
      <c r="T776" s="62"/>
    </row>
    <row r="777" spans="1:20" ht="15.75" customHeight="1" x14ac:dyDescent="0.3">
      <c r="A777" s="36"/>
      <c r="B777" s="36"/>
      <c r="C777" s="6"/>
      <c r="D777" s="36"/>
      <c r="E777" s="36"/>
      <c r="F777" s="6"/>
      <c r="G777" s="37"/>
      <c r="H777" s="36"/>
      <c r="I777" s="36"/>
      <c r="J777" s="60"/>
      <c r="L777" s="61"/>
      <c r="M777" s="61"/>
      <c r="N777" s="61"/>
      <c r="O777" s="61"/>
      <c r="P777" s="61"/>
      <c r="Q777" s="61"/>
      <c r="R777" s="62"/>
      <c r="S777" s="62"/>
      <c r="T777" s="62"/>
    </row>
    <row r="778" spans="1:20" ht="15.75" customHeight="1" x14ac:dyDescent="0.3">
      <c r="A778" s="36"/>
      <c r="B778" s="36"/>
      <c r="C778" s="6"/>
      <c r="D778" s="36"/>
      <c r="E778" s="36"/>
      <c r="F778" s="6"/>
      <c r="G778" s="37"/>
      <c r="H778" s="36"/>
      <c r="I778" s="36"/>
      <c r="J778" s="60"/>
      <c r="L778" s="61"/>
      <c r="M778" s="61"/>
      <c r="N778" s="61"/>
      <c r="O778" s="61"/>
      <c r="P778" s="61"/>
      <c r="Q778" s="61"/>
      <c r="R778" s="62"/>
      <c r="S778" s="62"/>
      <c r="T778" s="62"/>
    </row>
    <row r="779" spans="1:20" ht="15.75" customHeight="1" x14ac:dyDescent="0.3">
      <c r="A779" s="36"/>
      <c r="B779" s="36"/>
      <c r="C779" s="6"/>
      <c r="D779" s="36"/>
      <c r="E779" s="36"/>
      <c r="F779" s="6"/>
      <c r="G779" s="37"/>
      <c r="H779" s="36"/>
      <c r="I779" s="36"/>
      <c r="J779" s="60"/>
      <c r="L779" s="61"/>
      <c r="M779" s="61"/>
      <c r="N779" s="61"/>
      <c r="O779" s="61"/>
      <c r="P779" s="61"/>
      <c r="Q779" s="61"/>
      <c r="R779" s="62"/>
      <c r="S779" s="62"/>
      <c r="T779" s="62"/>
    </row>
    <row r="780" spans="1:20" ht="15.75" customHeight="1" x14ac:dyDescent="0.3">
      <c r="A780" s="36"/>
      <c r="B780" s="36"/>
      <c r="C780" s="6"/>
      <c r="D780" s="36"/>
      <c r="E780" s="36"/>
      <c r="F780" s="6"/>
      <c r="G780" s="37"/>
      <c r="H780" s="36"/>
      <c r="I780" s="36"/>
      <c r="J780" s="60"/>
      <c r="L780" s="61"/>
      <c r="M780" s="61"/>
      <c r="N780" s="61"/>
      <c r="O780" s="61"/>
      <c r="P780" s="61"/>
      <c r="Q780" s="61"/>
      <c r="R780" s="62"/>
      <c r="S780" s="62"/>
      <c r="T780" s="62"/>
    </row>
    <row r="781" spans="1:20" ht="15.75" customHeight="1" x14ac:dyDescent="0.3">
      <c r="A781" s="36"/>
      <c r="B781" s="36"/>
      <c r="C781" s="6"/>
      <c r="D781" s="36"/>
      <c r="E781" s="36"/>
      <c r="F781" s="6"/>
      <c r="G781" s="37"/>
      <c r="H781" s="36"/>
      <c r="I781" s="36"/>
      <c r="J781" s="60"/>
      <c r="L781" s="61"/>
      <c r="M781" s="61"/>
      <c r="N781" s="61"/>
      <c r="O781" s="61"/>
      <c r="P781" s="61"/>
      <c r="Q781" s="61"/>
      <c r="R781" s="62"/>
      <c r="S781" s="62"/>
      <c r="T781" s="62"/>
    </row>
    <row r="782" spans="1:20" ht="15.75" customHeight="1" x14ac:dyDescent="0.3">
      <c r="A782" s="36"/>
      <c r="B782" s="36"/>
      <c r="C782" s="6"/>
      <c r="D782" s="36"/>
      <c r="E782" s="36"/>
      <c r="F782" s="6"/>
      <c r="G782" s="37"/>
      <c r="H782" s="36"/>
      <c r="I782" s="36"/>
      <c r="J782" s="60"/>
      <c r="L782" s="61"/>
      <c r="M782" s="61"/>
      <c r="N782" s="61"/>
      <c r="O782" s="61"/>
      <c r="P782" s="61"/>
      <c r="Q782" s="61"/>
      <c r="R782" s="62"/>
      <c r="S782" s="62"/>
      <c r="T782" s="62"/>
    </row>
    <row r="783" spans="1:20" ht="15.75" customHeight="1" x14ac:dyDescent="0.3">
      <c r="A783" s="36"/>
      <c r="B783" s="36"/>
      <c r="C783" s="6"/>
      <c r="D783" s="36"/>
      <c r="E783" s="36"/>
      <c r="F783" s="6"/>
      <c r="G783" s="37"/>
      <c r="H783" s="36"/>
      <c r="I783" s="36"/>
      <c r="J783" s="60"/>
      <c r="L783" s="61"/>
      <c r="M783" s="61"/>
      <c r="N783" s="61"/>
      <c r="O783" s="61"/>
      <c r="P783" s="61"/>
      <c r="Q783" s="61"/>
      <c r="R783" s="62"/>
      <c r="S783" s="62"/>
      <c r="T783" s="62"/>
    </row>
    <row r="784" spans="1:20" ht="15.75" customHeight="1" x14ac:dyDescent="0.3">
      <c r="A784" s="36"/>
      <c r="B784" s="36"/>
      <c r="C784" s="6"/>
      <c r="D784" s="36"/>
      <c r="E784" s="36"/>
      <c r="F784" s="6"/>
      <c r="G784" s="37"/>
      <c r="H784" s="36"/>
      <c r="I784" s="36"/>
      <c r="J784" s="60"/>
      <c r="L784" s="61"/>
      <c r="M784" s="61"/>
      <c r="N784" s="61"/>
      <c r="O784" s="61"/>
      <c r="P784" s="61"/>
      <c r="Q784" s="61"/>
      <c r="R784" s="62"/>
      <c r="S784" s="62"/>
      <c r="T784" s="62"/>
    </row>
    <row r="785" spans="1:20" ht="15.75" customHeight="1" x14ac:dyDescent="0.3">
      <c r="A785" s="36"/>
      <c r="B785" s="36"/>
      <c r="C785" s="6"/>
      <c r="D785" s="36"/>
      <c r="E785" s="36"/>
      <c r="F785" s="6"/>
      <c r="G785" s="37"/>
      <c r="H785" s="36"/>
      <c r="I785" s="36"/>
      <c r="J785" s="60"/>
      <c r="L785" s="61"/>
      <c r="M785" s="61"/>
      <c r="N785" s="61"/>
      <c r="O785" s="61"/>
      <c r="P785" s="61"/>
      <c r="Q785" s="61"/>
      <c r="R785" s="62"/>
      <c r="S785" s="62"/>
      <c r="T785" s="62"/>
    </row>
    <row r="786" spans="1:20" ht="15.75" customHeight="1" x14ac:dyDescent="0.3">
      <c r="A786" s="36"/>
      <c r="B786" s="36"/>
      <c r="C786" s="6"/>
      <c r="D786" s="36"/>
      <c r="E786" s="36"/>
      <c r="F786" s="6"/>
      <c r="G786" s="37"/>
      <c r="H786" s="36"/>
      <c r="I786" s="36"/>
      <c r="J786" s="60"/>
      <c r="L786" s="61"/>
      <c r="M786" s="61"/>
      <c r="N786" s="61"/>
      <c r="O786" s="61"/>
      <c r="P786" s="61"/>
      <c r="Q786" s="61"/>
      <c r="R786" s="62"/>
      <c r="S786" s="62"/>
      <c r="T786" s="62"/>
    </row>
    <row r="787" spans="1:20" ht="15.75" customHeight="1" x14ac:dyDescent="0.3">
      <c r="A787" s="36"/>
      <c r="B787" s="36"/>
      <c r="C787" s="6"/>
      <c r="D787" s="36"/>
      <c r="E787" s="36"/>
      <c r="F787" s="6"/>
      <c r="G787" s="37"/>
      <c r="H787" s="36"/>
      <c r="I787" s="36"/>
      <c r="J787" s="60"/>
      <c r="L787" s="61"/>
      <c r="M787" s="61"/>
      <c r="N787" s="61"/>
      <c r="O787" s="61"/>
      <c r="P787" s="61"/>
      <c r="Q787" s="61"/>
      <c r="R787" s="62"/>
      <c r="S787" s="62"/>
      <c r="T787" s="62"/>
    </row>
    <row r="788" spans="1:20" ht="15.75" customHeight="1" x14ac:dyDescent="0.3">
      <c r="A788" s="36"/>
      <c r="B788" s="36"/>
      <c r="C788" s="6"/>
      <c r="D788" s="36"/>
      <c r="E788" s="36"/>
      <c r="F788" s="6"/>
      <c r="G788" s="37"/>
      <c r="H788" s="36"/>
      <c r="I788" s="36"/>
      <c r="J788" s="60"/>
      <c r="L788" s="61"/>
      <c r="M788" s="61"/>
      <c r="N788" s="61"/>
      <c r="O788" s="61"/>
      <c r="P788" s="61"/>
      <c r="Q788" s="61"/>
      <c r="R788" s="62"/>
      <c r="S788" s="62"/>
      <c r="T788" s="62"/>
    </row>
    <row r="789" spans="1:20" ht="15.75" customHeight="1" x14ac:dyDescent="0.3">
      <c r="A789" s="36"/>
      <c r="B789" s="36"/>
      <c r="C789" s="6"/>
      <c r="D789" s="36"/>
      <c r="E789" s="36"/>
      <c r="F789" s="6"/>
      <c r="G789" s="37"/>
      <c r="H789" s="36"/>
      <c r="I789" s="36"/>
      <c r="J789" s="60"/>
      <c r="L789" s="61"/>
      <c r="M789" s="61"/>
      <c r="N789" s="61"/>
      <c r="O789" s="61"/>
      <c r="P789" s="61"/>
      <c r="Q789" s="61"/>
      <c r="R789" s="62"/>
      <c r="S789" s="62"/>
      <c r="T789" s="62"/>
    </row>
    <row r="790" spans="1:20" ht="15.75" customHeight="1" x14ac:dyDescent="0.3">
      <c r="A790" s="36"/>
      <c r="B790" s="36"/>
      <c r="C790" s="6"/>
      <c r="D790" s="36"/>
      <c r="E790" s="36"/>
      <c r="F790" s="6"/>
      <c r="G790" s="37"/>
      <c r="H790" s="36"/>
      <c r="I790" s="36"/>
      <c r="J790" s="60"/>
      <c r="L790" s="61"/>
      <c r="M790" s="61"/>
      <c r="N790" s="61"/>
      <c r="O790" s="61"/>
      <c r="P790" s="61"/>
      <c r="Q790" s="61"/>
      <c r="R790" s="62"/>
      <c r="S790" s="62"/>
      <c r="T790" s="62"/>
    </row>
    <row r="791" spans="1:20" ht="15.75" customHeight="1" x14ac:dyDescent="0.3">
      <c r="A791" s="36"/>
      <c r="B791" s="36"/>
      <c r="C791" s="6"/>
      <c r="D791" s="36"/>
      <c r="E791" s="36"/>
      <c r="F791" s="6"/>
      <c r="G791" s="37"/>
      <c r="H791" s="36"/>
      <c r="I791" s="36"/>
      <c r="J791" s="60"/>
      <c r="L791" s="61"/>
      <c r="M791" s="61"/>
      <c r="N791" s="61"/>
      <c r="O791" s="61"/>
      <c r="P791" s="61"/>
      <c r="Q791" s="61"/>
      <c r="R791" s="62"/>
      <c r="S791" s="62"/>
      <c r="T791" s="62"/>
    </row>
    <row r="792" spans="1:20" ht="15.75" customHeight="1" x14ac:dyDescent="0.3">
      <c r="A792" s="36"/>
      <c r="B792" s="36"/>
      <c r="C792" s="6"/>
      <c r="D792" s="36"/>
      <c r="E792" s="36"/>
      <c r="F792" s="6"/>
      <c r="G792" s="37"/>
      <c r="H792" s="36"/>
      <c r="I792" s="36"/>
      <c r="J792" s="60"/>
      <c r="L792" s="61"/>
      <c r="M792" s="61"/>
      <c r="N792" s="61"/>
      <c r="O792" s="61"/>
      <c r="P792" s="61"/>
      <c r="Q792" s="61"/>
      <c r="R792" s="62"/>
      <c r="S792" s="62"/>
      <c r="T792" s="62"/>
    </row>
    <row r="793" spans="1:20" ht="15.75" customHeight="1" x14ac:dyDescent="0.3">
      <c r="A793" s="36"/>
      <c r="B793" s="36"/>
      <c r="C793" s="6"/>
      <c r="D793" s="36"/>
      <c r="E793" s="36"/>
      <c r="F793" s="6"/>
      <c r="G793" s="37"/>
      <c r="H793" s="36"/>
      <c r="I793" s="36"/>
      <c r="J793" s="60"/>
      <c r="L793" s="61"/>
      <c r="M793" s="61"/>
      <c r="N793" s="61"/>
      <c r="O793" s="61"/>
      <c r="P793" s="61"/>
      <c r="Q793" s="61"/>
      <c r="R793" s="62"/>
      <c r="S793" s="62"/>
      <c r="T793" s="62"/>
    </row>
    <row r="794" spans="1:20" ht="15.75" customHeight="1" x14ac:dyDescent="0.3">
      <c r="A794" s="36"/>
      <c r="B794" s="36"/>
      <c r="C794" s="6"/>
      <c r="D794" s="36"/>
      <c r="E794" s="36"/>
      <c r="F794" s="6"/>
      <c r="G794" s="37"/>
      <c r="H794" s="36"/>
      <c r="I794" s="36"/>
      <c r="J794" s="60"/>
      <c r="L794" s="61"/>
      <c r="M794" s="61"/>
      <c r="N794" s="61"/>
      <c r="O794" s="61"/>
      <c r="P794" s="61"/>
      <c r="Q794" s="61"/>
      <c r="R794" s="62"/>
      <c r="S794" s="62"/>
      <c r="T794" s="62"/>
    </row>
    <row r="795" spans="1:20" ht="15.75" customHeight="1" x14ac:dyDescent="0.3">
      <c r="A795" s="36"/>
      <c r="B795" s="36"/>
      <c r="C795" s="6"/>
      <c r="D795" s="36"/>
      <c r="E795" s="36"/>
      <c r="F795" s="6"/>
      <c r="G795" s="37"/>
      <c r="H795" s="36"/>
      <c r="I795" s="36"/>
      <c r="J795" s="60"/>
      <c r="L795" s="61"/>
      <c r="M795" s="61"/>
      <c r="N795" s="61"/>
      <c r="O795" s="61"/>
      <c r="P795" s="61"/>
      <c r="Q795" s="61"/>
      <c r="R795" s="62"/>
      <c r="S795" s="62"/>
      <c r="T795" s="62"/>
    </row>
    <row r="796" spans="1:20" ht="15.75" customHeight="1" x14ac:dyDescent="0.3">
      <c r="A796" s="36"/>
      <c r="B796" s="36"/>
      <c r="C796" s="6"/>
      <c r="D796" s="36"/>
      <c r="E796" s="36"/>
      <c r="F796" s="6"/>
      <c r="G796" s="37"/>
      <c r="H796" s="36"/>
      <c r="I796" s="36"/>
      <c r="J796" s="60"/>
      <c r="L796" s="61"/>
      <c r="M796" s="61"/>
      <c r="N796" s="61"/>
      <c r="O796" s="61"/>
      <c r="P796" s="61"/>
      <c r="Q796" s="61"/>
      <c r="R796" s="62"/>
      <c r="S796" s="62"/>
      <c r="T796" s="62"/>
    </row>
    <row r="797" spans="1:20" ht="15.75" customHeight="1" x14ac:dyDescent="0.3">
      <c r="A797" s="36"/>
      <c r="B797" s="36"/>
      <c r="C797" s="6"/>
      <c r="D797" s="36"/>
      <c r="E797" s="36"/>
      <c r="F797" s="6"/>
      <c r="G797" s="37"/>
      <c r="H797" s="36"/>
      <c r="I797" s="36"/>
      <c r="J797" s="60"/>
      <c r="L797" s="61"/>
      <c r="M797" s="61"/>
      <c r="N797" s="61"/>
      <c r="O797" s="61"/>
      <c r="P797" s="61"/>
      <c r="Q797" s="61"/>
      <c r="R797" s="62"/>
      <c r="S797" s="62"/>
      <c r="T797" s="62"/>
    </row>
    <row r="798" spans="1:20" ht="15.75" customHeight="1" x14ac:dyDescent="0.3">
      <c r="A798" s="36"/>
      <c r="B798" s="36"/>
      <c r="C798" s="6"/>
      <c r="D798" s="36"/>
      <c r="E798" s="36"/>
      <c r="F798" s="6"/>
      <c r="G798" s="37"/>
      <c r="H798" s="36"/>
      <c r="I798" s="36"/>
      <c r="J798" s="60"/>
      <c r="L798" s="61"/>
      <c r="M798" s="61"/>
      <c r="N798" s="61"/>
      <c r="O798" s="61"/>
      <c r="P798" s="61"/>
      <c r="Q798" s="61"/>
      <c r="R798" s="62"/>
      <c r="S798" s="62"/>
      <c r="T798" s="62"/>
    </row>
    <row r="799" spans="1:20" ht="15.75" customHeight="1" x14ac:dyDescent="0.3">
      <c r="A799" s="36"/>
      <c r="B799" s="36"/>
      <c r="C799" s="6"/>
      <c r="D799" s="36"/>
      <c r="E799" s="36"/>
      <c r="F799" s="6"/>
      <c r="G799" s="37"/>
      <c r="H799" s="36"/>
      <c r="I799" s="36"/>
      <c r="J799" s="60"/>
      <c r="L799" s="61"/>
      <c r="M799" s="61"/>
      <c r="N799" s="61"/>
      <c r="O799" s="61"/>
      <c r="P799" s="61"/>
      <c r="Q799" s="61"/>
      <c r="R799" s="62"/>
      <c r="S799" s="62"/>
      <c r="T799" s="62"/>
    </row>
    <row r="800" spans="1:20" ht="15.75" customHeight="1" x14ac:dyDescent="0.3">
      <c r="A800" s="36"/>
      <c r="B800" s="36"/>
      <c r="C800" s="6"/>
      <c r="D800" s="36"/>
      <c r="E800" s="36"/>
      <c r="F800" s="6"/>
      <c r="G800" s="37"/>
      <c r="H800" s="36"/>
      <c r="I800" s="36"/>
      <c r="J800" s="60"/>
      <c r="L800" s="61"/>
      <c r="M800" s="61"/>
      <c r="N800" s="61"/>
      <c r="O800" s="61"/>
      <c r="P800" s="61"/>
      <c r="Q800" s="61"/>
      <c r="R800" s="62"/>
      <c r="S800" s="62"/>
      <c r="T800" s="62"/>
    </row>
    <row r="801" spans="1:20" ht="15.75" customHeight="1" x14ac:dyDescent="0.3">
      <c r="A801" s="36"/>
      <c r="B801" s="36"/>
      <c r="C801" s="6"/>
      <c r="D801" s="36"/>
      <c r="E801" s="36"/>
      <c r="F801" s="6"/>
      <c r="G801" s="37"/>
      <c r="H801" s="36"/>
      <c r="I801" s="36"/>
      <c r="J801" s="60"/>
      <c r="L801" s="61"/>
      <c r="M801" s="61"/>
      <c r="N801" s="61"/>
      <c r="O801" s="61"/>
      <c r="P801" s="61"/>
      <c r="Q801" s="61"/>
      <c r="R801" s="62"/>
      <c r="S801" s="62"/>
      <c r="T801" s="62"/>
    </row>
    <row r="802" spans="1:20" ht="15.75" customHeight="1" x14ac:dyDescent="0.3">
      <c r="A802" s="36"/>
      <c r="B802" s="36"/>
      <c r="C802" s="6"/>
      <c r="D802" s="36"/>
      <c r="E802" s="36"/>
      <c r="F802" s="6"/>
      <c r="G802" s="37"/>
      <c r="H802" s="36"/>
      <c r="I802" s="36"/>
      <c r="J802" s="60"/>
      <c r="L802" s="61"/>
      <c r="M802" s="61"/>
      <c r="N802" s="61"/>
      <c r="O802" s="61"/>
      <c r="P802" s="61"/>
      <c r="Q802" s="61"/>
      <c r="R802" s="62"/>
      <c r="S802" s="62"/>
      <c r="T802" s="62"/>
    </row>
    <row r="803" spans="1:20" ht="15.75" customHeight="1" x14ac:dyDescent="0.3">
      <c r="A803" s="36"/>
      <c r="B803" s="36"/>
      <c r="C803" s="6"/>
      <c r="D803" s="36"/>
      <c r="E803" s="36"/>
      <c r="F803" s="6"/>
      <c r="G803" s="37"/>
      <c r="H803" s="36"/>
      <c r="I803" s="36"/>
      <c r="J803" s="60"/>
      <c r="L803" s="61"/>
      <c r="M803" s="61"/>
      <c r="N803" s="61"/>
      <c r="O803" s="61"/>
      <c r="P803" s="61"/>
      <c r="Q803" s="61"/>
      <c r="R803" s="62"/>
      <c r="S803" s="62"/>
      <c r="T803" s="62"/>
    </row>
    <row r="804" spans="1:20" ht="15.75" customHeight="1" x14ac:dyDescent="0.3">
      <c r="A804" s="36"/>
      <c r="B804" s="36"/>
      <c r="C804" s="6"/>
      <c r="D804" s="36"/>
      <c r="E804" s="36"/>
      <c r="F804" s="6"/>
      <c r="G804" s="37"/>
      <c r="H804" s="36"/>
      <c r="I804" s="36"/>
      <c r="J804" s="60"/>
      <c r="L804" s="61"/>
      <c r="M804" s="61"/>
      <c r="N804" s="61"/>
      <c r="O804" s="61"/>
      <c r="P804" s="61"/>
      <c r="Q804" s="61"/>
      <c r="R804" s="62"/>
      <c r="S804" s="62"/>
      <c r="T804" s="62"/>
    </row>
    <row r="805" spans="1:20" ht="15.75" customHeight="1" x14ac:dyDescent="0.3">
      <c r="A805" s="36"/>
      <c r="B805" s="36"/>
      <c r="C805" s="6"/>
      <c r="D805" s="36"/>
      <c r="E805" s="36"/>
      <c r="F805" s="6"/>
      <c r="G805" s="37"/>
      <c r="H805" s="36"/>
      <c r="I805" s="36"/>
      <c r="J805" s="60"/>
      <c r="L805" s="61"/>
      <c r="M805" s="61"/>
      <c r="N805" s="61"/>
      <c r="O805" s="61"/>
      <c r="P805" s="61"/>
      <c r="Q805" s="61"/>
      <c r="R805" s="62"/>
      <c r="S805" s="62"/>
      <c r="T805" s="62"/>
    </row>
    <row r="806" spans="1:20" ht="15.75" customHeight="1" x14ac:dyDescent="0.3">
      <c r="A806" s="36"/>
      <c r="B806" s="36"/>
      <c r="C806" s="6"/>
      <c r="D806" s="36"/>
      <c r="E806" s="36"/>
      <c r="F806" s="6"/>
      <c r="G806" s="37"/>
      <c r="H806" s="36"/>
      <c r="I806" s="36"/>
      <c r="J806" s="60"/>
      <c r="L806" s="61"/>
      <c r="M806" s="61"/>
      <c r="N806" s="61"/>
      <c r="O806" s="61"/>
      <c r="P806" s="61"/>
      <c r="Q806" s="61"/>
      <c r="R806" s="62"/>
      <c r="S806" s="62"/>
      <c r="T806" s="62"/>
    </row>
    <row r="807" spans="1:20" ht="15.75" customHeight="1" x14ac:dyDescent="0.3">
      <c r="A807" s="36"/>
      <c r="B807" s="36"/>
      <c r="C807" s="6"/>
      <c r="D807" s="36"/>
      <c r="E807" s="36"/>
      <c r="F807" s="6"/>
      <c r="G807" s="37"/>
      <c r="H807" s="36"/>
      <c r="I807" s="36"/>
      <c r="J807" s="60"/>
      <c r="L807" s="61"/>
      <c r="M807" s="61"/>
      <c r="N807" s="61"/>
      <c r="O807" s="61"/>
      <c r="P807" s="61"/>
      <c r="Q807" s="61"/>
      <c r="R807" s="62"/>
      <c r="S807" s="62"/>
      <c r="T807" s="62"/>
    </row>
    <row r="808" spans="1:20" ht="15.75" customHeight="1" x14ac:dyDescent="0.3">
      <c r="A808" s="36"/>
      <c r="B808" s="36"/>
      <c r="C808" s="6"/>
      <c r="D808" s="36"/>
      <c r="E808" s="36"/>
      <c r="F808" s="6"/>
      <c r="G808" s="37"/>
      <c r="H808" s="36"/>
      <c r="I808" s="36"/>
      <c r="J808" s="60"/>
      <c r="L808" s="61"/>
      <c r="M808" s="61"/>
      <c r="N808" s="61"/>
      <c r="O808" s="61"/>
      <c r="P808" s="61"/>
      <c r="Q808" s="61"/>
      <c r="R808" s="62"/>
      <c r="S808" s="62"/>
      <c r="T808" s="62"/>
    </row>
    <row r="809" spans="1:20" ht="15.75" customHeight="1" x14ac:dyDescent="0.3">
      <c r="A809" s="36"/>
      <c r="B809" s="36"/>
      <c r="C809" s="6"/>
      <c r="D809" s="36"/>
      <c r="E809" s="36"/>
      <c r="F809" s="6"/>
      <c r="G809" s="37"/>
      <c r="H809" s="36"/>
      <c r="I809" s="36"/>
      <c r="J809" s="60"/>
      <c r="L809" s="61"/>
      <c r="M809" s="61"/>
      <c r="N809" s="61"/>
      <c r="O809" s="61"/>
      <c r="P809" s="61"/>
      <c r="Q809" s="61"/>
      <c r="R809" s="62"/>
      <c r="S809" s="62"/>
      <c r="T809" s="62"/>
    </row>
    <row r="810" spans="1:20" ht="15.75" customHeight="1" x14ac:dyDescent="0.3">
      <c r="A810" s="36"/>
      <c r="B810" s="36"/>
      <c r="C810" s="6"/>
      <c r="D810" s="36"/>
      <c r="E810" s="36"/>
      <c r="F810" s="6"/>
      <c r="G810" s="37"/>
      <c r="H810" s="36"/>
      <c r="I810" s="36"/>
      <c r="J810" s="60"/>
      <c r="L810" s="61"/>
      <c r="M810" s="61"/>
      <c r="N810" s="61"/>
      <c r="O810" s="61"/>
      <c r="P810" s="61"/>
      <c r="Q810" s="61"/>
      <c r="R810" s="62"/>
      <c r="S810" s="62"/>
      <c r="T810" s="62"/>
    </row>
    <row r="811" spans="1:20" ht="15.75" customHeight="1" x14ac:dyDescent="0.3">
      <c r="A811" s="36"/>
      <c r="B811" s="36"/>
      <c r="C811" s="6"/>
      <c r="D811" s="36"/>
      <c r="E811" s="36"/>
      <c r="F811" s="6"/>
      <c r="G811" s="37"/>
      <c r="H811" s="36"/>
      <c r="I811" s="36"/>
      <c r="J811" s="60"/>
      <c r="L811" s="61"/>
      <c r="M811" s="61"/>
      <c r="N811" s="61"/>
      <c r="O811" s="61"/>
      <c r="P811" s="61"/>
      <c r="Q811" s="61"/>
      <c r="R811" s="62"/>
      <c r="S811" s="62"/>
      <c r="T811" s="62"/>
    </row>
    <row r="812" spans="1:20" ht="15.75" customHeight="1" x14ac:dyDescent="0.3">
      <c r="A812" s="36"/>
      <c r="B812" s="36"/>
      <c r="C812" s="6"/>
      <c r="D812" s="36"/>
      <c r="E812" s="36"/>
      <c r="F812" s="6"/>
      <c r="G812" s="37"/>
      <c r="H812" s="36"/>
      <c r="I812" s="36"/>
      <c r="J812" s="60"/>
      <c r="L812" s="61"/>
      <c r="M812" s="61"/>
      <c r="N812" s="61"/>
      <c r="O812" s="61"/>
      <c r="P812" s="61"/>
      <c r="Q812" s="61"/>
      <c r="R812" s="62"/>
      <c r="S812" s="62"/>
      <c r="T812" s="62"/>
    </row>
    <row r="813" spans="1:20" ht="15.75" customHeight="1" x14ac:dyDescent="0.3">
      <c r="A813" s="36"/>
      <c r="B813" s="36"/>
      <c r="C813" s="6"/>
      <c r="D813" s="36"/>
      <c r="E813" s="36"/>
      <c r="F813" s="6"/>
      <c r="G813" s="37"/>
      <c r="H813" s="36"/>
      <c r="I813" s="36"/>
      <c r="J813" s="60"/>
      <c r="L813" s="61"/>
      <c r="M813" s="61"/>
      <c r="N813" s="61"/>
      <c r="O813" s="61"/>
      <c r="P813" s="61"/>
      <c r="Q813" s="61"/>
      <c r="R813" s="62"/>
      <c r="S813" s="62"/>
      <c r="T813" s="62"/>
    </row>
    <row r="814" spans="1:20" ht="15.75" customHeight="1" x14ac:dyDescent="0.3">
      <c r="A814" s="36"/>
      <c r="B814" s="36"/>
      <c r="C814" s="6"/>
      <c r="D814" s="36"/>
      <c r="E814" s="36"/>
      <c r="F814" s="6"/>
      <c r="G814" s="37"/>
      <c r="H814" s="36"/>
      <c r="I814" s="36"/>
      <c r="J814" s="60"/>
      <c r="L814" s="61"/>
      <c r="M814" s="61"/>
      <c r="N814" s="61"/>
      <c r="O814" s="61"/>
      <c r="P814" s="61"/>
      <c r="Q814" s="61"/>
      <c r="R814" s="62"/>
      <c r="S814" s="62"/>
      <c r="T814" s="62"/>
    </row>
    <row r="815" spans="1:20" ht="15.75" customHeight="1" x14ac:dyDescent="0.3">
      <c r="A815" s="36"/>
      <c r="B815" s="36"/>
      <c r="C815" s="6"/>
      <c r="D815" s="36"/>
      <c r="E815" s="36"/>
      <c r="F815" s="6"/>
      <c r="G815" s="37"/>
      <c r="H815" s="36"/>
      <c r="I815" s="36"/>
      <c r="J815" s="60"/>
      <c r="L815" s="61"/>
      <c r="M815" s="61"/>
      <c r="N815" s="61"/>
      <c r="O815" s="61"/>
      <c r="P815" s="61"/>
      <c r="Q815" s="61"/>
      <c r="R815" s="62"/>
      <c r="S815" s="62"/>
      <c r="T815" s="62"/>
    </row>
    <row r="816" spans="1:20" ht="15.75" customHeight="1" x14ac:dyDescent="0.3">
      <c r="A816" s="36"/>
      <c r="B816" s="36"/>
      <c r="C816" s="6"/>
      <c r="D816" s="36"/>
      <c r="E816" s="36"/>
      <c r="F816" s="6"/>
      <c r="G816" s="37"/>
      <c r="H816" s="36"/>
      <c r="I816" s="36"/>
      <c r="J816" s="60"/>
      <c r="L816" s="61"/>
      <c r="M816" s="61"/>
      <c r="N816" s="61"/>
      <c r="O816" s="61"/>
      <c r="P816" s="61"/>
      <c r="Q816" s="61"/>
      <c r="R816" s="62"/>
      <c r="S816" s="62"/>
      <c r="T816" s="62"/>
    </row>
    <row r="817" spans="1:20" ht="15.75" customHeight="1" x14ac:dyDescent="0.3">
      <c r="A817" s="36"/>
      <c r="B817" s="36"/>
      <c r="C817" s="6"/>
      <c r="D817" s="36"/>
      <c r="E817" s="36"/>
      <c r="F817" s="6"/>
      <c r="G817" s="37"/>
      <c r="H817" s="36"/>
      <c r="I817" s="36"/>
      <c r="J817" s="60"/>
      <c r="L817" s="61"/>
      <c r="M817" s="61"/>
      <c r="N817" s="61"/>
      <c r="O817" s="61"/>
      <c r="P817" s="61"/>
      <c r="Q817" s="61"/>
      <c r="R817" s="62"/>
      <c r="S817" s="62"/>
      <c r="T817" s="62"/>
    </row>
    <row r="818" spans="1:20" ht="15.75" customHeight="1" x14ac:dyDescent="0.3">
      <c r="A818" s="36"/>
      <c r="B818" s="36"/>
      <c r="C818" s="6"/>
      <c r="D818" s="36"/>
      <c r="E818" s="36"/>
      <c r="F818" s="6"/>
      <c r="G818" s="37"/>
      <c r="H818" s="36"/>
      <c r="I818" s="36"/>
      <c r="J818" s="60"/>
      <c r="L818" s="61"/>
      <c r="M818" s="61"/>
      <c r="N818" s="61"/>
      <c r="O818" s="61"/>
      <c r="P818" s="61"/>
      <c r="Q818" s="61"/>
      <c r="R818" s="62"/>
      <c r="S818" s="62"/>
      <c r="T818" s="62"/>
    </row>
    <row r="819" spans="1:20" ht="15.75" customHeight="1" x14ac:dyDescent="0.3">
      <c r="A819" s="36"/>
      <c r="B819" s="36"/>
      <c r="C819" s="6"/>
      <c r="D819" s="36"/>
      <c r="E819" s="36"/>
      <c r="F819" s="6"/>
      <c r="G819" s="37"/>
      <c r="H819" s="36"/>
      <c r="I819" s="36"/>
      <c r="J819" s="60"/>
      <c r="L819" s="61"/>
      <c r="M819" s="61"/>
      <c r="N819" s="61"/>
      <c r="O819" s="61"/>
      <c r="P819" s="61"/>
      <c r="Q819" s="61"/>
      <c r="R819" s="62"/>
      <c r="S819" s="62"/>
      <c r="T819" s="62"/>
    </row>
    <row r="820" spans="1:20" ht="15.75" customHeight="1" x14ac:dyDescent="0.3">
      <c r="A820" s="36"/>
      <c r="B820" s="36"/>
      <c r="C820" s="6"/>
      <c r="D820" s="36"/>
      <c r="E820" s="36"/>
      <c r="F820" s="6"/>
      <c r="G820" s="37"/>
      <c r="H820" s="36"/>
      <c r="I820" s="36"/>
      <c r="J820" s="60"/>
      <c r="L820" s="61"/>
      <c r="M820" s="61"/>
      <c r="N820" s="61"/>
      <c r="O820" s="61"/>
      <c r="P820" s="61"/>
      <c r="Q820" s="61"/>
      <c r="R820" s="62"/>
      <c r="S820" s="62"/>
      <c r="T820" s="62"/>
    </row>
    <row r="821" spans="1:20" ht="15.75" customHeight="1" x14ac:dyDescent="0.3">
      <c r="A821" s="36"/>
      <c r="B821" s="36"/>
      <c r="C821" s="6"/>
      <c r="D821" s="36"/>
      <c r="E821" s="36"/>
      <c r="F821" s="6"/>
      <c r="G821" s="37"/>
      <c r="H821" s="36"/>
      <c r="I821" s="36"/>
      <c r="J821" s="60"/>
      <c r="L821" s="61"/>
      <c r="M821" s="61"/>
      <c r="N821" s="61"/>
      <c r="O821" s="61"/>
      <c r="P821" s="61"/>
      <c r="Q821" s="61"/>
      <c r="R821" s="62"/>
      <c r="S821" s="62"/>
      <c r="T821" s="62"/>
    </row>
    <row r="822" spans="1:20" ht="15.75" customHeight="1" x14ac:dyDescent="0.3">
      <c r="A822" s="36"/>
      <c r="B822" s="36"/>
      <c r="C822" s="6"/>
      <c r="D822" s="36"/>
      <c r="E822" s="36"/>
      <c r="F822" s="6"/>
      <c r="G822" s="37"/>
      <c r="H822" s="36"/>
      <c r="I822" s="36"/>
      <c r="J822" s="60"/>
      <c r="L822" s="61"/>
      <c r="M822" s="61"/>
      <c r="N822" s="61"/>
      <c r="O822" s="61"/>
      <c r="P822" s="61"/>
      <c r="Q822" s="61"/>
      <c r="R822" s="62"/>
      <c r="S822" s="62"/>
      <c r="T822" s="62"/>
    </row>
    <row r="823" spans="1:20" ht="15.75" customHeight="1" x14ac:dyDescent="0.3">
      <c r="A823" s="36"/>
      <c r="B823" s="36"/>
      <c r="C823" s="6"/>
      <c r="D823" s="36"/>
      <c r="E823" s="36"/>
      <c r="F823" s="6"/>
      <c r="G823" s="37"/>
      <c r="H823" s="36"/>
      <c r="I823" s="36"/>
      <c r="J823" s="60"/>
      <c r="L823" s="61"/>
      <c r="M823" s="61"/>
      <c r="N823" s="61"/>
      <c r="O823" s="61"/>
      <c r="P823" s="61"/>
      <c r="Q823" s="61"/>
      <c r="R823" s="62"/>
      <c r="S823" s="62"/>
      <c r="T823" s="62"/>
    </row>
    <row r="824" spans="1:20" ht="15.75" customHeight="1" x14ac:dyDescent="0.3">
      <c r="A824" s="36"/>
      <c r="B824" s="36"/>
      <c r="C824" s="6"/>
      <c r="D824" s="36"/>
      <c r="E824" s="36"/>
      <c r="F824" s="6"/>
      <c r="G824" s="37"/>
      <c r="H824" s="36"/>
      <c r="I824" s="36"/>
      <c r="J824" s="60"/>
      <c r="L824" s="61"/>
      <c r="M824" s="61"/>
      <c r="N824" s="61"/>
      <c r="O824" s="61"/>
      <c r="P824" s="61"/>
      <c r="Q824" s="61"/>
      <c r="R824" s="62"/>
      <c r="S824" s="62"/>
      <c r="T824" s="62"/>
    </row>
    <row r="825" spans="1:20" ht="15.75" customHeight="1" x14ac:dyDescent="0.3">
      <c r="A825" s="36"/>
      <c r="B825" s="36"/>
      <c r="C825" s="6"/>
      <c r="D825" s="36"/>
      <c r="E825" s="36"/>
      <c r="F825" s="6"/>
      <c r="G825" s="37"/>
      <c r="H825" s="36"/>
      <c r="I825" s="36"/>
      <c r="J825" s="60"/>
      <c r="L825" s="61"/>
      <c r="M825" s="61"/>
      <c r="N825" s="61"/>
      <c r="O825" s="61"/>
      <c r="P825" s="61"/>
      <c r="Q825" s="61"/>
      <c r="R825" s="62"/>
      <c r="S825" s="62"/>
      <c r="T825" s="62"/>
    </row>
    <row r="826" spans="1:20" ht="15.75" customHeight="1" x14ac:dyDescent="0.3">
      <c r="A826" s="36"/>
      <c r="B826" s="36"/>
      <c r="C826" s="6"/>
      <c r="D826" s="36"/>
      <c r="E826" s="36"/>
      <c r="F826" s="6"/>
      <c r="G826" s="37"/>
      <c r="H826" s="36"/>
      <c r="I826" s="36"/>
      <c r="J826" s="60"/>
      <c r="L826" s="61"/>
      <c r="M826" s="61"/>
      <c r="N826" s="61"/>
      <c r="O826" s="61"/>
      <c r="P826" s="61"/>
      <c r="Q826" s="61"/>
      <c r="R826" s="62"/>
      <c r="S826" s="62"/>
      <c r="T826" s="62"/>
    </row>
    <row r="827" spans="1:20" ht="15.75" customHeight="1" x14ac:dyDescent="0.3">
      <c r="A827" s="36"/>
      <c r="B827" s="36"/>
      <c r="C827" s="6"/>
      <c r="D827" s="36"/>
      <c r="E827" s="36"/>
      <c r="F827" s="6"/>
      <c r="G827" s="37"/>
      <c r="H827" s="36"/>
      <c r="I827" s="36"/>
      <c r="J827" s="60"/>
      <c r="L827" s="61"/>
      <c r="M827" s="61"/>
      <c r="N827" s="61"/>
      <c r="O827" s="61"/>
      <c r="P827" s="61"/>
      <c r="Q827" s="61"/>
      <c r="R827" s="62"/>
      <c r="S827" s="62"/>
      <c r="T827" s="62"/>
    </row>
    <row r="828" spans="1:20" ht="15.75" customHeight="1" x14ac:dyDescent="0.3">
      <c r="A828" s="36"/>
      <c r="B828" s="36"/>
      <c r="C828" s="6"/>
      <c r="D828" s="36"/>
      <c r="E828" s="36"/>
      <c r="F828" s="6"/>
      <c r="G828" s="37"/>
      <c r="H828" s="36"/>
      <c r="I828" s="36"/>
      <c r="J828" s="60"/>
      <c r="L828" s="61"/>
      <c r="M828" s="61"/>
      <c r="N828" s="61"/>
      <c r="O828" s="61"/>
      <c r="P828" s="61"/>
      <c r="Q828" s="61"/>
      <c r="R828" s="62"/>
      <c r="S828" s="62"/>
      <c r="T828" s="62"/>
    </row>
    <row r="829" spans="1:20" ht="15.75" customHeight="1" x14ac:dyDescent="0.3">
      <c r="A829" s="36"/>
      <c r="B829" s="36"/>
      <c r="C829" s="6"/>
      <c r="D829" s="36"/>
      <c r="E829" s="36"/>
      <c r="F829" s="6"/>
      <c r="G829" s="37"/>
      <c r="H829" s="36"/>
      <c r="I829" s="36"/>
      <c r="J829" s="60"/>
      <c r="L829" s="61"/>
      <c r="M829" s="61"/>
      <c r="N829" s="61"/>
      <c r="O829" s="61"/>
      <c r="P829" s="61"/>
      <c r="Q829" s="61"/>
      <c r="R829" s="62"/>
      <c r="S829" s="62"/>
      <c r="T829" s="62"/>
    </row>
    <row r="830" spans="1:20" ht="15.75" customHeight="1" x14ac:dyDescent="0.3">
      <c r="A830" s="36"/>
      <c r="B830" s="36"/>
      <c r="C830" s="6"/>
      <c r="D830" s="36"/>
      <c r="E830" s="36"/>
      <c r="F830" s="6"/>
      <c r="G830" s="37"/>
      <c r="H830" s="36"/>
      <c r="I830" s="36"/>
      <c r="J830" s="60"/>
      <c r="L830" s="61"/>
      <c r="M830" s="61"/>
      <c r="N830" s="61"/>
      <c r="O830" s="61"/>
      <c r="P830" s="61"/>
      <c r="Q830" s="61"/>
      <c r="R830" s="62"/>
      <c r="S830" s="62"/>
      <c r="T830" s="62"/>
    </row>
    <row r="831" spans="1:20" ht="15.75" customHeight="1" x14ac:dyDescent="0.3">
      <c r="A831" s="36"/>
      <c r="B831" s="36"/>
      <c r="C831" s="6"/>
      <c r="D831" s="36"/>
      <c r="E831" s="36"/>
      <c r="F831" s="6"/>
      <c r="G831" s="37"/>
      <c r="H831" s="36"/>
      <c r="I831" s="36"/>
      <c r="J831" s="60"/>
      <c r="L831" s="61"/>
      <c r="M831" s="61"/>
      <c r="N831" s="61"/>
      <c r="O831" s="61"/>
      <c r="P831" s="61"/>
      <c r="Q831" s="61"/>
      <c r="R831" s="62"/>
      <c r="S831" s="62"/>
      <c r="T831" s="62"/>
    </row>
    <row r="832" spans="1:20" ht="15.75" customHeight="1" x14ac:dyDescent="0.3">
      <c r="A832" s="36"/>
      <c r="B832" s="36"/>
      <c r="C832" s="6"/>
      <c r="D832" s="36"/>
      <c r="E832" s="36"/>
      <c r="F832" s="6"/>
      <c r="G832" s="37"/>
      <c r="H832" s="36"/>
      <c r="I832" s="36"/>
      <c r="J832" s="60"/>
      <c r="L832" s="61"/>
      <c r="M832" s="61"/>
      <c r="N832" s="61"/>
      <c r="O832" s="61"/>
      <c r="P832" s="61"/>
      <c r="Q832" s="61"/>
      <c r="R832" s="62"/>
      <c r="S832" s="62"/>
      <c r="T832" s="62"/>
    </row>
    <row r="833" spans="1:20" ht="15.75" customHeight="1" x14ac:dyDescent="0.3">
      <c r="A833" s="36"/>
      <c r="B833" s="36"/>
      <c r="C833" s="6"/>
      <c r="D833" s="36"/>
      <c r="E833" s="36"/>
      <c r="F833" s="6"/>
      <c r="G833" s="37"/>
      <c r="H833" s="36"/>
      <c r="I833" s="36"/>
      <c r="J833" s="60"/>
      <c r="L833" s="61"/>
      <c r="M833" s="61"/>
      <c r="N833" s="61"/>
      <c r="O833" s="61"/>
      <c r="P833" s="61"/>
      <c r="Q833" s="61"/>
      <c r="R833" s="62"/>
      <c r="S833" s="62"/>
      <c r="T833" s="62"/>
    </row>
    <row r="834" spans="1:20" ht="15.75" customHeight="1" x14ac:dyDescent="0.3">
      <c r="A834" s="36"/>
      <c r="B834" s="36"/>
      <c r="C834" s="6"/>
      <c r="D834" s="36"/>
      <c r="E834" s="36"/>
      <c r="F834" s="6"/>
      <c r="G834" s="37"/>
      <c r="H834" s="36"/>
      <c r="I834" s="36"/>
      <c r="J834" s="60"/>
      <c r="L834" s="61"/>
      <c r="M834" s="61"/>
      <c r="N834" s="61"/>
      <c r="O834" s="61"/>
      <c r="P834" s="61"/>
      <c r="Q834" s="61"/>
      <c r="R834" s="62"/>
      <c r="S834" s="62"/>
      <c r="T834" s="62"/>
    </row>
    <row r="835" spans="1:20" ht="15.75" customHeight="1" x14ac:dyDescent="0.3">
      <c r="A835" s="36"/>
      <c r="B835" s="36"/>
      <c r="C835" s="6"/>
      <c r="D835" s="36"/>
      <c r="E835" s="36"/>
      <c r="F835" s="6"/>
      <c r="G835" s="37"/>
      <c r="H835" s="36"/>
      <c r="I835" s="36"/>
      <c r="J835" s="60"/>
      <c r="L835" s="61"/>
      <c r="M835" s="61"/>
      <c r="N835" s="61"/>
      <c r="O835" s="61"/>
      <c r="P835" s="61"/>
      <c r="Q835" s="61"/>
      <c r="R835" s="62"/>
      <c r="S835" s="62"/>
      <c r="T835" s="62"/>
    </row>
    <row r="836" spans="1:20" ht="15.75" customHeight="1" x14ac:dyDescent="0.3">
      <c r="A836" s="36"/>
      <c r="B836" s="36"/>
      <c r="C836" s="6"/>
      <c r="D836" s="36"/>
      <c r="E836" s="36"/>
      <c r="F836" s="6"/>
      <c r="G836" s="37"/>
      <c r="H836" s="36"/>
      <c r="I836" s="36"/>
      <c r="J836" s="60"/>
      <c r="L836" s="61"/>
      <c r="M836" s="61"/>
      <c r="N836" s="61"/>
      <c r="O836" s="61"/>
      <c r="P836" s="61"/>
      <c r="Q836" s="61"/>
      <c r="R836" s="62"/>
      <c r="S836" s="62"/>
      <c r="T836" s="62"/>
    </row>
    <row r="837" spans="1:20" ht="15.75" customHeight="1" x14ac:dyDescent="0.3">
      <c r="A837" s="36"/>
      <c r="B837" s="36"/>
      <c r="C837" s="6"/>
      <c r="D837" s="36"/>
      <c r="E837" s="36"/>
      <c r="F837" s="6"/>
      <c r="G837" s="37"/>
      <c r="H837" s="36"/>
      <c r="I837" s="36"/>
      <c r="J837" s="60"/>
      <c r="L837" s="61"/>
      <c r="M837" s="61"/>
      <c r="N837" s="61"/>
      <c r="O837" s="61"/>
      <c r="P837" s="61"/>
      <c r="Q837" s="61"/>
      <c r="R837" s="62"/>
      <c r="S837" s="62"/>
      <c r="T837" s="62"/>
    </row>
    <row r="838" spans="1:20" ht="15.75" customHeight="1" x14ac:dyDescent="0.3">
      <c r="A838" s="36"/>
      <c r="B838" s="36"/>
      <c r="C838" s="6"/>
      <c r="D838" s="36"/>
      <c r="E838" s="36"/>
      <c r="F838" s="6"/>
      <c r="G838" s="37"/>
      <c r="H838" s="36"/>
      <c r="I838" s="36"/>
      <c r="J838" s="60"/>
      <c r="L838" s="61"/>
      <c r="M838" s="61"/>
      <c r="N838" s="61"/>
      <c r="O838" s="61"/>
      <c r="P838" s="61"/>
      <c r="Q838" s="61"/>
      <c r="R838" s="62"/>
      <c r="S838" s="62"/>
      <c r="T838" s="62"/>
    </row>
    <row r="839" spans="1:20" ht="15.75" customHeight="1" x14ac:dyDescent="0.3">
      <c r="A839" s="36"/>
      <c r="B839" s="36"/>
      <c r="C839" s="6"/>
      <c r="D839" s="36"/>
      <c r="E839" s="36"/>
      <c r="F839" s="6"/>
      <c r="G839" s="37"/>
      <c r="H839" s="36"/>
      <c r="I839" s="36"/>
      <c r="J839" s="60"/>
      <c r="L839" s="61"/>
      <c r="M839" s="61"/>
      <c r="N839" s="61"/>
      <c r="O839" s="61"/>
      <c r="P839" s="61"/>
      <c r="Q839" s="61"/>
      <c r="R839" s="62"/>
      <c r="S839" s="62"/>
      <c r="T839" s="62"/>
    </row>
    <row r="840" spans="1:20" ht="15.75" customHeight="1" x14ac:dyDescent="0.3">
      <c r="A840" s="36"/>
      <c r="B840" s="36"/>
      <c r="C840" s="6"/>
      <c r="D840" s="36"/>
      <c r="E840" s="36"/>
      <c r="F840" s="6"/>
      <c r="G840" s="37"/>
      <c r="H840" s="36"/>
      <c r="I840" s="36"/>
      <c r="J840" s="60"/>
      <c r="L840" s="61"/>
      <c r="M840" s="61"/>
      <c r="N840" s="61"/>
      <c r="O840" s="61"/>
      <c r="P840" s="61"/>
      <c r="Q840" s="61"/>
      <c r="R840" s="62"/>
      <c r="S840" s="62"/>
      <c r="T840" s="62"/>
    </row>
    <row r="841" spans="1:20" ht="15.75" customHeight="1" x14ac:dyDescent="0.3">
      <c r="A841" s="36"/>
      <c r="B841" s="36"/>
      <c r="C841" s="6"/>
      <c r="D841" s="36"/>
      <c r="E841" s="36"/>
      <c r="F841" s="6"/>
      <c r="G841" s="37"/>
      <c r="H841" s="36"/>
      <c r="I841" s="36"/>
      <c r="J841" s="60"/>
      <c r="L841" s="61"/>
      <c r="M841" s="61"/>
      <c r="N841" s="61"/>
      <c r="O841" s="61"/>
      <c r="P841" s="61"/>
      <c r="Q841" s="61"/>
      <c r="R841" s="62"/>
      <c r="S841" s="62"/>
      <c r="T841" s="62"/>
    </row>
    <row r="842" spans="1:20" ht="15.75" customHeight="1" x14ac:dyDescent="0.3">
      <c r="A842" s="36"/>
      <c r="B842" s="36"/>
      <c r="C842" s="6"/>
      <c r="D842" s="36"/>
      <c r="E842" s="36"/>
      <c r="F842" s="6"/>
      <c r="G842" s="37"/>
      <c r="H842" s="36"/>
      <c r="I842" s="36"/>
      <c r="J842" s="60"/>
      <c r="L842" s="61"/>
      <c r="M842" s="61"/>
      <c r="N842" s="61"/>
      <c r="O842" s="61"/>
      <c r="P842" s="61"/>
      <c r="Q842" s="61"/>
      <c r="R842" s="62"/>
      <c r="S842" s="62"/>
      <c r="T842" s="62"/>
    </row>
    <row r="843" spans="1:20" ht="15.75" customHeight="1" x14ac:dyDescent="0.3">
      <c r="A843" s="36"/>
      <c r="B843" s="36"/>
      <c r="C843" s="6"/>
      <c r="D843" s="36"/>
      <c r="E843" s="36"/>
      <c r="F843" s="6"/>
      <c r="G843" s="37"/>
      <c r="H843" s="36"/>
      <c r="I843" s="36"/>
      <c r="J843" s="60"/>
      <c r="L843" s="61"/>
      <c r="M843" s="61"/>
      <c r="N843" s="61"/>
      <c r="O843" s="61"/>
      <c r="P843" s="61"/>
      <c r="Q843" s="61"/>
      <c r="R843" s="62"/>
      <c r="S843" s="62"/>
      <c r="T843" s="62"/>
    </row>
    <row r="844" spans="1:20" ht="15.75" customHeight="1" x14ac:dyDescent="0.3">
      <c r="A844" s="36"/>
      <c r="B844" s="36"/>
      <c r="C844" s="6"/>
      <c r="D844" s="36"/>
      <c r="E844" s="36"/>
      <c r="F844" s="6"/>
      <c r="G844" s="37"/>
      <c r="H844" s="36"/>
      <c r="I844" s="36"/>
      <c r="J844" s="60"/>
      <c r="L844" s="61"/>
      <c r="M844" s="61"/>
      <c r="N844" s="61"/>
      <c r="O844" s="61"/>
      <c r="P844" s="61"/>
      <c r="Q844" s="61"/>
      <c r="R844" s="62"/>
      <c r="S844" s="62"/>
      <c r="T844" s="62"/>
    </row>
    <row r="845" spans="1:20" ht="15.75" customHeight="1" x14ac:dyDescent="0.3">
      <c r="A845" s="36"/>
      <c r="B845" s="36"/>
      <c r="C845" s="6"/>
      <c r="D845" s="36"/>
      <c r="E845" s="36"/>
      <c r="F845" s="6"/>
      <c r="G845" s="37"/>
      <c r="H845" s="36"/>
      <c r="I845" s="36"/>
      <c r="J845" s="60"/>
      <c r="L845" s="61"/>
      <c r="M845" s="61"/>
      <c r="N845" s="61"/>
      <c r="O845" s="61"/>
      <c r="P845" s="61"/>
      <c r="Q845" s="61"/>
      <c r="R845" s="62"/>
      <c r="S845" s="62"/>
      <c r="T845" s="62"/>
    </row>
    <row r="846" spans="1:20" ht="15.75" customHeight="1" x14ac:dyDescent="0.3">
      <c r="A846" s="36"/>
      <c r="B846" s="36"/>
      <c r="C846" s="6"/>
      <c r="D846" s="36"/>
      <c r="E846" s="36"/>
      <c r="F846" s="6"/>
      <c r="G846" s="37"/>
      <c r="H846" s="36"/>
      <c r="I846" s="36"/>
      <c r="J846" s="60"/>
      <c r="L846" s="61"/>
      <c r="M846" s="61"/>
      <c r="N846" s="61"/>
      <c r="O846" s="61"/>
      <c r="P846" s="61"/>
      <c r="Q846" s="61"/>
      <c r="R846" s="62"/>
      <c r="S846" s="62"/>
      <c r="T846" s="62"/>
    </row>
    <row r="847" spans="1:20" ht="15.75" customHeight="1" x14ac:dyDescent="0.3">
      <c r="A847" s="36"/>
      <c r="B847" s="36"/>
      <c r="C847" s="6"/>
      <c r="D847" s="36"/>
      <c r="E847" s="36"/>
      <c r="F847" s="6"/>
      <c r="G847" s="37"/>
      <c r="H847" s="36"/>
      <c r="I847" s="36"/>
      <c r="J847" s="60"/>
      <c r="L847" s="61"/>
      <c r="M847" s="61"/>
      <c r="N847" s="61"/>
      <c r="O847" s="61"/>
      <c r="P847" s="61"/>
      <c r="Q847" s="61"/>
      <c r="R847" s="62"/>
      <c r="S847" s="62"/>
      <c r="T847" s="62"/>
    </row>
    <row r="848" spans="1:20" ht="15.75" customHeight="1" x14ac:dyDescent="0.3">
      <c r="A848" s="36"/>
      <c r="B848" s="36"/>
      <c r="C848" s="6"/>
      <c r="D848" s="36"/>
      <c r="E848" s="36"/>
      <c r="F848" s="6"/>
      <c r="G848" s="37"/>
      <c r="H848" s="36"/>
      <c r="I848" s="36"/>
      <c r="J848" s="60"/>
      <c r="L848" s="61"/>
      <c r="M848" s="61"/>
      <c r="N848" s="61"/>
      <c r="O848" s="61"/>
      <c r="P848" s="61"/>
      <c r="Q848" s="61"/>
      <c r="R848" s="62"/>
      <c r="S848" s="62"/>
      <c r="T848" s="62"/>
    </row>
    <row r="849" spans="1:20" ht="15.75" customHeight="1" x14ac:dyDescent="0.3">
      <c r="A849" s="36"/>
      <c r="B849" s="36"/>
      <c r="C849" s="6"/>
      <c r="D849" s="36"/>
      <c r="E849" s="36"/>
      <c r="F849" s="6"/>
      <c r="G849" s="37"/>
      <c r="H849" s="36"/>
      <c r="I849" s="36"/>
      <c r="J849" s="60"/>
      <c r="L849" s="61"/>
      <c r="M849" s="61"/>
      <c r="N849" s="61"/>
      <c r="O849" s="61"/>
      <c r="P849" s="61"/>
      <c r="Q849" s="61"/>
      <c r="R849" s="62"/>
      <c r="S849" s="62"/>
      <c r="T849" s="62"/>
    </row>
    <row r="850" spans="1:20" ht="15.75" customHeight="1" x14ac:dyDescent="0.3">
      <c r="A850" s="36"/>
      <c r="B850" s="36"/>
      <c r="C850" s="6"/>
      <c r="D850" s="36"/>
      <c r="E850" s="36"/>
      <c r="F850" s="6"/>
      <c r="G850" s="37"/>
      <c r="H850" s="36"/>
      <c r="I850" s="36"/>
      <c r="J850" s="60"/>
      <c r="L850" s="61"/>
      <c r="M850" s="61"/>
      <c r="N850" s="61"/>
      <c r="O850" s="61"/>
      <c r="P850" s="61"/>
      <c r="Q850" s="61"/>
      <c r="R850" s="62"/>
      <c r="S850" s="62"/>
      <c r="T850" s="62"/>
    </row>
    <row r="851" spans="1:20" ht="15.75" customHeight="1" x14ac:dyDescent="0.3">
      <c r="A851" s="36"/>
      <c r="B851" s="36"/>
      <c r="C851" s="6"/>
      <c r="D851" s="36"/>
      <c r="E851" s="36"/>
      <c r="F851" s="6"/>
      <c r="G851" s="37"/>
      <c r="H851" s="36"/>
      <c r="I851" s="36"/>
      <c r="J851" s="60"/>
      <c r="L851" s="61"/>
      <c r="M851" s="61"/>
      <c r="N851" s="61"/>
      <c r="O851" s="61"/>
      <c r="P851" s="61"/>
      <c r="Q851" s="61"/>
      <c r="R851" s="62"/>
      <c r="S851" s="62"/>
      <c r="T851" s="62"/>
    </row>
    <row r="852" spans="1:20" ht="15.75" customHeight="1" x14ac:dyDescent="0.3">
      <c r="A852" s="36"/>
      <c r="B852" s="36"/>
      <c r="C852" s="6"/>
      <c r="D852" s="36"/>
      <c r="E852" s="36"/>
      <c r="F852" s="6"/>
      <c r="G852" s="37"/>
      <c r="H852" s="36"/>
      <c r="I852" s="36"/>
      <c r="J852" s="60"/>
      <c r="L852" s="61"/>
      <c r="M852" s="61"/>
      <c r="N852" s="61"/>
      <c r="O852" s="61"/>
      <c r="P852" s="61"/>
      <c r="Q852" s="61"/>
      <c r="R852" s="62"/>
      <c r="S852" s="62"/>
      <c r="T852" s="62"/>
    </row>
    <row r="853" spans="1:20" ht="15.75" customHeight="1" x14ac:dyDescent="0.3">
      <c r="A853" s="36"/>
      <c r="B853" s="36"/>
      <c r="C853" s="6"/>
      <c r="D853" s="36"/>
      <c r="E853" s="36"/>
      <c r="F853" s="6"/>
      <c r="G853" s="37"/>
      <c r="H853" s="36"/>
      <c r="I853" s="36"/>
      <c r="J853" s="60"/>
      <c r="L853" s="61"/>
      <c r="M853" s="61"/>
      <c r="N853" s="61"/>
      <c r="O853" s="61"/>
      <c r="P853" s="61"/>
      <c r="Q853" s="61"/>
      <c r="R853" s="62"/>
      <c r="S853" s="62"/>
      <c r="T853" s="62"/>
    </row>
    <row r="854" spans="1:20" ht="15.75" customHeight="1" x14ac:dyDescent="0.3">
      <c r="A854" s="36"/>
      <c r="B854" s="36"/>
      <c r="C854" s="6"/>
      <c r="D854" s="36"/>
      <c r="E854" s="36"/>
      <c r="F854" s="6"/>
      <c r="G854" s="37"/>
      <c r="H854" s="36"/>
      <c r="I854" s="36"/>
      <c r="J854" s="60"/>
      <c r="L854" s="61"/>
      <c r="M854" s="61"/>
      <c r="N854" s="61"/>
      <c r="O854" s="61"/>
      <c r="P854" s="61"/>
      <c r="Q854" s="61"/>
      <c r="R854" s="62"/>
      <c r="S854" s="62"/>
      <c r="T854" s="62"/>
    </row>
    <row r="855" spans="1:20" ht="15.75" customHeight="1" x14ac:dyDescent="0.3">
      <c r="A855" s="36"/>
      <c r="B855" s="36"/>
      <c r="C855" s="6"/>
      <c r="D855" s="36"/>
      <c r="E855" s="36"/>
      <c r="F855" s="6"/>
      <c r="G855" s="37"/>
      <c r="H855" s="36"/>
      <c r="I855" s="36"/>
      <c r="J855" s="60"/>
      <c r="L855" s="61"/>
      <c r="M855" s="61"/>
      <c r="N855" s="61"/>
      <c r="O855" s="61"/>
      <c r="P855" s="61"/>
      <c r="Q855" s="61"/>
      <c r="R855" s="62"/>
      <c r="S855" s="62"/>
      <c r="T855" s="62"/>
    </row>
    <row r="856" spans="1:20" ht="15.75" customHeight="1" x14ac:dyDescent="0.3">
      <c r="A856" s="36"/>
      <c r="B856" s="36"/>
      <c r="C856" s="6"/>
      <c r="D856" s="36"/>
      <c r="E856" s="36"/>
      <c r="F856" s="6"/>
      <c r="G856" s="37"/>
      <c r="H856" s="36"/>
      <c r="I856" s="36"/>
      <c r="J856" s="60"/>
      <c r="L856" s="61"/>
      <c r="M856" s="61"/>
      <c r="N856" s="61"/>
      <c r="O856" s="61"/>
      <c r="P856" s="61"/>
      <c r="Q856" s="61"/>
      <c r="R856" s="62"/>
      <c r="S856" s="62"/>
      <c r="T856" s="62"/>
    </row>
    <row r="857" spans="1:20" ht="15.75" customHeight="1" x14ac:dyDescent="0.3">
      <c r="A857" s="36"/>
      <c r="B857" s="36"/>
      <c r="C857" s="6"/>
      <c r="D857" s="36"/>
      <c r="E857" s="36"/>
      <c r="F857" s="6"/>
      <c r="G857" s="37"/>
      <c r="H857" s="36"/>
      <c r="I857" s="36"/>
      <c r="J857" s="60"/>
      <c r="L857" s="61"/>
      <c r="M857" s="61"/>
      <c r="N857" s="61"/>
      <c r="O857" s="61"/>
      <c r="P857" s="61"/>
      <c r="Q857" s="61"/>
      <c r="R857" s="62"/>
      <c r="S857" s="62"/>
      <c r="T857" s="62"/>
    </row>
    <row r="858" spans="1:20" ht="15.75" customHeight="1" x14ac:dyDescent="0.3">
      <c r="A858" s="36"/>
      <c r="B858" s="36"/>
      <c r="C858" s="6"/>
      <c r="D858" s="36"/>
      <c r="E858" s="36"/>
      <c r="F858" s="6"/>
      <c r="G858" s="37"/>
      <c r="H858" s="36"/>
      <c r="I858" s="36"/>
      <c r="J858" s="60"/>
      <c r="L858" s="61"/>
      <c r="M858" s="61"/>
      <c r="N858" s="61"/>
      <c r="O858" s="61"/>
      <c r="P858" s="61"/>
      <c r="Q858" s="61"/>
      <c r="R858" s="62"/>
      <c r="S858" s="62"/>
      <c r="T858" s="62"/>
    </row>
    <row r="859" spans="1:20" ht="15.75" customHeight="1" x14ac:dyDescent="0.3">
      <c r="A859" s="36"/>
      <c r="B859" s="36"/>
      <c r="C859" s="6"/>
      <c r="D859" s="36"/>
      <c r="E859" s="36"/>
      <c r="F859" s="6"/>
      <c r="G859" s="37"/>
      <c r="H859" s="36"/>
      <c r="I859" s="36"/>
      <c r="J859" s="60"/>
      <c r="L859" s="61"/>
      <c r="M859" s="61"/>
      <c r="N859" s="61"/>
      <c r="O859" s="61"/>
      <c r="P859" s="61"/>
      <c r="Q859" s="61"/>
      <c r="R859" s="62"/>
      <c r="S859" s="62"/>
      <c r="T859" s="62"/>
    </row>
    <row r="860" spans="1:20" ht="15.75" customHeight="1" x14ac:dyDescent="0.3">
      <c r="A860" s="36"/>
      <c r="B860" s="36"/>
      <c r="C860" s="6"/>
      <c r="D860" s="36"/>
      <c r="E860" s="36"/>
      <c r="F860" s="6"/>
      <c r="G860" s="37"/>
      <c r="H860" s="36"/>
      <c r="I860" s="36"/>
      <c r="J860" s="60"/>
      <c r="L860" s="61"/>
      <c r="M860" s="61"/>
      <c r="N860" s="61"/>
      <c r="O860" s="61"/>
      <c r="P860" s="61"/>
      <c r="Q860" s="61"/>
      <c r="R860" s="62"/>
      <c r="S860" s="62"/>
      <c r="T860" s="62"/>
    </row>
    <row r="861" spans="1:20" ht="15.75" customHeight="1" x14ac:dyDescent="0.3">
      <c r="A861" s="36"/>
      <c r="B861" s="36"/>
      <c r="C861" s="6"/>
      <c r="D861" s="36"/>
      <c r="E861" s="36"/>
      <c r="F861" s="6"/>
      <c r="G861" s="37"/>
      <c r="H861" s="36"/>
      <c r="I861" s="36"/>
      <c r="J861" s="60"/>
      <c r="L861" s="61"/>
      <c r="M861" s="61"/>
      <c r="N861" s="61"/>
      <c r="O861" s="61"/>
      <c r="P861" s="61"/>
      <c r="Q861" s="61"/>
      <c r="R861" s="62"/>
      <c r="S861" s="62"/>
      <c r="T861" s="62"/>
    </row>
    <row r="862" spans="1:20" ht="15.75" customHeight="1" x14ac:dyDescent="0.3">
      <c r="A862" s="36"/>
      <c r="B862" s="36"/>
      <c r="C862" s="6"/>
      <c r="D862" s="36"/>
      <c r="E862" s="36"/>
      <c r="F862" s="6"/>
      <c r="G862" s="37"/>
      <c r="H862" s="36"/>
      <c r="I862" s="36"/>
      <c r="J862" s="60"/>
      <c r="L862" s="61"/>
      <c r="M862" s="61"/>
      <c r="N862" s="61"/>
      <c r="O862" s="61"/>
      <c r="P862" s="61"/>
      <c r="Q862" s="61"/>
      <c r="R862" s="62"/>
      <c r="S862" s="62"/>
      <c r="T862" s="62"/>
    </row>
    <row r="863" spans="1:20" ht="15.75" customHeight="1" x14ac:dyDescent="0.3">
      <c r="A863" s="36"/>
      <c r="B863" s="36"/>
      <c r="C863" s="6"/>
      <c r="D863" s="36"/>
      <c r="E863" s="36"/>
      <c r="F863" s="6"/>
      <c r="G863" s="37"/>
      <c r="H863" s="36"/>
      <c r="I863" s="36"/>
      <c r="J863" s="60"/>
      <c r="L863" s="61"/>
      <c r="M863" s="61"/>
      <c r="N863" s="61"/>
      <c r="O863" s="61"/>
      <c r="P863" s="61"/>
      <c r="Q863" s="61"/>
      <c r="R863" s="62"/>
      <c r="S863" s="62"/>
      <c r="T863" s="62"/>
    </row>
    <row r="864" spans="1:20" ht="15.75" customHeight="1" x14ac:dyDescent="0.3">
      <c r="A864" s="36"/>
      <c r="B864" s="36"/>
      <c r="C864" s="6"/>
      <c r="D864" s="36"/>
      <c r="E864" s="36"/>
      <c r="F864" s="6"/>
      <c r="G864" s="37"/>
      <c r="H864" s="36"/>
      <c r="I864" s="36"/>
      <c r="J864" s="60"/>
      <c r="L864" s="61"/>
      <c r="M864" s="61"/>
      <c r="N864" s="61"/>
      <c r="O864" s="61"/>
      <c r="P864" s="61"/>
      <c r="Q864" s="61"/>
      <c r="R864" s="62"/>
      <c r="S864" s="62"/>
      <c r="T864" s="62"/>
    </row>
    <row r="865" spans="1:20" ht="15.75" customHeight="1" x14ac:dyDescent="0.3">
      <c r="A865" s="36"/>
      <c r="B865" s="36"/>
      <c r="C865" s="6"/>
      <c r="D865" s="36"/>
      <c r="E865" s="36"/>
      <c r="F865" s="6"/>
      <c r="G865" s="37"/>
      <c r="H865" s="36"/>
      <c r="I865" s="36"/>
      <c r="J865" s="60"/>
      <c r="L865" s="61"/>
      <c r="M865" s="61"/>
      <c r="N865" s="61"/>
      <c r="O865" s="61"/>
      <c r="P865" s="61"/>
      <c r="Q865" s="61"/>
      <c r="R865" s="62"/>
      <c r="S865" s="62"/>
      <c r="T865" s="62"/>
    </row>
    <row r="866" spans="1:20" ht="15.75" customHeight="1" x14ac:dyDescent="0.3">
      <c r="A866" s="36"/>
      <c r="B866" s="36"/>
      <c r="C866" s="6"/>
      <c r="D866" s="36"/>
      <c r="E866" s="36"/>
      <c r="F866" s="6"/>
      <c r="G866" s="37"/>
      <c r="H866" s="36"/>
      <c r="I866" s="36"/>
      <c r="J866" s="60"/>
      <c r="L866" s="61"/>
      <c r="M866" s="61"/>
      <c r="N866" s="61"/>
      <c r="O866" s="61"/>
      <c r="P866" s="61"/>
      <c r="Q866" s="61"/>
      <c r="R866" s="62"/>
      <c r="S866" s="62"/>
      <c r="T866" s="62"/>
    </row>
    <row r="867" spans="1:20" ht="15.75" customHeight="1" x14ac:dyDescent="0.3">
      <c r="A867" s="36"/>
      <c r="B867" s="36"/>
      <c r="C867" s="6"/>
      <c r="D867" s="36"/>
      <c r="E867" s="36"/>
      <c r="F867" s="6"/>
      <c r="G867" s="37"/>
      <c r="H867" s="36"/>
      <c r="I867" s="36"/>
      <c r="J867" s="60"/>
      <c r="L867" s="61"/>
      <c r="M867" s="61"/>
      <c r="N867" s="61"/>
      <c r="O867" s="61"/>
      <c r="P867" s="61"/>
      <c r="Q867" s="61"/>
      <c r="R867" s="62"/>
      <c r="S867" s="62"/>
      <c r="T867" s="62"/>
    </row>
    <row r="868" spans="1:20" ht="15.75" customHeight="1" x14ac:dyDescent="0.3">
      <c r="A868" s="36"/>
      <c r="B868" s="36"/>
      <c r="C868" s="6"/>
      <c r="D868" s="36"/>
      <c r="E868" s="36"/>
      <c r="F868" s="6"/>
      <c r="G868" s="37"/>
      <c r="H868" s="36"/>
      <c r="I868" s="36"/>
      <c r="J868" s="60"/>
      <c r="L868" s="61"/>
      <c r="M868" s="61"/>
      <c r="N868" s="61"/>
      <c r="O868" s="61"/>
      <c r="P868" s="61"/>
      <c r="Q868" s="61"/>
      <c r="R868" s="62"/>
      <c r="S868" s="62"/>
      <c r="T868" s="62"/>
    </row>
    <row r="869" spans="1:20" ht="15.75" customHeight="1" x14ac:dyDescent="0.3">
      <c r="A869" s="36"/>
      <c r="B869" s="36"/>
      <c r="C869" s="6"/>
      <c r="D869" s="36"/>
      <c r="E869" s="36"/>
      <c r="F869" s="6"/>
      <c r="G869" s="37"/>
      <c r="H869" s="36"/>
      <c r="I869" s="36"/>
      <c r="J869" s="60"/>
      <c r="L869" s="61"/>
      <c r="M869" s="61"/>
      <c r="N869" s="61"/>
      <c r="O869" s="61"/>
      <c r="P869" s="61"/>
      <c r="Q869" s="61"/>
      <c r="R869" s="62"/>
      <c r="S869" s="62"/>
      <c r="T869" s="62"/>
    </row>
    <row r="870" spans="1:20" ht="15.75" customHeight="1" x14ac:dyDescent="0.3">
      <c r="A870" s="36"/>
      <c r="B870" s="36"/>
      <c r="C870" s="6"/>
      <c r="D870" s="36"/>
      <c r="E870" s="36"/>
      <c r="F870" s="6"/>
      <c r="G870" s="37"/>
      <c r="H870" s="36"/>
      <c r="I870" s="36"/>
      <c r="J870" s="60"/>
      <c r="L870" s="61"/>
      <c r="M870" s="61"/>
      <c r="N870" s="61"/>
      <c r="O870" s="61"/>
      <c r="P870" s="61"/>
      <c r="Q870" s="61"/>
      <c r="R870" s="62"/>
      <c r="S870" s="62"/>
      <c r="T870" s="62"/>
    </row>
    <row r="871" spans="1:20" ht="15.75" customHeight="1" x14ac:dyDescent="0.3">
      <c r="A871" s="36"/>
      <c r="B871" s="36"/>
      <c r="C871" s="6"/>
      <c r="D871" s="36"/>
      <c r="E871" s="36"/>
      <c r="F871" s="6"/>
      <c r="G871" s="37"/>
      <c r="H871" s="36"/>
      <c r="I871" s="36"/>
      <c r="J871" s="60"/>
      <c r="L871" s="61"/>
      <c r="M871" s="61"/>
      <c r="N871" s="61"/>
      <c r="O871" s="61"/>
      <c r="P871" s="61"/>
      <c r="Q871" s="61"/>
      <c r="R871" s="62"/>
      <c r="S871" s="62"/>
      <c r="T871" s="62"/>
    </row>
    <row r="872" spans="1:20" ht="15.75" customHeight="1" x14ac:dyDescent="0.3">
      <c r="A872" s="36"/>
      <c r="B872" s="36"/>
      <c r="C872" s="6"/>
      <c r="D872" s="36"/>
      <c r="E872" s="36"/>
      <c r="F872" s="6"/>
      <c r="G872" s="37"/>
      <c r="H872" s="36"/>
      <c r="I872" s="36"/>
      <c r="J872" s="60"/>
      <c r="L872" s="61"/>
      <c r="M872" s="61"/>
      <c r="N872" s="61"/>
      <c r="O872" s="61"/>
      <c r="P872" s="61"/>
      <c r="Q872" s="61"/>
      <c r="R872" s="62"/>
      <c r="S872" s="62"/>
      <c r="T872" s="62"/>
    </row>
    <row r="873" spans="1:20" ht="15.75" customHeight="1" x14ac:dyDescent="0.3">
      <c r="A873" s="36"/>
      <c r="B873" s="36"/>
      <c r="C873" s="6"/>
      <c r="D873" s="36"/>
      <c r="E873" s="36"/>
      <c r="F873" s="6"/>
      <c r="G873" s="37"/>
      <c r="H873" s="36"/>
      <c r="I873" s="36"/>
      <c r="J873" s="60"/>
      <c r="L873" s="61"/>
      <c r="M873" s="61"/>
      <c r="N873" s="61"/>
      <c r="O873" s="61"/>
      <c r="P873" s="61"/>
      <c r="Q873" s="61"/>
      <c r="R873" s="62"/>
      <c r="S873" s="62"/>
      <c r="T873" s="62"/>
    </row>
    <row r="874" spans="1:20" ht="15.75" customHeight="1" x14ac:dyDescent="0.3">
      <c r="A874" s="36"/>
      <c r="B874" s="36"/>
      <c r="C874" s="6"/>
      <c r="D874" s="36"/>
      <c r="E874" s="36"/>
      <c r="F874" s="6"/>
      <c r="G874" s="37"/>
      <c r="H874" s="36"/>
      <c r="I874" s="36"/>
      <c r="J874" s="60"/>
      <c r="L874" s="61"/>
      <c r="M874" s="61"/>
      <c r="N874" s="61"/>
      <c r="O874" s="61"/>
      <c r="P874" s="61"/>
      <c r="Q874" s="61"/>
      <c r="R874" s="62"/>
      <c r="S874" s="62"/>
      <c r="T874" s="62"/>
    </row>
    <row r="875" spans="1:20" ht="15.75" customHeight="1" x14ac:dyDescent="0.3">
      <c r="A875" s="36"/>
      <c r="B875" s="36"/>
      <c r="C875" s="6"/>
      <c r="D875" s="36"/>
      <c r="E875" s="36"/>
      <c r="F875" s="6"/>
      <c r="G875" s="37"/>
      <c r="H875" s="36"/>
      <c r="I875" s="36"/>
      <c r="J875" s="60"/>
      <c r="L875" s="61"/>
      <c r="M875" s="61"/>
      <c r="N875" s="61"/>
      <c r="O875" s="61"/>
      <c r="P875" s="61"/>
      <c r="Q875" s="61"/>
      <c r="R875" s="62"/>
      <c r="S875" s="62"/>
      <c r="T875" s="62"/>
    </row>
    <row r="876" spans="1:20" ht="15.75" customHeight="1" x14ac:dyDescent="0.3">
      <c r="A876" s="36"/>
      <c r="B876" s="36"/>
      <c r="C876" s="6"/>
      <c r="D876" s="36"/>
      <c r="E876" s="36"/>
      <c r="F876" s="6"/>
      <c r="G876" s="37"/>
      <c r="H876" s="36"/>
      <c r="I876" s="36"/>
      <c r="J876" s="60"/>
      <c r="L876" s="61"/>
      <c r="M876" s="61"/>
      <c r="N876" s="61"/>
      <c r="O876" s="61"/>
      <c r="P876" s="61"/>
      <c r="Q876" s="61"/>
      <c r="R876" s="62"/>
      <c r="S876" s="62"/>
      <c r="T876" s="62"/>
    </row>
    <row r="877" spans="1:20" ht="15.75" customHeight="1" x14ac:dyDescent="0.3">
      <c r="A877" s="36"/>
      <c r="B877" s="36"/>
      <c r="C877" s="6"/>
      <c r="D877" s="36"/>
      <c r="E877" s="36"/>
      <c r="F877" s="6"/>
      <c r="G877" s="37"/>
      <c r="H877" s="36"/>
      <c r="I877" s="36"/>
      <c r="J877" s="60"/>
      <c r="L877" s="61"/>
      <c r="M877" s="61"/>
      <c r="N877" s="61"/>
      <c r="O877" s="61"/>
      <c r="P877" s="61"/>
      <c r="Q877" s="61"/>
      <c r="R877" s="62"/>
      <c r="S877" s="62"/>
      <c r="T877" s="62"/>
    </row>
    <row r="878" spans="1:20" ht="15.75" customHeight="1" x14ac:dyDescent="0.3">
      <c r="A878" s="36"/>
      <c r="B878" s="36"/>
      <c r="C878" s="6"/>
      <c r="D878" s="36"/>
      <c r="E878" s="36"/>
      <c r="F878" s="6"/>
      <c r="G878" s="37"/>
      <c r="H878" s="36"/>
      <c r="I878" s="36"/>
      <c r="J878" s="60"/>
      <c r="L878" s="61"/>
      <c r="M878" s="61"/>
      <c r="N878" s="61"/>
      <c r="O878" s="61"/>
      <c r="P878" s="61"/>
      <c r="Q878" s="61"/>
      <c r="R878" s="62"/>
      <c r="S878" s="62"/>
      <c r="T878" s="62"/>
    </row>
    <row r="879" spans="1:20" ht="15.75" customHeight="1" x14ac:dyDescent="0.3">
      <c r="A879" s="36"/>
      <c r="B879" s="36"/>
      <c r="C879" s="6"/>
      <c r="D879" s="36"/>
      <c r="E879" s="36"/>
      <c r="F879" s="6"/>
      <c r="G879" s="37"/>
      <c r="H879" s="36"/>
      <c r="I879" s="36"/>
      <c r="J879" s="60"/>
      <c r="L879" s="61"/>
      <c r="M879" s="61"/>
      <c r="N879" s="61"/>
      <c r="O879" s="61"/>
      <c r="P879" s="61"/>
      <c r="Q879" s="61"/>
      <c r="R879" s="62"/>
      <c r="S879" s="62"/>
      <c r="T879" s="62"/>
    </row>
    <row r="880" spans="1:20" ht="15.75" customHeight="1" x14ac:dyDescent="0.3">
      <c r="A880" s="36"/>
      <c r="B880" s="36"/>
      <c r="C880" s="6"/>
      <c r="D880" s="36"/>
      <c r="E880" s="36"/>
      <c r="F880" s="6"/>
      <c r="G880" s="37"/>
      <c r="H880" s="36"/>
      <c r="I880" s="36"/>
      <c r="J880" s="60"/>
      <c r="L880" s="61"/>
      <c r="M880" s="61"/>
      <c r="N880" s="61"/>
      <c r="O880" s="61"/>
      <c r="P880" s="61"/>
      <c r="Q880" s="61"/>
      <c r="R880" s="62"/>
      <c r="S880" s="62"/>
      <c r="T880" s="62"/>
    </row>
    <row r="881" spans="1:20" ht="15.75" customHeight="1" x14ac:dyDescent="0.3">
      <c r="A881" s="36"/>
      <c r="B881" s="36"/>
      <c r="C881" s="6"/>
      <c r="D881" s="36"/>
      <c r="E881" s="36"/>
      <c r="F881" s="6"/>
      <c r="G881" s="37"/>
      <c r="H881" s="36"/>
      <c r="I881" s="36"/>
      <c r="J881" s="60"/>
      <c r="L881" s="61"/>
      <c r="M881" s="61"/>
      <c r="N881" s="61"/>
      <c r="O881" s="61"/>
      <c r="P881" s="61"/>
      <c r="Q881" s="61"/>
      <c r="R881" s="62"/>
      <c r="S881" s="62"/>
      <c r="T881" s="62"/>
    </row>
    <row r="882" spans="1:20" ht="15.75" customHeight="1" x14ac:dyDescent="0.3">
      <c r="A882" s="36"/>
      <c r="B882" s="36"/>
      <c r="C882" s="6"/>
      <c r="D882" s="36"/>
      <c r="E882" s="36"/>
      <c r="F882" s="6"/>
      <c r="G882" s="37"/>
      <c r="H882" s="36"/>
      <c r="I882" s="36"/>
      <c r="J882" s="60"/>
      <c r="L882" s="61"/>
      <c r="M882" s="61"/>
      <c r="N882" s="61"/>
      <c r="O882" s="61"/>
      <c r="P882" s="61"/>
      <c r="Q882" s="61"/>
      <c r="R882" s="62"/>
      <c r="S882" s="62"/>
      <c r="T882" s="62"/>
    </row>
    <row r="883" spans="1:20" ht="15.75" customHeight="1" x14ac:dyDescent="0.3">
      <c r="A883" s="36"/>
      <c r="B883" s="36"/>
      <c r="C883" s="6"/>
      <c r="D883" s="36"/>
      <c r="E883" s="36"/>
      <c r="F883" s="6"/>
      <c r="G883" s="37"/>
      <c r="H883" s="36"/>
      <c r="I883" s="36"/>
      <c r="J883" s="60"/>
      <c r="L883" s="61"/>
      <c r="M883" s="61"/>
      <c r="N883" s="61"/>
      <c r="O883" s="61"/>
      <c r="P883" s="61"/>
      <c r="Q883" s="61"/>
      <c r="R883" s="62"/>
      <c r="S883" s="62"/>
      <c r="T883" s="62"/>
    </row>
    <row r="884" spans="1:20" ht="15.75" customHeight="1" x14ac:dyDescent="0.3">
      <c r="A884" s="36"/>
      <c r="B884" s="36"/>
      <c r="C884" s="6"/>
      <c r="D884" s="36"/>
      <c r="E884" s="36"/>
      <c r="F884" s="6"/>
      <c r="G884" s="37"/>
      <c r="H884" s="36"/>
      <c r="I884" s="36"/>
      <c r="J884" s="60"/>
      <c r="L884" s="61"/>
      <c r="M884" s="61"/>
      <c r="N884" s="61"/>
      <c r="O884" s="61"/>
      <c r="P884" s="61"/>
      <c r="Q884" s="61"/>
      <c r="R884" s="62"/>
      <c r="S884" s="62"/>
      <c r="T884" s="62"/>
    </row>
    <row r="885" spans="1:20" ht="15.75" customHeight="1" x14ac:dyDescent="0.3">
      <c r="A885" s="36"/>
      <c r="B885" s="36"/>
      <c r="C885" s="6"/>
      <c r="D885" s="36"/>
      <c r="E885" s="36"/>
      <c r="F885" s="6"/>
      <c r="G885" s="37"/>
      <c r="H885" s="36"/>
      <c r="I885" s="36"/>
      <c r="J885" s="60"/>
      <c r="L885" s="61"/>
      <c r="M885" s="61"/>
      <c r="N885" s="61"/>
      <c r="O885" s="61"/>
      <c r="P885" s="61"/>
      <c r="Q885" s="61"/>
      <c r="R885" s="62"/>
      <c r="S885" s="62"/>
      <c r="T885" s="62"/>
    </row>
    <row r="886" spans="1:20" ht="15.75" customHeight="1" x14ac:dyDescent="0.3">
      <c r="A886" s="36"/>
      <c r="B886" s="36"/>
      <c r="C886" s="6"/>
      <c r="D886" s="36"/>
      <c r="E886" s="36"/>
      <c r="F886" s="6"/>
      <c r="G886" s="37"/>
      <c r="H886" s="36"/>
      <c r="I886" s="36"/>
      <c r="J886" s="60"/>
      <c r="L886" s="61"/>
      <c r="M886" s="61"/>
      <c r="N886" s="61"/>
      <c r="O886" s="61"/>
      <c r="P886" s="61"/>
      <c r="Q886" s="61"/>
      <c r="R886" s="62"/>
      <c r="S886" s="62"/>
      <c r="T886" s="62"/>
    </row>
    <row r="887" spans="1:20" ht="15.75" customHeight="1" x14ac:dyDescent="0.3">
      <c r="A887" s="36"/>
      <c r="B887" s="36"/>
      <c r="C887" s="6"/>
      <c r="D887" s="36"/>
      <c r="E887" s="36"/>
      <c r="F887" s="6"/>
      <c r="G887" s="37"/>
      <c r="H887" s="36"/>
      <c r="I887" s="36"/>
      <c r="J887" s="60"/>
      <c r="L887" s="61"/>
      <c r="M887" s="61"/>
      <c r="N887" s="61"/>
      <c r="O887" s="61"/>
      <c r="P887" s="61"/>
      <c r="Q887" s="61"/>
      <c r="R887" s="62"/>
      <c r="S887" s="62"/>
      <c r="T887" s="62"/>
    </row>
    <row r="888" spans="1:20" ht="15.75" customHeight="1" x14ac:dyDescent="0.3">
      <c r="A888" s="36"/>
      <c r="B888" s="36"/>
      <c r="C888" s="6"/>
      <c r="D888" s="36"/>
      <c r="E888" s="36"/>
      <c r="F888" s="6"/>
      <c r="G888" s="37"/>
      <c r="H888" s="36"/>
      <c r="I888" s="36"/>
      <c r="J888" s="60"/>
      <c r="L888" s="61"/>
      <c r="M888" s="61"/>
      <c r="N888" s="61"/>
      <c r="O888" s="61"/>
      <c r="P888" s="61"/>
      <c r="Q888" s="61"/>
      <c r="R888" s="62"/>
      <c r="S888" s="62"/>
      <c r="T888" s="62"/>
    </row>
    <row r="889" spans="1:20" ht="15.75" customHeight="1" x14ac:dyDescent="0.3">
      <c r="A889" s="36"/>
      <c r="B889" s="36"/>
      <c r="C889" s="6"/>
      <c r="D889" s="36"/>
      <c r="E889" s="36"/>
      <c r="F889" s="6"/>
      <c r="G889" s="37"/>
      <c r="H889" s="36"/>
      <c r="I889" s="36"/>
      <c r="J889" s="60"/>
      <c r="L889" s="61"/>
      <c r="M889" s="61"/>
      <c r="N889" s="61"/>
      <c r="O889" s="61"/>
      <c r="P889" s="61"/>
      <c r="Q889" s="61"/>
      <c r="R889" s="62"/>
      <c r="S889" s="62"/>
      <c r="T889" s="62"/>
    </row>
    <row r="890" spans="1:20" ht="15.75" customHeight="1" x14ac:dyDescent="0.3">
      <c r="A890" s="36"/>
      <c r="B890" s="36"/>
      <c r="C890" s="6"/>
      <c r="D890" s="36"/>
      <c r="E890" s="36"/>
      <c r="F890" s="6"/>
      <c r="G890" s="37"/>
      <c r="H890" s="36"/>
      <c r="I890" s="36"/>
      <c r="J890" s="60"/>
      <c r="L890" s="61"/>
      <c r="M890" s="61"/>
      <c r="N890" s="61"/>
      <c r="O890" s="61"/>
      <c r="P890" s="61"/>
      <c r="Q890" s="61"/>
      <c r="R890" s="62"/>
      <c r="S890" s="62"/>
      <c r="T890" s="62"/>
    </row>
    <row r="891" spans="1:20" ht="15.75" customHeight="1" x14ac:dyDescent="0.3">
      <c r="A891" s="36"/>
      <c r="B891" s="36"/>
      <c r="C891" s="6"/>
      <c r="D891" s="36"/>
      <c r="E891" s="36"/>
      <c r="F891" s="6"/>
      <c r="G891" s="37"/>
      <c r="H891" s="36"/>
      <c r="I891" s="36"/>
      <c r="J891" s="60"/>
      <c r="L891" s="61"/>
      <c r="M891" s="61"/>
      <c r="N891" s="61"/>
      <c r="O891" s="61"/>
      <c r="P891" s="61"/>
      <c r="Q891" s="61"/>
      <c r="R891" s="62"/>
      <c r="S891" s="62"/>
      <c r="T891" s="62"/>
    </row>
    <row r="892" spans="1:20" ht="15.75" customHeight="1" x14ac:dyDescent="0.3">
      <c r="A892" s="36"/>
      <c r="B892" s="36"/>
      <c r="C892" s="6"/>
      <c r="D892" s="36"/>
      <c r="E892" s="36"/>
      <c r="F892" s="6"/>
      <c r="G892" s="37"/>
      <c r="H892" s="36"/>
      <c r="I892" s="36"/>
      <c r="J892" s="60"/>
      <c r="L892" s="61"/>
      <c r="M892" s="61"/>
      <c r="N892" s="61"/>
      <c r="O892" s="61"/>
      <c r="P892" s="61"/>
      <c r="Q892" s="61"/>
      <c r="R892" s="62"/>
      <c r="S892" s="62"/>
      <c r="T892" s="62"/>
    </row>
    <row r="893" spans="1:20" ht="15.75" customHeight="1" x14ac:dyDescent="0.3">
      <c r="A893" s="36"/>
      <c r="B893" s="36"/>
      <c r="C893" s="6"/>
      <c r="D893" s="36"/>
      <c r="E893" s="36"/>
      <c r="F893" s="6"/>
      <c r="G893" s="37"/>
      <c r="H893" s="36"/>
      <c r="I893" s="36"/>
      <c r="J893" s="60"/>
      <c r="L893" s="61"/>
      <c r="M893" s="61"/>
      <c r="N893" s="61"/>
      <c r="O893" s="61"/>
      <c r="P893" s="61"/>
      <c r="Q893" s="61"/>
      <c r="R893" s="62"/>
      <c r="S893" s="62"/>
      <c r="T893" s="62"/>
    </row>
    <row r="894" spans="1:20" ht="15.75" customHeight="1" x14ac:dyDescent="0.3">
      <c r="A894" s="36"/>
      <c r="B894" s="36"/>
      <c r="C894" s="6"/>
      <c r="D894" s="36"/>
      <c r="E894" s="36"/>
      <c r="F894" s="6"/>
      <c r="G894" s="37"/>
      <c r="H894" s="36"/>
      <c r="I894" s="36"/>
      <c r="J894" s="60"/>
      <c r="L894" s="61"/>
      <c r="M894" s="61"/>
      <c r="N894" s="61"/>
      <c r="O894" s="61"/>
      <c r="P894" s="61"/>
      <c r="Q894" s="61"/>
      <c r="R894" s="62"/>
      <c r="S894" s="62"/>
      <c r="T894" s="62"/>
    </row>
    <row r="895" spans="1:20" ht="15.75" customHeight="1" x14ac:dyDescent="0.3">
      <c r="A895" s="36"/>
      <c r="B895" s="36"/>
      <c r="C895" s="6"/>
      <c r="D895" s="36"/>
      <c r="E895" s="36"/>
      <c r="F895" s="6"/>
      <c r="G895" s="37"/>
      <c r="H895" s="36"/>
      <c r="I895" s="36"/>
      <c r="J895" s="60"/>
      <c r="L895" s="61"/>
      <c r="M895" s="61"/>
      <c r="N895" s="61"/>
      <c r="O895" s="61"/>
      <c r="P895" s="61"/>
      <c r="Q895" s="61"/>
      <c r="R895" s="62"/>
      <c r="S895" s="62"/>
      <c r="T895" s="62"/>
    </row>
    <row r="896" spans="1:20" ht="15.75" customHeight="1" x14ac:dyDescent="0.3">
      <c r="A896" s="36"/>
      <c r="B896" s="36"/>
      <c r="C896" s="6"/>
      <c r="D896" s="36"/>
      <c r="E896" s="36"/>
      <c r="F896" s="6"/>
      <c r="G896" s="37"/>
      <c r="H896" s="36"/>
      <c r="I896" s="36"/>
      <c r="J896" s="60"/>
      <c r="L896" s="61"/>
      <c r="M896" s="61"/>
      <c r="N896" s="61"/>
      <c r="O896" s="61"/>
      <c r="P896" s="61"/>
      <c r="Q896" s="61"/>
      <c r="R896" s="62"/>
      <c r="S896" s="62"/>
      <c r="T896" s="62"/>
    </row>
    <row r="897" spans="1:20" ht="15.75" customHeight="1" x14ac:dyDescent="0.3">
      <c r="A897" s="36"/>
      <c r="B897" s="36"/>
      <c r="C897" s="6"/>
      <c r="D897" s="36"/>
      <c r="E897" s="36"/>
      <c r="F897" s="6"/>
      <c r="G897" s="37"/>
      <c r="H897" s="36"/>
      <c r="I897" s="36"/>
      <c r="J897" s="60"/>
      <c r="L897" s="61"/>
      <c r="M897" s="61"/>
      <c r="N897" s="61"/>
      <c r="O897" s="61"/>
      <c r="P897" s="61"/>
      <c r="Q897" s="61"/>
      <c r="R897" s="62"/>
      <c r="S897" s="62"/>
      <c r="T897" s="62"/>
    </row>
    <row r="898" spans="1:20" ht="15.75" customHeight="1" x14ac:dyDescent="0.3">
      <c r="A898" s="36"/>
      <c r="B898" s="36"/>
      <c r="C898" s="6"/>
      <c r="D898" s="36"/>
      <c r="E898" s="36"/>
      <c r="F898" s="6"/>
      <c r="G898" s="37"/>
      <c r="H898" s="36"/>
      <c r="I898" s="36"/>
      <c r="J898" s="60"/>
      <c r="L898" s="61"/>
      <c r="M898" s="61"/>
      <c r="N898" s="61"/>
      <c r="O898" s="61"/>
      <c r="P898" s="61"/>
      <c r="Q898" s="61"/>
      <c r="R898" s="62"/>
      <c r="S898" s="62"/>
      <c r="T898" s="62"/>
    </row>
    <row r="899" spans="1:20" ht="15.75" customHeight="1" x14ac:dyDescent="0.3">
      <c r="A899" s="36"/>
      <c r="B899" s="36"/>
      <c r="C899" s="6"/>
      <c r="D899" s="36"/>
      <c r="E899" s="36"/>
      <c r="F899" s="6"/>
      <c r="G899" s="37"/>
      <c r="H899" s="36"/>
      <c r="I899" s="36"/>
      <c r="J899" s="60"/>
      <c r="L899" s="61"/>
      <c r="M899" s="61"/>
      <c r="N899" s="61"/>
      <c r="O899" s="61"/>
      <c r="P899" s="61"/>
      <c r="Q899" s="61"/>
      <c r="R899" s="62"/>
      <c r="S899" s="62"/>
      <c r="T899" s="62"/>
    </row>
    <row r="900" spans="1:20" ht="15.75" customHeight="1" x14ac:dyDescent="0.3">
      <c r="A900" s="36"/>
      <c r="B900" s="36"/>
      <c r="C900" s="6"/>
      <c r="D900" s="36"/>
      <c r="E900" s="36"/>
      <c r="F900" s="6"/>
      <c r="G900" s="37"/>
      <c r="H900" s="36"/>
      <c r="I900" s="36"/>
      <c r="J900" s="60"/>
      <c r="L900" s="61"/>
      <c r="M900" s="61"/>
      <c r="N900" s="61"/>
      <c r="O900" s="61"/>
      <c r="P900" s="61"/>
      <c r="Q900" s="61"/>
      <c r="R900" s="62"/>
      <c r="S900" s="62"/>
      <c r="T900" s="62"/>
    </row>
    <row r="901" spans="1:20" ht="15.75" customHeight="1" x14ac:dyDescent="0.3">
      <c r="A901" s="36"/>
      <c r="B901" s="36"/>
      <c r="C901" s="6"/>
      <c r="D901" s="36"/>
      <c r="E901" s="36"/>
      <c r="F901" s="6"/>
      <c r="G901" s="37"/>
      <c r="H901" s="36"/>
      <c r="I901" s="36"/>
      <c r="J901" s="60"/>
      <c r="L901" s="61"/>
      <c r="M901" s="61"/>
      <c r="N901" s="61"/>
      <c r="O901" s="61"/>
      <c r="P901" s="61"/>
      <c r="Q901" s="61"/>
      <c r="R901" s="62"/>
      <c r="S901" s="62"/>
      <c r="T901" s="62"/>
    </row>
    <row r="902" spans="1:20" ht="15.75" customHeight="1" x14ac:dyDescent="0.3">
      <c r="A902" s="36"/>
      <c r="B902" s="36"/>
      <c r="C902" s="6"/>
      <c r="D902" s="36"/>
      <c r="E902" s="36"/>
      <c r="F902" s="6"/>
      <c r="G902" s="37"/>
      <c r="H902" s="36"/>
      <c r="I902" s="36"/>
      <c r="J902" s="60"/>
      <c r="L902" s="61"/>
      <c r="M902" s="61"/>
      <c r="N902" s="61"/>
      <c r="O902" s="61"/>
      <c r="P902" s="61"/>
      <c r="Q902" s="61"/>
      <c r="R902" s="62"/>
      <c r="S902" s="62"/>
      <c r="T902" s="62"/>
    </row>
    <row r="903" spans="1:20" ht="15.75" customHeight="1" x14ac:dyDescent="0.3">
      <c r="A903" s="36"/>
      <c r="B903" s="36"/>
      <c r="C903" s="6"/>
      <c r="D903" s="36"/>
      <c r="E903" s="36"/>
      <c r="F903" s="6"/>
      <c r="G903" s="37"/>
      <c r="H903" s="36"/>
      <c r="I903" s="36"/>
      <c r="J903" s="60"/>
      <c r="L903" s="61"/>
      <c r="M903" s="61"/>
      <c r="N903" s="61"/>
      <c r="O903" s="61"/>
      <c r="P903" s="61"/>
      <c r="Q903" s="61"/>
      <c r="R903" s="62"/>
      <c r="S903" s="62"/>
      <c r="T903" s="62"/>
    </row>
    <row r="904" spans="1:20" ht="15.75" customHeight="1" x14ac:dyDescent="0.3">
      <c r="A904" s="36"/>
      <c r="B904" s="36"/>
      <c r="C904" s="6"/>
      <c r="D904" s="36"/>
      <c r="E904" s="36"/>
      <c r="F904" s="6"/>
      <c r="G904" s="37"/>
      <c r="H904" s="36"/>
      <c r="I904" s="36"/>
      <c r="J904" s="60"/>
      <c r="L904" s="61"/>
      <c r="M904" s="61"/>
      <c r="N904" s="61"/>
      <c r="O904" s="61"/>
      <c r="P904" s="61"/>
      <c r="Q904" s="61"/>
      <c r="R904" s="62"/>
      <c r="S904" s="62"/>
      <c r="T904" s="62"/>
    </row>
    <row r="905" spans="1:20" ht="15.75" customHeight="1" x14ac:dyDescent="0.3">
      <c r="A905" s="36"/>
      <c r="B905" s="36"/>
      <c r="C905" s="6"/>
      <c r="D905" s="36"/>
      <c r="E905" s="36"/>
      <c r="F905" s="6"/>
      <c r="G905" s="37"/>
      <c r="H905" s="36"/>
      <c r="I905" s="36"/>
      <c r="J905" s="60"/>
      <c r="L905" s="61"/>
      <c r="M905" s="61"/>
      <c r="N905" s="61"/>
      <c r="O905" s="61"/>
      <c r="P905" s="61"/>
      <c r="Q905" s="61"/>
      <c r="R905" s="62"/>
      <c r="S905" s="62"/>
      <c r="T905" s="62"/>
    </row>
    <row r="906" spans="1:20" ht="15.75" customHeight="1" x14ac:dyDescent="0.3">
      <c r="A906" s="36"/>
      <c r="B906" s="36"/>
      <c r="C906" s="6"/>
      <c r="D906" s="36"/>
      <c r="E906" s="36"/>
      <c r="F906" s="6"/>
      <c r="G906" s="37"/>
      <c r="H906" s="36"/>
      <c r="I906" s="36"/>
      <c r="J906" s="60"/>
      <c r="L906" s="61"/>
      <c r="M906" s="61"/>
      <c r="N906" s="61"/>
      <c r="O906" s="61"/>
      <c r="P906" s="61"/>
      <c r="Q906" s="61"/>
      <c r="R906" s="62"/>
      <c r="S906" s="62"/>
      <c r="T906" s="62"/>
    </row>
    <row r="907" spans="1:20" ht="15.75" customHeight="1" x14ac:dyDescent="0.3">
      <c r="A907" s="36"/>
      <c r="B907" s="36"/>
      <c r="C907" s="6"/>
      <c r="D907" s="36"/>
      <c r="E907" s="36"/>
      <c r="F907" s="6"/>
      <c r="G907" s="37"/>
      <c r="H907" s="36"/>
      <c r="I907" s="36"/>
      <c r="J907" s="60"/>
      <c r="L907" s="61"/>
      <c r="M907" s="61"/>
      <c r="N907" s="61"/>
      <c r="O907" s="61"/>
      <c r="P907" s="61"/>
      <c r="Q907" s="61"/>
      <c r="R907" s="62"/>
      <c r="S907" s="62"/>
      <c r="T907" s="62"/>
    </row>
    <row r="908" spans="1:20" ht="15.75" customHeight="1" x14ac:dyDescent="0.3">
      <c r="A908" s="36"/>
      <c r="B908" s="36"/>
      <c r="C908" s="6"/>
      <c r="D908" s="36"/>
      <c r="E908" s="36"/>
      <c r="F908" s="6"/>
      <c r="G908" s="37"/>
      <c r="H908" s="36"/>
      <c r="I908" s="36"/>
      <c r="J908" s="60"/>
      <c r="L908" s="61"/>
      <c r="M908" s="61"/>
      <c r="N908" s="61"/>
      <c r="O908" s="61"/>
      <c r="P908" s="61"/>
      <c r="Q908" s="61"/>
      <c r="R908" s="62"/>
      <c r="S908" s="62"/>
      <c r="T908" s="62"/>
    </row>
    <row r="909" spans="1:20" ht="15.75" customHeight="1" x14ac:dyDescent="0.3">
      <c r="A909" s="36"/>
      <c r="B909" s="36"/>
      <c r="C909" s="6"/>
      <c r="D909" s="36"/>
      <c r="E909" s="36"/>
      <c r="F909" s="6"/>
      <c r="G909" s="37"/>
      <c r="H909" s="36"/>
      <c r="I909" s="36"/>
      <c r="J909" s="60"/>
      <c r="L909" s="61"/>
      <c r="M909" s="61"/>
      <c r="N909" s="61"/>
      <c r="O909" s="61"/>
      <c r="P909" s="61"/>
      <c r="Q909" s="61"/>
      <c r="R909" s="62"/>
      <c r="S909" s="62"/>
      <c r="T909" s="62"/>
    </row>
    <row r="910" spans="1:20" ht="15.75" customHeight="1" x14ac:dyDescent="0.3">
      <c r="A910" s="36"/>
      <c r="B910" s="36"/>
      <c r="C910" s="6"/>
      <c r="D910" s="36"/>
      <c r="E910" s="36"/>
      <c r="F910" s="6"/>
      <c r="G910" s="37"/>
      <c r="H910" s="36"/>
      <c r="I910" s="36"/>
      <c r="J910" s="60"/>
      <c r="L910" s="61"/>
      <c r="M910" s="61"/>
      <c r="N910" s="61"/>
      <c r="O910" s="61"/>
      <c r="P910" s="61"/>
      <c r="Q910" s="61"/>
      <c r="R910" s="62"/>
      <c r="S910" s="62"/>
      <c r="T910" s="62"/>
    </row>
    <row r="911" spans="1:20" ht="15.75" customHeight="1" x14ac:dyDescent="0.3">
      <c r="A911" s="36"/>
      <c r="B911" s="36"/>
      <c r="C911" s="6"/>
      <c r="D911" s="36"/>
      <c r="E911" s="36"/>
      <c r="F911" s="6"/>
      <c r="G911" s="37"/>
      <c r="H911" s="36"/>
      <c r="I911" s="36"/>
      <c r="J911" s="60"/>
      <c r="L911" s="61"/>
      <c r="M911" s="61"/>
      <c r="N911" s="61"/>
      <c r="O911" s="61"/>
      <c r="P911" s="61"/>
      <c r="Q911" s="61"/>
      <c r="R911" s="62"/>
      <c r="S911" s="62"/>
      <c r="T911" s="62"/>
    </row>
    <row r="912" spans="1:20" ht="15.75" customHeight="1" x14ac:dyDescent="0.3">
      <c r="A912" s="36"/>
      <c r="B912" s="36"/>
      <c r="C912" s="6"/>
      <c r="D912" s="36"/>
      <c r="E912" s="36"/>
      <c r="F912" s="6"/>
      <c r="G912" s="37"/>
      <c r="H912" s="36"/>
      <c r="I912" s="36"/>
      <c r="J912" s="60"/>
      <c r="L912" s="61"/>
      <c r="M912" s="61"/>
      <c r="N912" s="61"/>
      <c r="O912" s="61"/>
      <c r="P912" s="61"/>
      <c r="Q912" s="61"/>
      <c r="R912" s="62"/>
      <c r="S912" s="62"/>
      <c r="T912" s="62"/>
    </row>
    <row r="913" spans="1:20" ht="15.75" customHeight="1" x14ac:dyDescent="0.3">
      <c r="A913" s="36"/>
      <c r="B913" s="36"/>
      <c r="C913" s="6"/>
      <c r="D913" s="36"/>
      <c r="E913" s="36"/>
      <c r="F913" s="6"/>
      <c r="G913" s="37"/>
      <c r="H913" s="36"/>
      <c r="I913" s="36"/>
      <c r="J913" s="60"/>
      <c r="L913" s="61"/>
      <c r="M913" s="61"/>
      <c r="N913" s="61"/>
      <c r="O913" s="61"/>
      <c r="P913" s="61"/>
      <c r="Q913" s="61"/>
      <c r="R913" s="62"/>
      <c r="S913" s="62"/>
      <c r="T913" s="62"/>
    </row>
    <row r="914" spans="1:20" ht="15.75" customHeight="1" x14ac:dyDescent="0.3">
      <c r="A914" s="36"/>
      <c r="B914" s="36"/>
      <c r="C914" s="6"/>
      <c r="D914" s="36"/>
      <c r="E914" s="36"/>
      <c r="F914" s="6"/>
      <c r="G914" s="37"/>
      <c r="H914" s="36"/>
      <c r="I914" s="36"/>
      <c r="J914" s="60"/>
      <c r="L914" s="61"/>
      <c r="M914" s="61"/>
      <c r="N914" s="61"/>
      <c r="O914" s="61"/>
      <c r="P914" s="61"/>
      <c r="Q914" s="61"/>
      <c r="R914" s="62"/>
      <c r="S914" s="62"/>
      <c r="T914" s="62"/>
    </row>
    <row r="915" spans="1:20" ht="15.75" customHeight="1" x14ac:dyDescent="0.3">
      <c r="A915" s="36"/>
      <c r="B915" s="36"/>
      <c r="C915" s="6"/>
      <c r="D915" s="36"/>
      <c r="E915" s="36"/>
      <c r="F915" s="6"/>
      <c r="G915" s="37"/>
      <c r="H915" s="36"/>
      <c r="I915" s="36"/>
      <c r="J915" s="60"/>
      <c r="L915" s="61"/>
      <c r="M915" s="61"/>
      <c r="N915" s="61"/>
      <c r="O915" s="61"/>
      <c r="P915" s="61"/>
      <c r="Q915" s="61"/>
      <c r="R915" s="62"/>
      <c r="S915" s="62"/>
      <c r="T915" s="62"/>
    </row>
    <row r="916" spans="1:20" ht="15.75" customHeight="1" x14ac:dyDescent="0.3">
      <c r="A916" s="36"/>
      <c r="B916" s="36"/>
      <c r="C916" s="6"/>
      <c r="D916" s="36"/>
      <c r="E916" s="36"/>
      <c r="F916" s="6"/>
      <c r="G916" s="37"/>
      <c r="H916" s="36"/>
      <c r="I916" s="36"/>
      <c r="J916" s="60"/>
      <c r="L916" s="61"/>
      <c r="M916" s="61"/>
      <c r="N916" s="61"/>
      <c r="O916" s="61"/>
      <c r="P916" s="61"/>
      <c r="Q916" s="61"/>
      <c r="R916" s="62"/>
      <c r="S916" s="62"/>
      <c r="T916" s="62"/>
    </row>
    <row r="917" spans="1:20" ht="15.75" customHeight="1" x14ac:dyDescent="0.3">
      <c r="A917" s="36"/>
      <c r="B917" s="36"/>
      <c r="C917" s="6"/>
      <c r="D917" s="36"/>
      <c r="E917" s="36"/>
      <c r="F917" s="6"/>
      <c r="G917" s="37"/>
      <c r="H917" s="36"/>
      <c r="I917" s="36"/>
      <c r="J917" s="60"/>
      <c r="L917" s="61"/>
      <c r="M917" s="61"/>
      <c r="N917" s="61"/>
      <c r="O917" s="61"/>
      <c r="P917" s="61"/>
      <c r="Q917" s="61"/>
      <c r="R917" s="62"/>
      <c r="S917" s="62"/>
      <c r="T917" s="62"/>
    </row>
    <row r="918" spans="1:20" ht="15.75" customHeight="1" x14ac:dyDescent="0.3">
      <c r="A918" s="36"/>
      <c r="B918" s="36"/>
      <c r="C918" s="6"/>
      <c r="D918" s="36"/>
      <c r="E918" s="36"/>
      <c r="F918" s="6"/>
      <c r="G918" s="37"/>
      <c r="H918" s="36"/>
      <c r="I918" s="36"/>
      <c r="J918" s="60"/>
      <c r="L918" s="61"/>
      <c r="M918" s="61"/>
      <c r="N918" s="61"/>
      <c r="O918" s="61"/>
      <c r="P918" s="61"/>
      <c r="Q918" s="61"/>
      <c r="R918" s="62"/>
      <c r="S918" s="62"/>
      <c r="T918" s="62"/>
    </row>
    <row r="919" spans="1:20" ht="15.75" customHeight="1" x14ac:dyDescent="0.3">
      <c r="A919" s="36"/>
      <c r="B919" s="36"/>
      <c r="C919" s="6"/>
      <c r="D919" s="36"/>
      <c r="E919" s="36"/>
      <c r="F919" s="6"/>
      <c r="G919" s="37"/>
      <c r="H919" s="36"/>
      <c r="I919" s="36"/>
      <c r="J919" s="60"/>
      <c r="L919" s="61"/>
      <c r="M919" s="61"/>
      <c r="N919" s="61"/>
      <c r="O919" s="61"/>
      <c r="P919" s="61"/>
      <c r="Q919" s="61"/>
      <c r="R919" s="62"/>
      <c r="S919" s="62"/>
      <c r="T919" s="62"/>
    </row>
    <row r="920" spans="1:20" ht="15.75" customHeight="1" x14ac:dyDescent="0.3">
      <c r="A920" s="36"/>
      <c r="B920" s="36"/>
      <c r="C920" s="6"/>
      <c r="D920" s="36"/>
      <c r="E920" s="36"/>
      <c r="F920" s="6"/>
      <c r="G920" s="37"/>
      <c r="H920" s="36"/>
      <c r="I920" s="36"/>
      <c r="J920" s="60"/>
      <c r="L920" s="61"/>
      <c r="M920" s="61"/>
      <c r="N920" s="61"/>
      <c r="O920" s="61"/>
      <c r="P920" s="61"/>
      <c r="Q920" s="61"/>
      <c r="R920" s="62"/>
      <c r="S920" s="62"/>
      <c r="T920" s="62"/>
    </row>
    <row r="921" spans="1:20" ht="15.75" customHeight="1" x14ac:dyDescent="0.3">
      <c r="A921" s="36"/>
      <c r="B921" s="36"/>
      <c r="C921" s="6"/>
      <c r="D921" s="36"/>
      <c r="E921" s="36"/>
      <c r="F921" s="6"/>
      <c r="G921" s="37"/>
      <c r="H921" s="36"/>
      <c r="I921" s="36"/>
      <c r="J921" s="60"/>
      <c r="L921" s="61"/>
      <c r="M921" s="61"/>
      <c r="N921" s="61"/>
      <c r="O921" s="61"/>
      <c r="P921" s="61"/>
      <c r="Q921" s="61"/>
      <c r="R921" s="62"/>
      <c r="S921" s="62"/>
      <c r="T921" s="62"/>
    </row>
    <row r="922" spans="1:20" ht="15.75" customHeight="1" x14ac:dyDescent="0.3">
      <c r="A922" s="36"/>
      <c r="B922" s="36"/>
      <c r="C922" s="6"/>
      <c r="D922" s="36"/>
      <c r="E922" s="36"/>
      <c r="F922" s="6"/>
      <c r="G922" s="37"/>
      <c r="H922" s="36"/>
      <c r="I922" s="36"/>
      <c r="J922" s="60"/>
      <c r="L922" s="61"/>
      <c r="M922" s="61"/>
      <c r="N922" s="61"/>
      <c r="O922" s="61"/>
      <c r="P922" s="61"/>
      <c r="Q922" s="61"/>
      <c r="R922" s="62"/>
      <c r="S922" s="62"/>
      <c r="T922" s="62"/>
    </row>
    <row r="923" spans="1:20" ht="15.75" customHeight="1" x14ac:dyDescent="0.3">
      <c r="A923" s="36"/>
      <c r="B923" s="36"/>
      <c r="C923" s="6"/>
      <c r="D923" s="36"/>
      <c r="E923" s="36"/>
      <c r="F923" s="6"/>
      <c r="G923" s="37"/>
      <c r="H923" s="36"/>
      <c r="I923" s="36"/>
      <c r="J923" s="60"/>
      <c r="L923" s="61"/>
      <c r="M923" s="61"/>
      <c r="N923" s="61"/>
      <c r="O923" s="61"/>
      <c r="P923" s="61"/>
      <c r="Q923" s="61"/>
      <c r="R923" s="62"/>
      <c r="S923" s="62"/>
      <c r="T923" s="62"/>
    </row>
    <row r="924" spans="1:20" ht="15.75" customHeight="1" x14ac:dyDescent="0.3">
      <c r="A924" s="36"/>
      <c r="B924" s="36"/>
      <c r="C924" s="6"/>
      <c r="D924" s="36"/>
      <c r="E924" s="36"/>
      <c r="F924" s="6"/>
      <c r="G924" s="37"/>
      <c r="H924" s="36"/>
      <c r="I924" s="36"/>
      <c r="J924" s="60"/>
      <c r="L924" s="61"/>
      <c r="M924" s="61"/>
      <c r="N924" s="61"/>
      <c r="O924" s="61"/>
      <c r="P924" s="61"/>
      <c r="Q924" s="61"/>
      <c r="R924" s="62"/>
      <c r="S924" s="62"/>
      <c r="T924" s="62"/>
    </row>
    <row r="925" spans="1:20" ht="15.75" customHeight="1" x14ac:dyDescent="0.3">
      <c r="A925" s="36"/>
      <c r="B925" s="36"/>
      <c r="C925" s="6"/>
      <c r="D925" s="36"/>
      <c r="E925" s="36"/>
      <c r="F925" s="6"/>
      <c r="G925" s="37"/>
      <c r="H925" s="36"/>
      <c r="I925" s="36"/>
      <c r="J925" s="60"/>
      <c r="L925" s="61"/>
      <c r="M925" s="61"/>
      <c r="N925" s="61"/>
      <c r="O925" s="61"/>
      <c r="P925" s="61"/>
      <c r="Q925" s="61"/>
      <c r="R925" s="62"/>
      <c r="S925" s="62"/>
      <c r="T925" s="62"/>
    </row>
    <row r="926" spans="1:20" ht="15.75" customHeight="1" x14ac:dyDescent="0.3">
      <c r="A926" s="36"/>
      <c r="B926" s="36"/>
      <c r="C926" s="6"/>
      <c r="D926" s="36"/>
      <c r="E926" s="36"/>
      <c r="F926" s="6"/>
      <c r="G926" s="37"/>
      <c r="H926" s="36"/>
      <c r="I926" s="36"/>
      <c r="J926" s="60"/>
      <c r="L926" s="61"/>
      <c r="M926" s="61"/>
      <c r="N926" s="61"/>
      <c r="O926" s="61"/>
      <c r="P926" s="61"/>
      <c r="Q926" s="61"/>
      <c r="R926" s="62"/>
      <c r="S926" s="62"/>
      <c r="T926" s="62"/>
    </row>
    <row r="927" spans="1:20" ht="15.75" customHeight="1" x14ac:dyDescent="0.3">
      <c r="A927" s="36"/>
      <c r="B927" s="36"/>
      <c r="C927" s="6"/>
      <c r="D927" s="36"/>
      <c r="E927" s="36"/>
      <c r="F927" s="6"/>
      <c r="G927" s="37"/>
      <c r="H927" s="36"/>
      <c r="I927" s="36"/>
      <c r="J927" s="60"/>
      <c r="L927" s="61"/>
      <c r="M927" s="61"/>
      <c r="N927" s="61"/>
      <c r="O927" s="61"/>
      <c r="P927" s="61"/>
      <c r="Q927" s="61"/>
      <c r="R927" s="62"/>
      <c r="S927" s="62"/>
      <c r="T927" s="62"/>
    </row>
    <row r="928" spans="1:20" ht="15.75" customHeight="1" x14ac:dyDescent="0.3">
      <c r="A928" s="36"/>
      <c r="B928" s="36"/>
      <c r="C928" s="6"/>
      <c r="D928" s="36"/>
      <c r="E928" s="36"/>
      <c r="F928" s="6"/>
      <c r="G928" s="37"/>
      <c r="H928" s="36"/>
      <c r="I928" s="36"/>
      <c r="J928" s="60"/>
      <c r="L928" s="61"/>
      <c r="M928" s="61"/>
      <c r="N928" s="61"/>
      <c r="O928" s="61"/>
      <c r="P928" s="61"/>
      <c r="Q928" s="61"/>
      <c r="R928" s="62"/>
      <c r="S928" s="62"/>
      <c r="T928" s="62"/>
    </row>
    <row r="929" spans="1:20" ht="15.75" customHeight="1" x14ac:dyDescent="0.3">
      <c r="A929" s="36"/>
      <c r="B929" s="36"/>
      <c r="C929" s="6"/>
      <c r="D929" s="36"/>
      <c r="E929" s="36"/>
      <c r="F929" s="6"/>
      <c r="G929" s="37"/>
      <c r="H929" s="36"/>
      <c r="I929" s="36"/>
      <c r="J929" s="60"/>
      <c r="L929" s="61"/>
      <c r="M929" s="61"/>
      <c r="N929" s="61"/>
      <c r="O929" s="61"/>
      <c r="P929" s="61"/>
      <c r="Q929" s="61"/>
      <c r="R929" s="62"/>
      <c r="S929" s="62"/>
      <c r="T929" s="62"/>
    </row>
    <row r="930" spans="1:20" ht="15.75" customHeight="1" x14ac:dyDescent="0.3">
      <c r="A930" s="36"/>
      <c r="B930" s="36"/>
      <c r="C930" s="6"/>
      <c r="D930" s="36"/>
      <c r="E930" s="36"/>
      <c r="F930" s="6"/>
      <c r="G930" s="37"/>
      <c r="H930" s="36"/>
      <c r="I930" s="36"/>
      <c r="J930" s="60"/>
      <c r="L930" s="61"/>
      <c r="M930" s="61"/>
      <c r="N930" s="61"/>
      <c r="O930" s="61"/>
      <c r="P930" s="61"/>
      <c r="Q930" s="61"/>
      <c r="R930" s="62"/>
      <c r="S930" s="62"/>
      <c r="T930" s="62"/>
    </row>
    <row r="931" spans="1:20" ht="15.75" customHeight="1" x14ac:dyDescent="0.3">
      <c r="A931" s="36"/>
      <c r="B931" s="36"/>
      <c r="C931" s="6"/>
      <c r="D931" s="36"/>
      <c r="E931" s="36"/>
      <c r="F931" s="6"/>
      <c r="G931" s="37"/>
      <c r="H931" s="36"/>
      <c r="I931" s="36"/>
      <c r="J931" s="60"/>
      <c r="L931" s="61"/>
      <c r="M931" s="61"/>
      <c r="N931" s="61"/>
      <c r="O931" s="61"/>
      <c r="P931" s="61"/>
      <c r="Q931" s="61"/>
      <c r="R931" s="62"/>
      <c r="S931" s="62"/>
      <c r="T931" s="62"/>
    </row>
    <row r="932" spans="1:20" ht="15.75" customHeight="1" x14ac:dyDescent="0.3">
      <c r="A932" s="36"/>
      <c r="B932" s="36"/>
      <c r="C932" s="6"/>
      <c r="D932" s="36"/>
      <c r="E932" s="36"/>
      <c r="F932" s="6"/>
      <c r="G932" s="37"/>
      <c r="H932" s="36"/>
      <c r="I932" s="36"/>
      <c r="J932" s="60"/>
      <c r="L932" s="61"/>
      <c r="M932" s="61"/>
      <c r="N932" s="61"/>
      <c r="O932" s="61"/>
      <c r="P932" s="61"/>
      <c r="Q932" s="61"/>
      <c r="R932" s="62"/>
      <c r="S932" s="62"/>
      <c r="T932" s="62"/>
    </row>
    <row r="933" spans="1:20" ht="15.75" customHeight="1" x14ac:dyDescent="0.3">
      <c r="A933" s="36"/>
      <c r="B933" s="36"/>
      <c r="C933" s="6"/>
      <c r="D933" s="36"/>
      <c r="E933" s="36"/>
      <c r="F933" s="6"/>
      <c r="G933" s="37"/>
      <c r="H933" s="36"/>
      <c r="I933" s="36"/>
      <c r="J933" s="60"/>
      <c r="L933" s="61"/>
      <c r="M933" s="61"/>
      <c r="N933" s="61"/>
      <c r="O933" s="61"/>
      <c r="P933" s="61"/>
      <c r="Q933" s="61"/>
      <c r="R933" s="62"/>
      <c r="S933" s="62"/>
      <c r="T933" s="62"/>
    </row>
    <row r="934" spans="1:20" ht="15.75" customHeight="1" x14ac:dyDescent="0.3">
      <c r="A934" s="36"/>
      <c r="B934" s="36"/>
      <c r="C934" s="6"/>
      <c r="D934" s="36"/>
      <c r="E934" s="36"/>
      <c r="F934" s="6"/>
      <c r="G934" s="37"/>
      <c r="H934" s="36"/>
      <c r="I934" s="36"/>
      <c r="J934" s="60"/>
      <c r="L934" s="61"/>
      <c r="M934" s="61"/>
      <c r="N934" s="61"/>
      <c r="O934" s="61"/>
      <c r="P934" s="61"/>
      <c r="Q934" s="61"/>
      <c r="R934" s="62"/>
      <c r="S934" s="62"/>
      <c r="T934" s="62"/>
    </row>
    <row r="935" spans="1:20" ht="15.75" customHeight="1" x14ac:dyDescent="0.3">
      <c r="A935" s="36"/>
      <c r="B935" s="36"/>
      <c r="C935" s="6"/>
      <c r="D935" s="36"/>
      <c r="E935" s="36"/>
      <c r="F935" s="6"/>
      <c r="G935" s="37"/>
      <c r="H935" s="36"/>
      <c r="I935" s="36"/>
      <c r="J935" s="60"/>
      <c r="L935" s="61"/>
      <c r="M935" s="61"/>
      <c r="N935" s="61"/>
      <c r="O935" s="61"/>
      <c r="P935" s="61"/>
      <c r="Q935" s="61"/>
      <c r="R935" s="62"/>
      <c r="S935" s="62"/>
      <c r="T935" s="62"/>
    </row>
    <row r="936" spans="1:20" ht="15.75" customHeight="1" x14ac:dyDescent="0.3">
      <c r="A936" s="36"/>
      <c r="B936" s="36"/>
      <c r="C936" s="6"/>
      <c r="D936" s="36"/>
      <c r="E936" s="36"/>
      <c r="F936" s="6"/>
      <c r="G936" s="37"/>
      <c r="H936" s="36"/>
      <c r="I936" s="36"/>
      <c r="J936" s="60"/>
      <c r="L936" s="61"/>
      <c r="M936" s="61"/>
      <c r="N936" s="61"/>
      <c r="O936" s="61"/>
      <c r="P936" s="61"/>
      <c r="Q936" s="61"/>
      <c r="R936" s="62"/>
      <c r="S936" s="62"/>
      <c r="T936" s="62"/>
    </row>
    <row r="937" spans="1:20" ht="15.75" customHeight="1" x14ac:dyDescent="0.3">
      <c r="A937" s="36"/>
      <c r="B937" s="36"/>
      <c r="C937" s="6"/>
      <c r="D937" s="36"/>
      <c r="E937" s="36"/>
      <c r="F937" s="6"/>
      <c r="G937" s="37"/>
      <c r="H937" s="36"/>
      <c r="I937" s="36"/>
      <c r="J937" s="60"/>
      <c r="L937" s="61"/>
      <c r="M937" s="61"/>
      <c r="N937" s="61"/>
      <c r="O937" s="61"/>
      <c r="P937" s="61"/>
      <c r="Q937" s="61"/>
      <c r="R937" s="62"/>
      <c r="S937" s="62"/>
      <c r="T937" s="62"/>
    </row>
    <row r="938" spans="1:20" ht="15.75" customHeight="1" x14ac:dyDescent="0.3">
      <c r="A938" s="36"/>
      <c r="B938" s="36"/>
      <c r="C938" s="6"/>
      <c r="D938" s="36"/>
      <c r="E938" s="36"/>
      <c r="F938" s="6"/>
      <c r="G938" s="37"/>
      <c r="H938" s="36"/>
      <c r="I938" s="36"/>
      <c r="J938" s="60"/>
      <c r="L938" s="61"/>
      <c r="M938" s="61"/>
      <c r="N938" s="61"/>
      <c r="O938" s="61"/>
      <c r="P938" s="61"/>
      <c r="Q938" s="61"/>
      <c r="R938" s="62"/>
      <c r="S938" s="62"/>
      <c r="T938" s="62"/>
    </row>
    <row r="939" spans="1:20" ht="15.75" customHeight="1" x14ac:dyDescent="0.3">
      <c r="A939" s="36"/>
      <c r="B939" s="36"/>
      <c r="C939" s="6"/>
      <c r="D939" s="36"/>
      <c r="E939" s="36"/>
      <c r="F939" s="6"/>
      <c r="G939" s="37"/>
      <c r="H939" s="36"/>
      <c r="I939" s="36"/>
      <c r="J939" s="60"/>
      <c r="L939" s="61"/>
      <c r="M939" s="61"/>
      <c r="N939" s="61"/>
      <c r="O939" s="61"/>
      <c r="P939" s="61"/>
      <c r="Q939" s="61"/>
      <c r="R939" s="62"/>
      <c r="S939" s="62"/>
      <c r="T939" s="62"/>
    </row>
    <row r="940" spans="1:20" ht="15.75" customHeight="1" x14ac:dyDescent="0.3">
      <c r="A940" s="36"/>
      <c r="B940" s="36"/>
      <c r="C940" s="6"/>
      <c r="D940" s="36"/>
      <c r="E940" s="36"/>
      <c r="F940" s="6"/>
      <c r="G940" s="37"/>
      <c r="H940" s="36"/>
      <c r="I940" s="36"/>
      <c r="J940" s="60"/>
      <c r="L940" s="61"/>
      <c r="M940" s="61"/>
      <c r="N940" s="61"/>
      <c r="O940" s="61"/>
      <c r="P940" s="61"/>
      <c r="Q940" s="61"/>
      <c r="R940" s="62"/>
      <c r="S940" s="62"/>
      <c r="T940" s="62"/>
    </row>
    <row r="941" spans="1:20" ht="15.75" customHeight="1" x14ac:dyDescent="0.3">
      <c r="A941" s="36"/>
      <c r="B941" s="36"/>
      <c r="C941" s="6"/>
      <c r="D941" s="36"/>
      <c r="E941" s="36"/>
      <c r="F941" s="6"/>
      <c r="G941" s="37"/>
      <c r="H941" s="36"/>
      <c r="I941" s="36"/>
      <c r="J941" s="60"/>
      <c r="L941" s="61"/>
      <c r="M941" s="61"/>
      <c r="N941" s="61"/>
      <c r="O941" s="61"/>
      <c r="P941" s="61"/>
      <c r="Q941" s="61"/>
      <c r="R941" s="62"/>
      <c r="S941" s="62"/>
      <c r="T941" s="62"/>
    </row>
    <row r="942" spans="1:20" ht="15.75" customHeight="1" x14ac:dyDescent="0.3">
      <c r="A942" s="36"/>
      <c r="B942" s="36"/>
      <c r="C942" s="6"/>
      <c r="D942" s="36"/>
      <c r="E942" s="36"/>
      <c r="F942" s="6"/>
      <c r="G942" s="37"/>
      <c r="H942" s="36"/>
      <c r="I942" s="36"/>
      <c r="J942" s="60"/>
      <c r="L942" s="61"/>
      <c r="M942" s="61"/>
      <c r="N942" s="61"/>
      <c r="O942" s="61"/>
      <c r="P942" s="61"/>
      <c r="Q942" s="61"/>
      <c r="R942" s="62"/>
      <c r="S942" s="62"/>
      <c r="T942" s="62"/>
    </row>
    <row r="943" spans="1:20" ht="15.75" customHeight="1" x14ac:dyDescent="0.3">
      <c r="A943" s="36"/>
      <c r="B943" s="36"/>
      <c r="C943" s="6"/>
      <c r="D943" s="36"/>
      <c r="E943" s="36"/>
      <c r="F943" s="6"/>
      <c r="G943" s="37"/>
      <c r="H943" s="36"/>
      <c r="I943" s="36"/>
      <c r="J943" s="60"/>
      <c r="L943" s="61"/>
      <c r="M943" s="61"/>
      <c r="N943" s="61"/>
      <c r="O943" s="61"/>
      <c r="P943" s="61"/>
      <c r="Q943" s="61"/>
      <c r="R943" s="62"/>
      <c r="S943" s="62"/>
      <c r="T943" s="62"/>
    </row>
    <row r="944" spans="1:20" ht="15.75" customHeight="1" x14ac:dyDescent="0.3">
      <c r="A944" s="36"/>
      <c r="B944" s="36"/>
      <c r="C944" s="6"/>
      <c r="D944" s="36"/>
      <c r="E944" s="36"/>
      <c r="F944" s="6"/>
      <c r="G944" s="37"/>
      <c r="H944" s="36"/>
      <c r="I944" s="36"/>
      <c r="J944" s="60"/>
      <c r="L944" s="61"/>
      <c r="M944" s="61"/>
      <c r="N944" s="61"/>
      <c r="O944" s="61"/>
      <c r="P944" s="61"/>
      <c r="Q944" s="61"/>
      <c r="R944" s="62"/>
      <c r="S944" s="62"/>
      <c r="T944" s="62"/>
    </row>
    <row r="945" spans="1:20" ht="15.75" customHeight="1" x14ac:dyDescent="0.3">
      <c r="A945" s="36"/>
      <c r="B945" s="36"/>
      <c r="C945" s="6"/>
      <c r="D945" s="36"/>
      <c r="E945" s="36"/>
      <c r="F945" s="6"/>
      <c r="G945" s="37"/>
      <c r="H945" s="36"/>
      <c r="I945" s="36"/>
      <c r="J945" s="60"/>
      <c r="L945" s="61"/>
      <c r="M945" s="61"/>
      <c r="N945" s="61"/>
      <c r="O945" s="61"/>
      <c r="P945" s="61"/>
      <c r="Q945" s="61"/>
      <c r="R945" s="62"/>
      <c r="S945" s="62"/>
      <c r="T945" s="62"/>
    </row>
    <row r="946" spans="1:20" ht="15.75" customHeight="1" x14ac:dyDescent="0.3">
      <c r="A946" s="36"/>
      <c r="B946" s="36"/>
      <c r="C946" s="6"/>
      <c r="D946" s="36"/>
      <c r="E946" s="36"/>
      <c r="F946" s="6"/>
      <c r="G946" s="37"/>
      <c r="H946" s="36"/>
      <c r="I946" s="36"/>
      <c r="J946" s="60"/>
      <c r="L946" s="61"/>
      <c r="M946" s="61"/>
      <c r="N946" s="61"/>
      <c r="O946" s="61"/>
      <c r="P946" s="61"/>
      <c r="Q946" s="61"/>
      <c r="R946" s="62"/>
      <c r="S946" s="62"/>
      <c r="T946" s="62"/>
    </row>
    <row r="947" spans="1:20" ht="15.75" customHeight="1" x14ac:dyDescent="0.3">
      <c r="A947" s="36"/>
      <c r="B947" s="36"/>
      <c r="C947" s="6"/>
      <c r="D947" s="36"/>
      <c r="E947" s="36"/>
      <c r="F947" s="6"/>
      <c r="G947" s="37"/>
      <c r="H947" s="36"/>
      <c r="I947" s="36"/>
      <c r="J947" s="60"/>
      <c r="L947" s="61"/>
      <c r="M947" s="61"/>
      <c r="N947" s="61"/>
      <c r="O947" s="61"/>
      <c r="P947" s="61"/>
      <c r="Q947" s="61"/>
      <c r="R947" s="62"/>
      <c r="S947" s="62"/>
      <c r="T947" s="62"/>
    </row>
    <row r="948" spans="1:20" ht="15.75" customHeight="1" x14ac:dyDescent="0.3">
      <c r="A948" s="36"/>
      <c r="B948" s="36"/>
      <c r="C948" s="6"/>
      <c r="D948" s="36"/>
      <c r="E948" s="36"/>
      <c r="F948" s="6"/>
      <c r="G948" s="37"/>
      <c r="H948" s="36"/>
      <c r="I948" s="36"/>
      <c r="J948" s="60"/>
      <c r="L948" s="61"/>
      <c r="M948" s="61"/>
      <c r="N948" s="61"/>
      <c r="O948" s="61"/>
      <c r="P948" s="61"/>
      <c r="Q948" s="61"/>
      <c r="R948" s="62"/>
      <c r="S948" s="62"/>
      <c r="T948" s="62"/>
    </row>
    <row r="949" spans="1:20" ht="15.75" customHeight="1" x14ac:dyDescent="0.3">
      <c r="A949" s="36"/>
      <c r="B949" s="36"/>
      <c r="C949" s="6"/>
      <c r="D949" s="36"/>
      <c r="E949" s="36"/>
      <c r="F949" s="6"/>
      <c r="G949" s="37"/>
      <c r="H949" s="36"/>
      <c r="I949" s="36"/>
      <c r="J949" s="60"/>
      <c r="L949" s="61"/>
      <c r="M949" s="61"/>
      <c r="N949" s="61"/>
      <c r="O949" s="61"/>
      <c r="P949" s="61"/>
      <c r="Q949" s="61"/>
      <c r="R949" s="62"/>
      <c r="S949" s="62"/>
      <c r="T949" s="62"/>
    </row>
    <row r="950" spans="1:20" ht="15.75" customHeight="1" x14ac:dyDescent="0.3">
      <c r="A950" s="36"/>
      <c r="B950" s="36"/>
      <c r="C950" s="6"/>
      <c r="D950" s="36"/>
      <c r="E950" s="36"/>
      <c r="F950" s="6"/>
      <c r="G950" s="37"/>
      <c r="H950" s="36"/>
      <c r="I950" s="36"/>
      <c r="J950" s="60"/>
      <c r="L950" s="61"/>
      <c r="M950" s="61"/>
      <c r="N950" s="61"/>
      <c r="O950" s="61"/>
      <c r="P950" s="61"/>
      <c r="Q950" s="61"/>
      <c r="R950" s="62"/>
      <c r="S950" s="62"/>
      <c r="T950" s="62"/>
    </row>
    <row r="951" spans="1:20" ht="15.75" customHeight="1" x14ac:dyDescent="0.3">
      <c r="A951" s="36"/>
      <c r="B951" s="36"/>
      <c r="C951" s="6"/>
      <c r="D951" s="36"/>
      <c r="E951" s="36"/>
      <c r="F951" s="6"/>
      <c r="G951" s="37"/>
      <c r="H951" s="36"/>
      <c r="I951" s="36"/>
      <c r="J951" s="60"/>
      <c r="L951" s="61"/>
      <c r="M951" s="61"/>
      <c r="N951" s="61"/>
      <c r="O951" s="61"/>
      <c r="P951" s="61"/>
      <c r="Q951" s="61"/>
      <c r="R951" s="62"/>
      <c r="S951" s="62"/>
      <c r="T951" s="62"/>
    </row>
    <row r="952" spans="1:20" ht="15.75" customHeight="1" x14ac:dyDescent="0.3">
      <c r="A952" s="36"/>
      <c r="B952" s="36"/>
      <c r="C952" s="6"/>
      <c r="D952" s="36"/>
      <c r="E952" s="36"/>
      <c r="F952" s="6"/>
      <c r="G952" s="37"/>
      <c r="H952" s="36"/>
      <c r="I952" s="36"/>
      <c r="J952" s="60"/>
      <c r="L952" s="61"/>
      <c r="M952" s="61"/>
      <c r="N952" s="61"/>
      <c r="O952" s="61"/>
      <c r="P952" s="61"/>
      <c r="Q952" s="61"/>
      <c r="R952" s="62"/>
      <c r="S952" s="62"/>
      <c r="T952" s="62"/>
    </row>
    <row r="953" spans="1:20" ht="15.75" customHeight="1" x14ac:dyDescent="0.3">
      <c r="A953" s="36"/>
      <c r="B953" s="36"/>
      <c r="C953" s="6"/>
      <c r="D953" s="36"/>
      <c r="E953" s="36"/>
      <c r="F953" s="6"/>
      <c r="G953" s="37"/>
      <c r="H953" s="36"/>
      <c r="I953" s="36"/>
      <c r="J953" s="60"/>
      <c r="L953" s="61"/>
      <c r="M953" s="61"/>
      <c r="N953" s="61"/>
      <c r="O953" s="61"/>
      <c r="P953" s="61"/>
      <c r="Q953" s="61"/>
      <c r="R953" s="62"/>
      <c r="S953" s="62"/>
      <c r="T953" s="62"/>
    </row>
    <row r="954" spans="1:20" ht="15.75" customHeight="1" x14ac:dyDescent="0.3">
      <c r="A954" s="36"/>
      <c r="B954" s="36"/>
      <c r="C954" s="6"/>
      <c r="D954" s="36"/>
      <c r="E954" s="36"/>
      <c r="F954" s="6"/>
      <c r="G954" s="37"/>
      <c r="H954" s="36"/>
      <c r="I954" s="36"/>
      <c r="J954" s="60"/>
      <c r="L954" s="61"/>
      <c r="M954" s="61"/>
      <c r="N954" s="61"/>
      <c r="O954" s="61"/>
      <c r="P954" s="61"/>
      <c r="Q954" s="61"/>
      <c r="R954" s="62"/>
      <c r="S954" s="62"/>
      <c r="T954" s="62"/>
    </row>
    <row r="955" spans="1:20" ht="15.75" customHeight="1" x14ac:dyDescent="0.3">
      <c r="A955" s="36"/>
      <c r="B955" s="36"/>
      <c r="C955" s="6"/>
      <c r="D955" s="36"/>
      <c r="E955" s="36"/>
      <c r="F955" s="6"/>
      <c r="G955" s="37"/>
      <c r="H955" s="36"/>
      <c r="I955" s="36"/>
      <c r="J955" s="60"/>
      <c r="L955" s="61"/>
      <c r="M955" s="61"/>
      <c r="N955" s="61"/>
      <c r="O955" s="61"/>
      <c r="P955" s="61"/>
      <c r="Q955" s="61"/>
      <c r="R955" s="62"/>
      <c r="S955" s="62"/>
      <c r="T955" s="62"/>
    </row>
    <row r="956" spans="1:20" ht="15.75" customHeight="1" x14ac:dyDescent="0.3">
      <c r="A956" s="36"/>
      <c r="B956" s="36"/>
      <c r="C956" s="6"/>
      <c r="D956" s="36"/>
      <c r="E956" s="36"/>
      <c r="F956" s="6"/>
      <c r="G956" s="37"/>
      <c r="H956" s="36"/>
      <c r="I956" s="36"/>
      <c r="J956" s="60"/>
      <c r="L956" s="61"/>
      <c r="M956" s="61"/>
      <c r="N956" s="61"/>
      <c r="O956" s="61"/>
      <c r="P956" s="61"/>
      <c r="Q956" s="61"/>
      <c r="R956" s="62"/>
      <c r="S956" s="62"/>
      <c r="T956" s="62"/>
    </row>
    <row r="957" spans="1:20" ht="15.75" customHeight="1" x14ac:dyDescent="0.3">
      <c r="A957" s="36"/>
      <c r="B957" s="36"/>
      <c r="C957" s="6"/>
      <c r="D957" s="36"/>
      <c r="E957" s="36"/>
      <c r="F957" s="6"/>
      <c r="G957" s="37"/>
      <c r="H957" s="36"/>
      <c r="I957" s="36"/>
      <c r="J957" s="60"/>
      <c r="L957" s="61"/>
      <c r="M957" s="61"/>
      <c r="N957" s="61"/>
      <c r="O957" s="61"/>
      <c r="P957" s="61"/>
      <c r="Q957" s="61"/>
      <c r="R957" s="62"/>
      <c r="S957" s="62"/>
      <c r="T957" s="62"/>
    </row>
    <row r="958" spans="1:20" ht="15.75" customHeight="1" x14ac:dyDescent="0.3">
      <c r="A958" s="36"/>
      <c r="B958" s="36"/>
      <c r="C958" s="6"/>
      <c r="D958" s="36"/>
      <c r="E958" s="36"/>
      <c r="F958" s="6"/>
      <c r="G958" s="37"/>
      <c r="H958" s="36"/>
      <c r="I958" s="36"/>
      <c r="J958" s="60"/>
      <c r="L958" s="61"/>
      <c r="M958" s="61"/>
      <c r="N958" s="61"/>
      <c r="O958" s="61"/>
      <c r="P958" s="61"/>
      <c r="Q958" s="61"/>
      <c r="R958" s="62"/>
      <c r="S958" s="62"/>
      <c r="T958" s="62"/>
    </row>
    <row r="959" spans="1:20" ht="15.75" customHeight="1" x14ac:dyDescent="0.3">
      <c r="A959" s="36"/>
      <c r="B959" s="36"/>
      <c r="C959" s="6"/>
      <c r="D959" s="36"/>
      <c r="E959" s="36"/>
      <c r="F959" s="6"/>
      <c r="G959" s="37"/>
      <c r="H959" s="36"/>
      <c r="I959" s="36"/>
      <c r="J959" s="60"/>
      <c r="L959" s="61"/>
      <c r="M959" s="61"/>
      <c r="N959" s="61"/>
      <c r="O959" s="61"/>
      <c r="P959" s="61"/>
      <c r="Q959" s="61"/>
      <c r="R959" s="62"/>
      <c r="S959" s="62"/>
      <c r="T959" s="62"/>
    </row>
    <row r="960" spans="1:20" ht="15.75" customHeight="1" x14ac:dyDescent="0.3">
      <c r="A960" s="36"/>
      <c r="B960" s="36"/>
      <c r="C960" s="6"/>
      <c r="D960" s="36"/>
      <c r="E960" s="36"/>
      <c r="F960" s="6"/>
      <c r="G960" s="37"/>
      <c r="H960" s="36"/>
      <c r="I960" s="36"/>
      <c r="J960" s="60"/>
      <c r="L960" s="61"/>
      <c r="M960" s="61"/>
      <c r="N960" s="61"/>
      <c r="O960" s="61"/>
      <c r="P960" s="61"/>
      <c r="Q960" s="61"/>
      <c r="R960" s="62"/>
      <c r="S960" s="62"/>
      <c r="T960" s="62"/>
    </row>
    <row r="961" spans="1:20" ht="15.75" customHeight="1" x14ac:dyDescent="0.3">
      <c r="A961" s="36"/>
      <c r="B961" s="36"/>
      <c r="C961" s="6"/>
      <c r="D961" s="36"/>
      <c r="E961" s="36"/>
      <c r="F961" s="6"/>
      <c r="G961" s="37"/>
      <c r="H961" s="36"/>
      <c r="I961" s="36"/>
      <c r="J961" s="60"/>
      <c r="L961" s="61"/>
      <c r="M961" s="61"/>
      <c r="N961" s="61"/>
      <c r="O961" s="61"/>
      <c r="P961" s="61"/>
      <c r="Q961" s="61"/>
      <c r="R961" s="62"/>
      <c r="S961" s="62"/>
      <c r="T961" s="62"/>
    </row>
    <row r="962" spans="1:20" ht="15.75" customHeight="1" x14ac:dyDescent="0.3">
      <c r="A962" s="36"/>
      <c r="B962" s="36"/>
      <c r="C962" s="6"/>
      <c r="D962" s="36"/>
      <c r="E962" s="36"/>
      <c r="F962" s="6"/>
      <c r="G962" s="37"/>
      <c r="H962" s="36"/>
      <c r="I962" s="36"/>
      <c r="J962" s="60"/>
      <c r="L962" s="61"/>
      <c r="M962" s="61"/>
      <c r="N962" s="61"/>
      <c r="O962" s="61"/>
      <c r="P962" s="61"/>
      <c r="Q962" s="61"/>
      <c r="R962" s="62"/>
      <c r="S962" s="62"/>
      <c r="T962" s="62"/>
    </row>
    <row r="963" spans="1:20" ht="15.75" customHeight="1" x14ac:dyDescent="0.3">
      <c r="A963" s="36"/>
      <c r="B963" s="36"/>
      <c r="C963" s="6"/>
      <c r="D963" s="36"/>
      <c r="E963" s="36"/>
      <c r="F963" s="6"/>
      <c r="G963" s="37"/>
      <c r="H963" s="36"/>
      <c r="I963" s="36"/>
      <c r="J963" s="60"/>
      <c r="L963" s="61"/>
      <c r="M963" s="61"/>
      <c r="N963" s="61"/>
      <c r="O963" s="61"/>
      <c r="P963" s="61"/>
      <c r="Q963" s="61"/>
      <c r="R963" s="62"/>
      <c r="S963" s="62"/>
      <c r="T963" s="62"/>
    </row>
    <row r="964" spans="1:20" ht="15.75" customHeight="1" x14ac:dyDescent="0.3">
      <c r="A964" s="36"/>
      <c r="B964" s="36"/>
      <c r="C964" s="6"/>
      <c r="D964" s="36"/>
      <c r="E964" s="36"/>
      <c r="F964" s="6"/>
      <c r="G964" s="37"/>
      <c r="H964" s="36"/>
      <c r="I964" s="36"/>
      <c r="J964" s="60"/>
      <c r="L964" s="61"/>
      <c r="M964" s="61"/>
      <c r="N964" s="61"/>
      <c r="O964" s="61"/>
      <c r="P964" s="61"/>
      <c r="Q964" s="61"/>
      <c r="R964" s="62"/>
      <c r="S964" s="62"/>
      <c r="T964" s="62"/>
    </row>
    <row r="965" spans="1:20" ht="15.75" customHeight="1" x14ac:dyDescent="0.3">
      <c r="A965" s="36"/>
      <c r="B965" s="36"/>
      <c r="C965" s="6"/>
      <c r="D965" s="36"/>
      <c r="E965" s="36"/>
      <c r="F965" s="6"/>
      <c r="G965" s="37"/>
      <c r="H965" s="36"/>
      <c r="I965" s="36"/>
      <c r="J965" s="60"/>
      <c r="L965" s="61"/>
      <c r="M965" s="61"/>
      <c r="N965" s="61"/>
      <c r="O965" s="61"/>
      <c r="P965" s="61"/>
      <c r="Q965" s="61"/>
      <c r="R965" s="62"/>
      <c r="S965" s="62"/>
      <c r="T965" s="62"/>
    </row>
    <row r="966" spans="1:20" ht="15.75" customHeight="1" x14ac:dyDescent="0.3">
      <c r="A966" s="36"/>
      <c r="B966" s="36"/>
      <c r="C966" s="6"/>
      <c r="D966" s="36"/>
      <c r="E966" s="36"/>
      <c r="F966" s="6"/>
      <c r="G966" s="37"/>
      <c r="H966" s="36"/>
      <c r="I966" s="36"/>
      <c r="J966" s="60"/>
      <c r="L966" s="61"/>
      <c r="M966" s="61"/>
      <c r="N966" s="61"/>
      <c r="O966" s="61"/>
      <c r="P966" s="61"/>
      <c r="Q966" s="61"/>
      <c r="R966" s="62"/>
      <c r="S966" s="62"/>
      <c r="T966" s="62"/>
    </row>
    <row r="967" spans="1:20" ht="15.75" customHeight="1" x14ac:dyDescent="0.3">
      <c r="A967" s="36"/>
      <c r="B967" s="36"/>
      <c r="C967" s="6"/>
      <c r="D967" s="36"/>
      <c r="E967" s="36"/>
      <c r="F967" s="6"/>
      <c r="G967" s="37"/>
      <c r="H967" s="36"/>
      <c r="I967" s="36"/>
      <c r="J967" s="60"/>
      <c r="L967" s="61"/>
      <c r="M967" s="61"/>
      <c r="N967" s="61"/>
      <c r="O967" s="61"/>
      <c r="P967" s="61"/>
      <c r="Q967" s="61"/>
      <c r="R967" s="62"/>
      <c r="S967" s="62"/>
      <c r="T967" s="62"/>
    </row>
    <row r="968" spans="1:20" ht="15.75" customHeight="1" x14ac:dyDescent="0.3">
      <c r="A968" s="36"/>
      <c r="B968" s="36"/>
      <c r="C968" s="6"/>
      <c r="D968" s="36"/>
      <c r="E968" s="36"/>
      <c r="F968" s="6"/>
      <c r="G968" s="37"/>
      <c r="H968" s="36"/>
      <c r="I968" s="36"/>
      <c r="J968" s="60"/>
      <c r="L968" s="61"/>
      <c r="M968" s="61"/>
      <c r="N968" s="61"/>
      <c r="O968" s="61"/>
      <c r="P968" s="61"/>
      <c r="Q968" s="61"/>
      <c r="R968" s="62"/>
      <c r="S968" s="62"/>
      <c r="T968" s="62"/>
    </row>
    <row r="969" spans="1:20" ht="15.75" customHeight="1" x14ac:dyDescent="0.3">
      <c r="A969" s="36"/>
      <c r="B969" s="36"/>
      <c r="C969" s="6"/>
      <c r="D969" s="36"/>
      <c r="E969" s="36"/>
      <c r="F969" s="6"/>
      <c r="G969" s="37"/>
      <c r="H969" s="36"/>
      <c r="I969" s="36"/>
      <c r="J969" s="60"/>
      <c r="L969" s="61"/>
      <c r="M969" s="61"/>
      <c r="N969" s="61"/>
      <c r="O969" s="61"/>
      <c r="P969" s="61"/>
      <c r="Q969" s="61"/>
      <c r="R969" s="62"/>
      <c r="S969" s="62"/>
      <c r="T969" s="62"/>
    </row>
    <row r="970" spans="1:20" ht="15.75" customHeight="1" x14ac:dyDescent="0.3">
      <c r="A970" s="36"/>
      <c r="B970" s="36"/>
      <c r="C970" s="6"/>
      <c r="D970" s="36"/>
      <c r="E970" s="36"/>
      <c r="F970" s="6"/>
      <c r="G970" s="37"/>
      <c r="H970" s="36"/>
      <c r="I970" s="36"/>
      <c r="J970" s="60"/>
      <c r="L970" s="61"/>
      <c r="M970" s="61"/>
      <c r="N970" s="61"/>
      <c r="O970" s="61"/>
      <c r="P970" s="61"/>
      <c r="Q970" s="61"/>
      <c r="R970" s="62"/>
      <c r="S970" s="62"/>
      <c r="T970" s="62"/>
    </row>
    <row r="971" spans="1:20" ht="15.75" customHeight="1" x14ac:dyDescent="0.3">
      <c r="A971" s="36"/>
      <c r="B971" s="36"/>
      <c r="C971" s="6"/>
      <c r="D971" s="36"/>
      <c r="E971" s="36"/>
      <c r="F971" s="6"/>
      <c r="G971" s="37"/>
      <c r="H971" s="36"/>
      <c r="I971" s="36"/>
      <c r="J971" s="60"/>
      <c r="L971" s="61"/>
      <c r="M971" s="61"/>
      <c r="N971" s="61"/>
      <c r="O971" s="61"/>
      <c r="P971" s="61"/>
      <c r="Q971" s="61"/>
      <c r="R971" s="62"/>
      <c r="S971" s="62"/>
      <c r="T971" s="62"/>
    </row>
    <row r="972" spans="1:20" ht="15.75" customHeight="1" x14ac:dyDescent="0.3">
      <c r="A972" s="36"/>
      <c r="B972" s="36"/>
      <c r="C972" s="6"/>
      <c r="D972" s="36"/>
      <c r="E972" s="36"/>
      <c r="F972" s="6"/>
      <c r="G972" s="37"/>
      <c r="H972" s="36"/>
      <c r="I972" s="36"/>
      <c r="J972" s="60"/>
      <c r="L972" s="61"/>
      <c r="M972" s="61"/>
      <c r="N972" s="61"/>
      <c r="O972" s="61"/>
      <c r="P972" s="61"/>
      <c r="Q972" s="61"/>
      <c r="R972" s="62"/>
      <c r="S972" s="62"/>
      <c r="T972" s="62"/>
    </row>
    <row r="973" spans="1:20" ht="15.75" customHeight="1" x14ac:dyDescent="0.3">
      <c r="A973" s="36"/>
      <c r="B973" s="36"/>
      <c r="C973" s="6"/>
      <c r="D973" s="36"/>
      <c r="E973" s="36"/>
      <c r="F973" s="6"/>
      <c r="G973" s="37"/>
      <c r="H973" s="36"/>
      <c r="I973" s="36"/>
      <c r="J973" s="60"/>
      <c r="L973" s="61"/>
      <c r="M973" s="61"/>
      <c r="N973" s="61"/>
      <c r="O973" s="61"/>
      <c r="P973" s="61"/>
      <c r="Q973" s="61"/>
      <c r="R973" s="62"/>
      <c r="S973" s="62"/>
      <c r="T973" s="62"/>
    </row>
    <row r="974" spans="1:20" ht="15.75" customHeight="1" x14ac:dyDescent="0.3">
      <c r="A974" s="36"/>
      <c r="B974" s="36"/>
      <c r="C974" s="6"/>
      <c r="D974" s="36"/>
      <c r="E974" s="36"/>
      <c r="F974" s="6"/>
      <c r="G974" s="37"/>
      <c r="H974" s="36"/>
      <c r="I974" s="36"/>
      <c r="J974" s="60"/>
      <c r="L974" s="61"/>
      <c r="M974" s="61"/>
      <c r="N974" s="61"/>
      <c r="O974" s="61"/>
      <c r="P974" s="61"/>
      <c r="Q974" s="61"/>
      <c r="R974" s="62"/>
      <c r="S974" s="62"/>
      <c r="T974" s="62"/>
    </row>
    <row r="975" spans="1:20" ht="15.75" customHeight="1" x14ac:dyDescent="0.3">
      <c r="A975" s="36"/>
      <c r="B975" s="36"/>
      <c r="C975" s="6"/>
      <c r="D975" s="36"/>
      <c r="E975" s="36"/>
      <c r="F975" s="6"/>
      <c r="G975" s="37"/>
      <c r="H975" s="36"/>
      <c r="I975" s="36"/>
      <c r="J975" s="60"/>
      <c r="L975" s="61"/>
      <c r="M975" s="61"/>
      <c r="N975" s="61"/>
      <c r="O975" s="61"/>
      <c r="P975" s="61"/>
      <c r="Q975" s="61"/>
      <c r="R975" s="62"/>
      <c r="S975" s="62"/>
      <c r="T975" s="62"/>
    </row>
    <row r="976" spans="1:20" ht="15.75" customHeight="1" x14ac:dyDescent="0.3">
      <c r="A976" s="36"/>
      <c r="B976" s="36"/>
      <c r="C976" s="6"/>
      <c r="D976" s="36"/>
      <c r="E976" s="36"/>
      <c r="F976" s="6"/>
      <c r="G976" s="37"/>
      <c r="H976" s="36"/>
      <c r="I976" s="36"/>
      <c r="J976" s="60"/>
      <c r="L976" s="61"/>
      <c r="M976" s="61"/>
      <c r="N976" s="61"/>
      <c r="O976" s="61"/>
      <c r="P976" s="61"/>
      <c r="Q976" s="61"/>
      <c r="R976" s="62"/>
      <c r="S976" s="62"/>
      <c r="T976" s="62"/>
    </row>
    <row r="977" spans="1:20" ht="15.75" customHeight="1" x14ac:dyDescent="0.3">
      <c r="A977" s="36"/>
      <c r="B977" s="36"/>
      <c r="C977" s="6"/>
      <c r="D977" s="36"/>
      <c r="E977" s="36"/>
      <c r="F977" s="6"/>
      <c r="G977" s="37"/>
      <c r="H977" s="36"/>
      <c r="I977" s="36"/>
      <c r="J977" s="60"/>
      <c r="L977" s="61"/>
      <c r="M977" s="61"/>
      <c r="N977" s="61"/>
      <c r="O977" s="61"/>
      <c r="P977" s="61"/>
      <c r="Q977" s="61"/>
      <c r="R977" s="62"/>
      <c r="S977" s="62"/>
      <c r="T977" s="62"/>
    </row>
    <row r="978" spans="1:20" ht="15.75" customHeight="1" x14ac:dyDescent="0.3">
      <c r="A978" s="36"/>
      <c r="B978" s="36"/>
      <c r="C978" s="6"/>
      <c r="D978" s="36"/>
      <c r="E978" s="36"/>
      <c r="F978" s="6"/>
      <c r="G978" s="37"/>
      <c r="H978" s="36"/>
      <c r="I978" s="36"/>
      <c r="J978" s="60"/>
      <c r="L978" s="61"/>
      <c r="M978" s="61"/>
      <c r="N978" s="61"/>
      <c r="O978" s="61"/>
      <c r="P978" s="61"/>
      <c r="Q978" s="61"/>
      <c r="R978" s="62"/>
      <c r="S978" s="62"/>
      <c r="T978" s="62"/>
    </row>
    <row r="979" spans="1:20" ht="15.75" customHeight="1" x14ac:dyDescent="0.3">
      <c r="A979" s="36"/>
      <c r="B979" s="36"/>
      <c r="C979" s="6"/>
      <c r="D979" s="36"/>
      <c r="E979" s="36"/>
      <c r="F979" s="6"/>
      <c r="G979" s="37"/>
      <c r="H979" s="36"/>
      <c r="I979" s="36"/>
      <c r="J979" s="60"/>
      <c r="L979" s="61"/>
      <c r="M979" s="61"/>
      <c r="N979" s="61"/>
      <c r="O979" s="61"/>
      <c r="P979" s="61"/>
      <c r="Q979" s="61"/>
      <c r="R979" s="62"/>
      <c r="S979" s="62"/>
      <c r="T979" s="62"/>
    </row>
    <row r="980" spans="1:20" ht="15.75" customHeight="1" x14ac:dyDescent="0.3">
      <c r="A980" s="36"/>
      <c r="B980" s="36"/>
      <c r="C980" s="6"/>
      <c r="D980" s="36"/>
      <c r="E980" s="36"/>
      <c r="F980" s="6"/>
      <c r="G980" s="37"/>
      <c r="H980" s="36"/>
      <c r="I980" s="36"/>
      <c r="J980" s="60"/>
      <c r="L980" s="61"/>
      <c r="M980" s="61"/>
      <c r="N980" s="61"/>
      <c r="O980" s="61"/>
      <c r="P980" s="61"/>
      <c r="Q980" s="61"/>
      <c r="R980" s="62"/>
      <c r="S980" s="62"/>
      <c r="T980" s="62"/>
    </row>
    <row r="981" spans="1:20" ht="15.75" customHeight="1" x14ac:dyDescent="0.3">
      <c r="A981" s="36"/>
      <c r="B981" s="36"/>
      <c r="C981" s="6"/>
      <c r="D981" s="36"/>
      <c r="E981" s="36"/>
      <c r="F981" s="6"/>
      <c r="G981" s="37"/>
      <c r="H981" s="36"/>
      <c r="I981" s="36"/>
      <c r="J981" s="60"/>
      <c r="L981" s="61"/>
      <c r="M981" s="61"/>
      <c r="N981" s="61"/>
      <c r="O981" s="61"/>
      <c r="P981" s="61"/>
      <c r="Q981" s="61"/>
      <c r="R981" s="62"/>
      <c r="S981" s="62"/>
      <c r="T981" s="62"/>
    </row>
    <row r="982" spans="1:20" ht="15.75" customHeight="1" x14ac:dyDescent="0.3">
      <c r="A982" s="36"/>
      <c r="B982" s="36"/>
      <c r="C982" s="6"/>
      <c r="D982" s="36"/>
      <c r="E982" s="36"/>
      <c r="F982" s="6"/>
      <c r="G982" s="37"/>
      <c r="H982" s="36"/>
      <c r="I982" s="36"/>
      <c r="J982" s="60"/>
      <c r="L982" s="61"/>
      <c r="M982" s="61"/>
      <c r="N982" s="61"/>
      <c r="O982" s="61"/>
      <c r="P982" s="61"/>
      <c r="Q982" s="61"/>
      <c r="R982" s="62"/>
      <c r="S982" s="62"/>
      <c r="T982" s="62"/>
    </row>
    <row r="983" spans="1:20" ht="15.75" customHeight="1" x14ac:dyDescent="0.3">
      <c r="A983" s="36"/>
      <c r="B983" s="36"/>
      <c r="C983" s="6"/>
      <c r="D983" s="36"/>
      <c r="E983" s="36"/>
      <c r="F983" s="6"/>
      <c r="G983" s="37"/>
      <c r="H983" s="36"/>
      <c r="I983" s="36"/>
      <c r="J983" s="60"/>
      <c r="L983" s="61"/>
      <c r="M983" s="61"/>
      <c r="N983" s="61"/>
      <c r="O983" s="61"/>
      <c r="P983" s="61"/>
      <c r="Q983" s="61"/>
      <c r="R983" s="62"/>
      <c r="S983" s="62"/>
      <c r="T983" s="62"/>
    </row>
    <row r="984" spans="1:20" ht="15.75" customHeight="1" x14ac:dyDescent="0.3">
      <c r="A984" s="36"/>
      <c r="B984" s="36"/>
      <c r="C984" s="6"/>
      <c r="D984" s="36"/>
      <c r="E984" s="36"/>
      <c r="F984" s="6"/>
      <c r="G984" s="37"/>
      <c r="H984" s="36"/>
      <c r="I984" s="36"/>
      <c r="J984" s="60"/>
      <c r="L984" s="61"/>
      <c r="M984" s="61"/>
      <c r="N984" s="61"/>
      <c r="O984" s="61"/>
      <c r="P984" s="61"/>
      <c r="Q984" s="61"/>
      <c r="R984" s="62"/>
      <c r="S984" s="62"/>
      <c r="T984" s="62"/>
    </row>
    <row r="985" spans="1:20" ht="15.75" customHeight="1" x14ac:dyDescent="0.3">
      <c r="A985" s="36"/>
      <c r="B985" s="36"/>
      <c r="C985" s="6"/>
      <c r="D985" s="36"/>
      <c r="E985" s="36"/>
      <c r="F985" s="6"/>
      <c r="G985" s="37"/>
      <c r="H985" s="36"/>
      <c r="I985" s="36"/>
      <c r="J985" s="60"/>
      <c r="L985" s="61"/>
      <c r="M985" s="61"/>
      <c r="N985" s="61"/>
      <c r="O985" s="61"/>
      <c r="P985" s="61"/>
      <c r="Q985" s="61"/>
      <c r="R985" s="62"/>
      <c r="S985" s="62"/>
      <c r="T985" s="62"/>
    </row>
    <row r="986" spans="1:20" ht="15.75" customHeight="1" x14ac:dyDescent="0.3">
      <c r="A986" s="36"/>
      <c r="B986" s="36"/>
      <c r="C986" s="6"/>
      <c r="D986" s="36"/>
      <c r="E986" s="36"/>
      <c r="F986" s="6"/>
      <c r="G986" s="37"/>
      <c r="H986" s="36"/>
      <c r="I986" s="36"/>
      <c r="J986" s="60"/>
      <c r="L986" s="61"/>
      <c r="M986" s="61"/>
      <c r="N986" s="61"/>
      <c r="O986" s="61"/>
      <c r="P986" s="61"/>
      <c r="Q986" s="61"/>
      <c r="R986" s="62"/>
      <c r="S986" s="62"/>
      <c r="T986" s="62"/>
    </row>
    <row r="987" spans="1:20" ht="15.75" customHeight="1" x14ac:dyDescent="0.3">
      <c r="A987" s="36"/>
      <c r="B987" s="36"/>
      <c r="C987" s="6"/>
      <c r="D987" s="36"/>
      <c r="E987" s="36"/>
      <c r="F987" s="6"/>
      <c r="G987" s="37"/>
      <c r="H987" s="36"/>
      <c r="I987" s="36"/>
      <c r="J987" s="60"/>
      <c r="L987" s="61"/>
      <c r="M987" s="61"/>
      <c r="N987" s="61"/>
      <c r="O987" s="61"/>
      <c r="P987" s="61"/>
      <c r="Q987" s="61"/>
      <c r="R987" s="62"/>
      <c r="S987" s="62"/>
      <c r="T987" s="62"/>
    </row>
    <row r="988" spans="1:20" ht="15.75" customHeight="1" x14ac:dyDescent="0.3">
      <c r="A988" s="36"/>
      <c r="B988" s="36"/>
      <c r="C988" s="6"/>
      <c r="D988" s="36"/>
      <c r="E988" s="36"/>
      <c r="F988" s="6"/>
      <c r="G988" s="37"/>
      <c r="H988" s="36"/>
      <c r="I988" s="36"/>
      <c r="J988" s="60"/>
      <c r="L988" s="61"/>
      <c r="M988" s="61"/>
      <c r="N988" s="61"/>
      <c r="O988" s="61"/>
      <c r="P988" s="61"/>
      <c r="Q988" s="61"/>
      <c r="R988" s="62"/>
      <c r="S988" s="62"/>
      <c r="T988" s="62"/>
    </row>
    <row r="989" spans="1:20" ht="15.75" customHeight="1" x14ac:dyDescent="0.3">
      <c r="A989" s="36"/>
      <c r="B989" s="36"/>
      <c r="C989" s="6"/>
      <c r="D989" s="36"/>
      <c r="E989" s="36"/>
      <c r="F989" s="6"/>
      <c r="G989" s="37"/>
      <c r="H989" s="36"/>
      <c r="I989" s="36"/>
      <c r="J989" s="60"/>
      <c r="L989" s="61"/>
      <c r="M989" s="61"/>
      <c r="N989" s="61"/>
      <c r="O989" s="61"/>
      <c r="P989" s="61"/>
      <c r="Q989" s="61"/>
      <c r="R989" s="62"/>
      <c r="S989" s="62"/>
      <c r="T989" s="62"/>
    </row>
    <row r="990" spans="1:20" ht="15.75" customHeight="1" x14ac:dyDescent="0.3">
      <c r="A990" s="36"/>
      <c r="B990" s="36"/>
      <c r="C990" s="6"/>
      <c r="D990" s="36"/>
      <c r="E990" s="36"/>
      <c r="F990" s="6"/>
      <c r="G990" s="37"/>
      <c r="H990" s="36"/>
      <c r="I990" s="36"/>
      <c r="J990" s="60"/>
      <c r="L990" s="61"/>
      <c r="M990" s="61"/>
      <c r="N990" s="61"/>
      <c r="O990" s="61"/>
      <c r="P990" s="61"/>
      <c r="Q990" s="61"/>
      <c r="R990" s="62"/>
      <c r="S990" s="62"/>
      <c r="T990" s="62"/>
    </row>
    <row r="991" spans="1:20" ht="15.75" customHeight="1" x14ac:dyDescent="0.3">
      <c r="A991" s="36"/>
      <c r="B991" s="36"/>
      <c r="C991" s="6"/>
      <c r="D991" s="36"/>
      <c r="E991" s="36"/>
      <c r="F991" s="6"/>
      <c r="G991" s="37"/>
      <c r="H991" s="36"/>
      <c r="I991" s="36"/>
      <c r="J991" s="60"/>
      <c r="L991" s="61"/>
      <c r="M991" s="61"/>
      <c r="N991" s="61"/>
      <c r="O991" s="61"/>
      <c r="P991" s="61"/>
      <c r="Q991" s="61"/>
      <c r="R991" s="62"/>
      <c r="S991" s="62"/>
      <c r="T991" s="62"/>
    </row>
    <row r="992" spans="1:20" ht="15.75" customHeight="1" x14ac:dyDescent="0.3">
      <c r="A992" s="36"/>
      <c r="B992" s="36"/>
      <c r="C992" s="6"/>
      <c r="D992" s="36"/>
      <c r="E992" s="36"/>
      <c r="F992" s="6"/>
      <c r="G992" s="37"/>
      <c r="H992" s="36"/>
      <c r="I992" s="36"/>
      <c r="J992" s="60"/>
      <c r="L992" s="61"/>
      <c r="M992" s="61"/>
      <c r="N992" s="61"/>
      <c r="O992" s="61"/>
      <c r="P992" s="61"/>
      <c r="Q992" s="61"/>
      <c r="R992" s="62"/>
      <c r="S992" s="62"/>
      <c r="T992" s="62"/>
    </row>
    <row r="993" spans="1:20" ht="15.75" customHeight="1" x14ac:dyDescent="0.3">
      <c r="A993" s="36"/>
      <c r="B993" s="36"/>
      <c r="C993" s="6"/>
      <c r="D993" s="36"/>
      <c r="E993" s="36"/>
      <c r="F993" s="6"/>
      <c r="G993" s="37"/>
      <c r="H993" s="36"/>
      <c r="I993" s="36"/>
      <c r="J993" s="60"/>
      <c r="L993" s="61"/>
      <c r="M993" s="61"/>
      <c r="N993" s="61"/>
      <c r="O993" s="61"/>
      <c r="P993" s="61"/>
      <c r="Q993" s="61"/>
      <c r="R993" s="62"/>
      <c r="S993" s="62"/>
      <c r="T993" s="62"/>
    </row>
    <row r="994" spans="1:20" ht="15.75" customHeight="1" x14ac:dyDescent="0.3">
      <c r="A994" s="36"/>
      <c r="B994" s="36"/>
      <c r="C994" s="6"/>
      <c r="D994" s="36"/>
      <c r="E994" s="36"/>
      <c r="F994" s="6"/>
      <c r="G994" s="37"/>
      <c r="H994" s="36"/>
      <c r="I994" s="36"/>
      <c r="J994" s="60"/>
      <c r="L994" s="61"/>
      <c r="M994" s="61"/>
      <c r="N994" s="61"/>
      <c r="O994" s="61"/>
      <c r="P994" s="61"/>
      <c r="Q994" s="61"/>
      <c r="R994" s="62"/>
      <c r="S994" s="62"/>
      <c r="T994" s="62"/>
    </row>
    <row r="995" spans="1:20" ht="15.75" customHeight="1" x14ac:dyDescent="0.3">
      <c r="A995" s="36"/>
      <c r="B995" s="36"/>
      <c r="C995" s="6"/>
      <c r="D995" s="36"/>
      <c r="E995" s="36"/>
      <c r="F995" s="6"/>
      <c r="G995" s="37"/>
      <c r="H995" s="36"/>
      <c r="I995" s="36"/>
      <c r="J995" s="60"/>
      <c r="L995" s="61"/>
      <c r="M995" s="61"/>
      <c r="N995" s="61"/>
      <c r="O995" s="61"/>
      <c r="P995" s="61"/>
      <c r="Q995" s="61"/>
      <c r="R995" s="62"/>
      <c r="S995" s="62"/>
      <c r="T995" s="62"/>
    </row>
    <row r="996" spans="1:20" ht="15.75" customHeight="1" x14ac:dyDescent="0.3">
      <c r="A996" s="36"/>
      <c r="B996" s="36"/>
      <c r="C996" s="6"/>
      <c r="D996" s="36"/>
      <c r="E996" s="36"/>
      <c r="F996" s="6"/>
      <c r="G996" s="37"/>
      <c r="H996" s="36"/>
      <c r="I996" s="36"/>
      <c r="J996" s="60"/>
      <c r="L996" s="61"/>
      <c r="M996" s="61"/>
      <c r="N996" s="61"/>
      <c r="O996" s="61"/>
      <c r="P996" s="61"/>
      <c r="Q996" s="61"/>
      <c r="R996" s="62"/>
      <c r="S996" s="62"/>
      <c r="T996" s="62"/>
    </row>
    <row r="997" spans="1:20" ht="15.75" customHeight="1" x14ac:dyDescent="0.3">
      <c r="A997" s="36"/>
      <c r="B997" s="36"/>
      <c r="C997" s="6"/>
      <c r="D997" s="36"/>
      <c r="E997" s="36"/>
      <c r="F997" s="6"/>
      <c r="G997" s="37"/>
      <c r="H997" s="36"/>
      <c r="I997" s="36"/>
      <c r="J997" s="60"/>
      <c r="L997" s="61"/>
      <c r="M997" s="61"/>
      <c r="N997" s="61"/>
      <c r="O997" s="61"/>
      <c r="P997" s="61"/>
      <c r="Q997" s="61"/>
      <c r="R997" s="62"/>
      <c r="S997" s="62"/>
      <c r="T997" s="62"/>
    </row>
    <row r="998" spans="1:20" ht="15.75" customHeight="1" x14ac:dyDescent="0.3">
      <c r="A998" s="36"/>
      <c r="B998" s="36"/>
      <c r="C998" s="6"/>
      <c r="D998" s="36"/>
      <c r="E998" s="36"/>
      <c r="F998" s="6"/>
      <c r="G998" s="37"/>
      <c r="H998" s="36"/>
      <c r="I998" s="36"/>
      <c r="J998" s="60"/>
      <c r="L998" s="61"/>
      <c r="M998" s="61"/>
      <c r="N998" s="61"/>
      <c r="O998" s="61"/>
      <c r="P998" s="61"/>
      <c r="Q998" s="61"/>
      <c r="R998" s="62"/>
      <c r="S998" s="62"/>
      <c r="T998" s="62"/>
    </row>
    <row r="999" spans="1:20" ht="15.75" customHeight="1" x14ac:dyDescent="0.3">
      <c r="A999" s="36"/>
      <c r="B999" s="36"/>
      <c r="C999" s="6"/>
      <c r="D999" s="36"/>
      <c r="E999" s="36"/>
      <c r="F999" s="6"/>
      <c r="G999" s="37"/>
      <c r="H999" s="36"/>
      <c r="I999" s="36"/>
      <c r="J999" s="60"/>
      <c r="L999" s="61"/>
      <c r="M999" s="61"/>
      <c r="N999" s="61"/>
      <c r="O999" s="61"/>
      <c r="P999" s="61"/>
      <c r="Q999" s="61"/>
      <c r="R999" s="62"/>
      <c r="S999" s="62"/>
      <c r="T999" s="62"/>
    </row>
    <row r="1000" spans="1:20" ht="15.75" customHeight="1" x14ac:dyDescent="0.3">
      <c r="A1000" s="36"/>
      <c r="B1000" s="36"/>
      <c r="C1000" s="6"/>
      <c r="D1000" s="36"/>
      <c r="E1000" s="36"/>
      <c r="F1000" s="6"/>
      <c r="G1000" s="37"/>
      <c r="H1000" s="36"/>
      <c r="I1000" s="36"/>
      <c r="J1000" s="60"/>
      <c r="L1000" s="61"/>
      <c r="M1000" s="61"/>
      <c r="N1000" s="61"/>
      <c r="O1000" s="61"/>
      <c r="P1000" s="61"/>
      <c r="Q1000" s="61"/>
      <c r="R1000" s="62"/>
      <c r="S1000" s="62"/>
      <c r="T1000" s="62"/>
    </row>
  </sheetData>
  <mergeCells count="61">
    <mergeCell ref="B28:F28"/>
    <mergeCell ref="B29:F29"/>
    <mergeCell ref="B30:F30"/>
    <mergeCell ref="B23:C23"/>
    <mergeCell ref="A24:H24"/>
    <mergeCell ref="I24:J24"/>
    <mergeCell ref="B26:I26"/>
    <mergeCell ref="B27:F27"/>
    <mergeCell ref="J7:J8"/>
    <mergeCell ref="B10:I10"/>
    <mergeCell ref="G7:G8"/>
    <mergeCell ref="H7:H8"/>
    <mergeCell ref="I7:I8"/>
    <mergeCell ref="A2:G2"/>
    <mergeCell ref="H2:J5"/>
    <mergeCell ref="A3:G3"/>
    <mergeCell ref="A4:G4"/>
    <mergeCell ref="A6:B6"/>
    <mergeCell ref="C6:H6"/>
    <mergeCell ref="A7:A8"/>
    <mergeCell ref="B7:C8"/>
    <mergeCell ref="D7:E7"/>
    <mergeCell ref="B45:C45"/>
    <mergeCell ref="F7:F8"/>
    <mergeCell ref="D12:E12"/>
    <mergeCell ref="D13:E13"/>
    <mergeCell ref="D14:E14"/>
    <mergeCell ref="D15:E15"/>
    <mergeCell ref="D16:E16"/>
    <mergeCell ref="D17:E17"/>
    <mergeCell ref="D18:E18"/>
    <mergeCell ref="D19:E19"/>
    <mergeCell ref="D20:E20"/>
    <mergeCell ref="D21:E21"/>
    <mergeCell ref="D22:E22"/>
    <mergeCell ref="I51:J51"/>
    <mergeCell ref="A52:H52"/>
    <mergeCell ref="I52:J52"/>
    <mergeCell ref="A53:H53"/>
    <mergeCell ref="I53:J53"/>
    <mergeCell ref="B36:F36"/>
    <mergeCell ref="B37:F37"/>
    <mergeCell ref="D45:F50"/>
    <mergeCell ref="G45:H50"/>
    <mergeCell ref="A51:H51"/>
    <mergeCell ref="B46:C46"/>
    <mergeCell ref="B47:C47"/>
    <mergeCell ref="B48:C48"/>
    <mergeCell ref="B49:C49"/>
    <mergeCell ref="B50:C50"/>
    <mergeCell ref="B38:F38"/>
    <mergeCell ref="B39:F39"/>
    <mergeCell ref="B40:F40"/>
    <mergeCell ref="B41:F41"/>
    <mergeCell ref="B42:F42"/>
    <mergeCell ref="B44:I44"/>
    <mergeCell ref="B31:F31"/>
    <mergeCell ref="B32:F32"/>
    <mergeCell ref="B33:F33"/>
    <mergeCell ref="B34:F34"/>
    <mergeCell ref="B35:F35"/>
  </mergeCells>
  <printOptions horizontalCentered="1"/>
  <pageMargins left="0.51181102362204722" right="0.51181102362204722" top="0.55118110236220474" bottom="0.55118110236220474" header="0" footer="0"/>
  <pageSetup paperSize="9" scale="31"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Hoja1</vt:lpstr>
      <vt:lpstr>Valores Base</vt:lpstr>
      <vt:lpstr>RESUMEN</vt:lpstr>
      <vt:lpstr>PPTO</vt:lpstr>
      <vt:lpstr>APU</vt:lpstr>
      <vt:lpstr>INSUMOS</vt:lpstr>
      <vt:lpstr>CÁLCULO ADMINISTRACIÓN </vt:lpstr>
      <vt:lpstr>CÁLCULO POLIZAS</vt:lpstr>
      <vt:lpstr>MER PERS DIS</vt:lpstr>
      <vt:lpstr>PERSONAL OBRA </vt:lpstr>
      <vt:lpstr>FACTOR PRESTACIONAL</vt:lpstr>
      <vt:lpstr>DISEÑOS (2)</vt:lpstr>
      <vt:lpstr>DISEÑOS (3)</vt:lpstr>
      <vt:lpstr>PPTO!Área_de_impresión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USER ING</cp:lastModifiedBy>
  <dcterms:created xsi:type="dcterms:W3CDTF">2021-04-13T20:59:13Z</dcterms:created>
  <dcterms:modified xsi:type="dcterms:W3CDTF">2023-09-14T20:32:24Z</dcterms:modified>
</cp:coreProperties>
</file>