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/>
  <mc:AlternateContent xmlns:mc="http://schemas.openxmlformats.org/markup-compatibility/2006">
    <mc:Choice Requires="x15">
      <x15ac:absPath xmlns:x15ac="http://schemas.microsoft.com/office/spreadsheetml/2010/11/ac" url="G:\SENA MCVG 2023\2023\EVALUACIONES\NATHALY\PROCESO MC-DC-CGI-030-2023\"/>
    </mc:Choice>
  </mc:AlternateContent>
  <xr:revisionPtr revIDLastSave="0" documentId="13_ncr:1_{295F3F86-E72D-4374-8156-5BA7FC9ABBF0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Base oferentes 2022" sheetId="3" r:id="rId1"/>
    <sheet name="Evaluación lote 1" sheetId="4" r:id="rId2"/>
    <sheet name="LOTE No.1" sheetId="1" r:id="rId3"/>
  </sheets>
  <definedNames>
    <definedName name="_xlnm._FilterDatabase" localSheetId="0" hidden="1">'Base oferentes 2022'!$B$2:$C$84</definedName>
    <definedName name="_xlnm._FilterDatabase" localSheetId="1" hidden="1">'Evaluación lote 1'!$C$15:$Q$16</definedName>
    <definedName name="_xlnm.Print_Area" localSheetId="1">'Evaluación lote 1'!$A$1:$AD$33</definedName>
    <definedName name="_xlnm.Print_Area" localSheetId="2">'LOTE No.1'!$A$1:$Q$27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/>
  <c r="I13" i="4" l="1"/>
  <c r="N18" i="1" l="1"/>
  <c r="O18" i="1" s="1"/>
  <c r="P18" i="1" s="1"/>
  <c r="I18" i="1" l="1"/>
  <c r="J18" i="1" s="1"/>
  <c r="K18" i="1" s="1"/>
  <c r="D11" i="1" l="1"/>
  <c r="D2" i="1"/>
  <c r="Q13" i="4"/>
  <c r="I12" i="4" l="1"/>
  <c r="O6" i="1" l="1"/>
  <c r="O5" i="1"/>
  <c r="J6" i="1"/>
  <c r="P22" i="1" l="1"/>
  <c r="P21" i="1"/>
  <c r="P25" i="1" s="1"/>
  <c r="P20" i="1"/>
  <c r="P24" i="1" s="1"/>
  <c r="N17" i="1"/>
  <c r="O17" i="1" s="1"/>
  <c r="P17" i="1" s="1"/>
  <c r="L14" i="1"/>
  <c r="G14" i="1"/>
  <c r="P19" i="1" l="1"/>
  <c r="E7" i="1"/>
  <c r="E8" i="1" s="1"/>
  <c r="J7" i="1" l="1"/>
  <c r="O7" i="1"/>
  <c r="O12" i="1"/>
  <c r="O11" i="1"/>
  <c r="P23" i="1"/>
  <c r="P26" i="1" s="1"/>
  <c r="J12" i="1"/>
  <c r="J11" i="1"/>
  <c r="J17" i="1" l="1"/>
  <c r="K17" i="1" s="1"/>
  <c r="K19" i="1" s="1"/>
  <c r="K22" i="1" l="1"/>
  <c r="K21" i="1"/>
  <c r="K25" i="1" s="1"/>
  <c r="K20" i="1"/>
  <c r="K24" i="1" s="1"/>
  <c r="K23" i="1" l="1"/>
  <c r="K26" i="1" s="1"/>
  <c r="J5" i="1"/>
</calcChain>
</file>

<file path=xl/sharedStrings.xml><?xml version="1.0" encoding="utf-8"?>
<sst xmlns="http://schemas.openxmlformats.org/spreadsheetml/2006/main" count="265" uniqueCount="230">
  <si>
    <t>Nit</t>
  </si>
  <si>
    <t>Razón social</t>
  </si>
  <si>
    <t>VERIFIQUE</t>
  </si>
  <si>
    <t>SELECCIONE PROVEEDOR</t>
  </si>
  <si>
    <t>900.820.248-2</t>
  </si>
  <si>
    <t xml:space="preserve"> IDEA MINDS GROUP S.A.S</t>
  </si>
  <si>
    <t>830.115.400-9</t>
  </si>
  <si>
    <t>MASTER SAFETY SAS</t>
  </si>
  <si>
    <t>890.900.769-6</t>
  </si>
  <si>
    <t>AUTOMATIZACION S.A.</t>
  </si>
  <si>
    <t>901.132.402-2</t>
  </si>
  <si>
    <t>4 PODER O.R. COMUNICACIONES SAS</t>
  </si>
  <si>
    <t>900.015.167-1</t>
  </si>
  <si>
    <t>ACONDICLIMA INGENIERIA Y CONSTRUCCION S.A.S.</t>
  </si>
  <si>
    <t>900.150.649-7</t>
  </si>
  <si>
    <t>ADCOM INGENIERÍA S.A.S.</t>
  </si>
  <si>
    <t>800.200.257-6</t>
  </si>
  <si>
    <t>ADEQUIM S.A.S.</t>
  </si>
  <si>
    <t>901.545.945-2</t>
  </si>
  <si>
    <t>AMI SOLUCIONES INTEGRALES S.A.S</t>
  </si>
  <si>
    <t>830.006.596-6</t>
  </si>
  <si>
    <t>AUTOS MONGUI SAS</t>
  </si>
  <si>
    <t>890.101.977-3</t>
  </si>
  <si>
    <t>AVANTIKA COLOMBIA S.A.S</t>
  </si>
  <si>
    <t>900.540.920-2</t>
  </si>
  <si>
    <t>B.M.O LINE S.A.S</t>
  </si>
  <si>
    <t>900.693.270-1</t>
  </si>
  <si>
    <t>CAR SCANNERS SAS</t>
  </si>
  <si>
    <t>900.999.222-0</t>
  </si>
  <si>
    <t>EMPRENDER ERP S.A.S.</t>
  </si>
  <si>
    <t>860.055.583-9</t>
  </si>
  <si>
    <t>EQUIPOS Y CONTROLES INDUSTRIALES S.A</t>
  </si>
  <si>
    <t>900.355.024-5</t>
  </si>
  <si>
    <t>EQUIPOS Y LABORATORIO DE COLOMBIA S.A.S.</t>
  </si>
  <si>
    <t>900.468.703-3</t>
  </si>
  <si>
    <t>EXPERTQUIM SAS</t>
  </si>
  <si>
    <t>800.061.585-1</t>
  </si>
  <si>
    <t>FESTO S.A.S.</t>
  </si>
  <si>
    <t>901.120.881-5</t>
  </si>
  <si>
    <t>FITBACK 6020 SAS</t>
  </si>
  <si>
    <t>811.010.001-2</t>
  </si>
  <si>
    <t>FUNDACION UNIVERSITARIA CATOLICA DEL NORTE</t>
  </si>
  <si>
    <t>900.693.739-1</t>
  </si>
  <si>
    <t>G&amp;D GERENCIA Y DIRECCION DE PROYECTOS S.A.S</t>
  </si>
  <si>
    <t>901.224.654-7</t>
  </si>
  <si>
    <t>GARNICA INVERSIONES LOGISTICA Y SUMINISTROS S.A.S</t>
  </si>
  <si>
    <t>900.192.728-0</t>
  </si>
  <si>
    <t>GESTION EN CALIDAD Y AMBIENTE EMPRESARIAL SAS GECYAMCO</t>
  </si>
  <si>
    <t>900.938.870-2</t>
  </si>
  <si>
    <t>GLOBAL SERVICE MEDICAL SOCIEDAD POR ACCIONES SIMPLIFICADA</t>
  </si>
  <si>
    <t>900.949.002-3</t>
  </si>
  <si>
    <t>HEITEC SERVICE S.A.S.</t>
  </si>
  <si>
    <t>900.264.088-5</t>
  </si>
  <si>
    <t>HERSQ ASESORIAS Y CONSULTORIAS EMPRESARIALES S.A.S</t>
  </si>
  <si>
    <t>900.300.970-1</t>
  </si>
  <si>
    <t>INDUHOTEL S A S</t>
  </si>
  <si>
    <t>900.197.258-3</t>
  </si>
  <si>
    <t>INDUSTRIAL TECHNOLOGIES S.A.S. INDUTECSA</t>
  </si>
  <si>
    <t>830.139.036-4</t>
  </si>
  <si>
    <t>INGENIERIA DE CONTROL DE CALIDAD DIVISION LABORATORIO LTDA</t>
  </si>
  <si>
    <t>830.505.910-7</t>
  </si>
  <si>
    <t>INSTRUMENTACION Y SERVICIOS SAS</t>
  </si>
  <si>
    <t>900.804.368-0</t>
  </si>
  <si>
    <t>INTEK GROUP S.A.S</t>
  </si>
  <si>
    <t>830.511.609-9</t>
  </si>
  <si>
    <t>INTELLIGENT TRAINING DE COLOMBIA SA</t>
  </si>
  <si>
    <t>900.600.742-6</t>
  </si>
  <si>
    <t>INVERSIONES GRUPO EVENTOS DISEÑO Y DECORACION SAS</t>
  </si>
  <si>
    <t>900.673.569-0</t>
  </si>
  <si>
    <t>JAGUAR PRODUCCIONES GROUP SAS</t>
  </si>
  <si>
    <t>930.104.542-9</t>
  </si>
  <si>
    <t>JOSE LUIS PEREZ RODRIGUEZ S. A. S</t>
  </si>
  <si>
    <t>900.590.110-7</t>
  </si>
  <si>
    <t>JR IMPORTACIONES Y MANTENIMIENTOS SAS</t>
  </si>
  <si>
    <t>901.416.425-1</t>
  </si>
  <si>
    <t>JURIDICOS &amp; ASOCIADOS ESPECIALIZADOS S.A.S.</t>
  </si>
  <si>
    <t>900.040.547-2</t>
  </si>
  <si>
    <t>LA RED ELECTRONICA S.A.S.</t>
  </si>
  <si>
    <t>900.434.629-1</t>
  </si>
  <si>
    <t>LABORATORIO CLINICO PROTEGER IPS PROFESIONALES EN SALUD OCUPACIONAL Y CALIDAD S.A.S</t>
  </si>
  <si>
    <t>900.442.808-5</t>
  </si>
  <si>
    <t>LAS PUERTAS DEL CIELO S.A.S</t>
  </si>
  <si>
    <t>900.483.204-2</t>
  </si>
  <si>
    <t>INGEACOL INGENIERIA Y AUTOMATIZACION DE COLOMBIA S.A.S.</t>
  </si>
  <si>
    <t>1.088.308.590-9</t>
  </si>
  <si>
    <t>MACRO TOOLS FERRETERIA</t>
  </si>
  <si>
    <t>860.403.835-3</t>
  </si>
  <si>
    <t>MANTENIMIENTO DE ELEVADORES S.A.S.</t>
  </si>
  <si>
    <t>901.362.906-9</t>
  </si>
  <si>
    <t>MAZÚ SERVICIOS INTEGRALES S.A.S</t>
  </si>
  <si>
    <t>900.733.988-1</t>
  </si>
  <si>
    <t>MMC INSTRUMENTS SERVICIOS Y SUMINISTROS SAS</t>
  </si>
  <si>
    <t>900.996.694-1</t>
  </si>
  <si>
    <t>MOR INDUSTRIES S.A.S</t>
  </si>
  <si>
    <t>900.935.265-2</t>
  </si>
  <si>
    <t>NANOMETRIX S.A.S</t>
  </si>
  <si>
    <t>901.247.723-6</t>
  </si>
  <si>
    <t>NEW CO SAS</t>
  </si>
  <si>
    <t>800.183.169-2</t>
  </si>
  <si>
    <t>NOR QUIMICOS LTDA</t>
  </si>
  <si>
    <t>901.447.906-5</t>
  </si>
  <si>
    <t>NUEVA CIGLOP S.A.S</t>
  </si>
  <si>
    <t>900.716.210-9</t>
  </si>
  <si>
    <t>O&amp;P INGENIERÍA S.A.S.</t>
  </si>
  <si>
    <t>860.516.806-5</t>
  </si>
  <si>
    <t>PERMODA LTDA</t>
  </si>
  <si>
    <t>900.589.124-8</t>
  </si>
  <si>
    <t>PRODISTRALES SUMINISTROS PARA LA INDUSTRIA SAS</t>
  </si>
  <si>
    <t>900.344.142-9</t>
  </si>
  <si>
    <t>PROPROVEEDORES DE PRODUCTOS Y SERVICIO VARIOS S.A.SVEEDOR</t>
  </si>
  <si>
    <t>860.518.299-1</t>
  </si>
  <si>
    <t>PURIFICACION Y ANALISIS DE FLUIDOS S.A.S</t>
  </si>
  <si>
    <t>900.928.574-4</t>
  </si>
  <si>
    <t>QUIMMEC S.A.S.</t>
  </si>
  <si>
    <t>79.505.037-6</t>
  </si>
  <si>
    <t>QUIZ PRODUCCIONES S.A.S.</t>
  </si>
  <si>
    <t>900.261.596-1</t>
  </si>
  <si>
    <t>SINGETEC METROLOGIA S.A.S.</t>
  </si>
  <si>
    <t>901.267.812-9</t>
  </si>
  <si>
    <t>SOCIEDAD RUSSI SAS</t>
  </si>
  <si>
    <t>830.136.416-6</t>
  </si>
  <si>
    <t>SOMMER INTERNACIONAL LTDA</t>
  </si>
  <si>
    <t>900-687-434-6</t>
  </si>
  <si>
    <t>SYCO INGENIERIA SAS</t>
  </si>
  <si>
    <t>900.982.780-4</t>
  </si>
  <si>
    <t>EXPERTS GROUP S.A.S</t>
  </si>
  <si>
    <t>900.169.491-4</t>
  </si>
  <si>
    <t>CCOLSMI LTDA (COMPAÑIA COLOMBIANA DE SERVICIOS EN METROLOGIA E INGENIERIA LTDA.</t>
  </si>
  <si>
    <t>830.104.542-9</t>
  </si>
  <si>
    <t>900.194.987-0</t>
  </si>
  <si>
    <t>VICARTECHZ S.A.S</t>
  </si>
  <si>
    <t>900.683.997-2</t>
  </si>
  <si>
    <t>TECNOLOGIA EN PROCESOS DE CONTROL SAS</t>
  </si>
  <si>
    <t>800.246.805-0</t>
  </si>
  <si>
    <t>PROFINAS S.A.S</t>
  </si>
  <si>
    <t>860.501.595-0</t>
  </si>
  <si>
    <t>BIOCOL LTDA</t>
  </si>
  <si>
    <t>900.617.077-0</t>
  </si>
  <si>
    <t xml:space="preserve">Alianza Sanitizar S.A.S </t>
  </si>
  <si>
    <t>860.403.097-4</t>
  </si>
  <si>
    <t>ELEMENTOS QUIMICOS LTDA</t>
  </si>
  <si>
    <t>900.505.419-5</t>
  </si>
  <si>
    <t>AVANZA INTERNACIONAL GROUP SAS</t>
  </si>
  <si>
    <t>901.572.538-2</t>
  </si>
  <si>
    <t xml:space="preserve">JV REMODELACIONES SAS </t>
  </si>
  <si>
    <t>901.350.400-0</t>
  </si>
  <si>
    <t>TECNISERVICIOS JG SAS</t>
  </si>
  <si>
    <t>830.512.338-2</t>
  </si>
  <si>
    <t>INSTRUMENTOS Y MEDICIONES INDUSTRIALES S.A.S.</t>
  </si>
  <si>
    <t>901.148.748-5</t>
  </si>
  <si>
    <t>LYN INGENIERIA SAS</t>
  </si>
  <si>
    <t>GREEN VIEW CORPORATION SAS</t>
  </si>
  <si>
    <t>830.101.830-1</t>
  </si>
  <si>
    <t>ADVANCED INSTRUMENTS SAS</t>
  </si>
  <si>
    <t>901.607.601-1</t>
  </si>
  <si>
    <t>INDUSTRIAS YOLUK SAS</t>
  </si>
  <si>
    <t>900.186.088-0</t>
  </si>
  <si>
    <t xml:space="preserve">COMPAÑIA NACIONAL DE METROLOGIA  S A S </t>
  </si>
  <si>
    <t>TECNOLOGÍA EN PROCESOS DE CONTROL SAS</t>
  </si>
  <si>
    <t>901.317.439-1</t>
  </si>
  <si>
    <t>STANDARD ADVANCED RESPONSIBLE ENGINEERING MANAGEMENT- SAREM S.A.S</t>
  </si>
  <si>
    <t>900.375.197-6</t>
  </si>
  <si>
    <t>NOVATEK DEL CARIBE S.A.S</t>
  </si>
  <si>
    <t>Evaluación económica</t>
  </si>
  <si>
    <t>Contratación directa</t>
  </si>
  <si>
    <t>Valor oferta económica</t>
  </si>
  <si>
    <t>Mínima cuantía</t>
  </si>
  <si>
    <t>Menor valor oferta económica</t>
  </si>
  <si>
    <t>MC-DC-CGI-030-2023</t>
  </si>
  <si>
    <t xml:space="preserve">PRESUPUESTO OFICIAL </t>
  </si>
  <si>
    <t>POSICIÓN INICIAL DE SELECCIÓN</t>
  </si>
  <si>
    <t>FECHA EVALUACIÓN</t>
  </si>
  <si>
    <t>MENOR VALOR DE LAS OFERTAS</t>
  </si>
  <si>
    <t xml:space="preserve">MÉTODO DE EVALUACIÓN </t>
  </si>
  <si>
    <t>PROPUESTA</t>
  </si>
  <si>
    <t>NIT</t>
  </si>
  <si>
    <t>PROPONENTE</t>
  </si>
  <si>
    <t>VALOR PROPUESTA</t>
  </si>
  <si>
    <t>RESULTADO</t>
  </si>
  <si>
    <t>CUMPLE</t>
  </si>
  <si>
    <t xml:space="preserve"> CUMPLE</t>
  </si>
  <si>
    <t>Notas</t>
  </si>
  <si>
    <t xml:space="preserve">Observaciones:  </t>
  </si>
  <si>
    <t>Evaluador económico</t>
  </si>
  <si>
    <t>MARIA DEL CARMEN VARGAS</t>
  </si>
  <si>
    <t>Profesional de apoyo contable y financiero</t>
  </si>
  <si>
    <t>Grupo de apoyo administrativo intercentros Paloquemao</t>
  </si>
  <si>
    <t>CGI-CDM-CICG-CFAFC</t>
  </si>
  <si>
    <t xml:space="preserve">Anexo de evaluación económica proceso  </t>
  </si>
  <si>
    <t>Consecutivo</t>
  </si>
  <si>
    <t xml:space="preserve">Los críterios aplicados para la evaluación económica se encuentran registrados en los documentos de la invitación pública del presente proceso de contratación </t>
  </si>
  <si>
    <t>Valor evaluado</t>
  </si>
  <si>
    <t>Valor PDF</t>
  </si>
  <si>
    <t>Valor SECOP II</t>
  </si>
  <si>
    <t>Validación</t>
  </si>
  <si>
    <t>¿El valor evaluado por el comité es igual al reportado en PDF formato 7 y al indicado en la plataforma SECOP II?</t>
  </si>
  <si>
    <t>Datos económicos</t>
  </si>
  <si>
    <t>¿El valor evaluado por el comité económico, el ofertado en PDF formato 7 y en SECOP II es menor o igual que el presupuesto oficial del proceso o lote?</t>
  </si>
  <si>
    <t>Presupuesto oficial</t>
  </si>
  <si>
    <t>¿Se estima valor artificialmente bajo en la propuesta?</t>
  </si>
  <si>
    <t>¿La oferta presentada contiene todos los items solicitados por la entidad?</t>
  </si>
  <si>
    <t xml:space="preserve">Valor mínimo </t>
  </si>
  <si>
    <t>SI</t>
  </si>
  <si>
    <t>¿La oferta presentada contiene todos las cantidades por item solicitados por la entidad?</t>
  </si>
  <si>
    <t>Valor máximo corrección aritmética</t>
  </si>
  <si>
    <t>Tarifas de IVA</t>
  </si>
  <si>
    <t>¿La propuesta económica fue presentada dentro de los términos del proceso de contratación según lo indicado por la entidad?</t>
  </si>
  <si>
    <t>¿Se aplicó corrección aritmética en desarrollo de la presente evaluación económica?</t>
  </si>
  <si>
    <t>¿La corrección aritmética aplicada a la oferta económica superó el 2% del valor de la oferta económica presentada en la plataforma SECOP II? (Cuando aplique)</t>
  </si>
  <si>
    <t>Item</t>
  </si>
  <si>
    <t>Descripción</t>
  </si>
  <si>
    <t>Auxiliar</t>
  </si>
  <si>
    <t>Presentación/Unidad de medida</t>
  </si>
  <si>
    <t>Cantidad</t>
  </si>
  <si>
    <t>Valor unitario</t>
  </si>
  <si>
    <t>Tarifa IVA</t>
  </si>
  <si>
    <t>Valor de iva por unidad</t>
  </si>
  <si>
    <t>Valor unitario con iva</t>
  </si>
  <si>
    <t>Valor total</t>
  </si>
  <si>
    <t>CILINDRO DE CALIBRACIÓN DE GAS PARA UN MONITOR ALTAIR 5X</t>
  </si>
  <si>
    <t>Unidad</t>
  </si>
  <si>
    <t>BATERÍA RECARGABLE PARA DETECTOR DE GASES MÚLTIPLES ALTAIR 5X TRADICIONAL.</t>
  </si>
  <si>
    <t>BASE IVA 19%</t>
  </si>
  <si>
    <t>BASE IVA 8%</t>
  </si>
  <si>
    <t>BASE IVA 5%</t>
  </si>
  <si>
    <t>BASE EXENTA</t>
  </si>
  <si>
    <t>IVA 19%</t>
  </si>
  <si>
    <t>IVA 8%</t>
  </si>
  <si>
    <t>IVA 5%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</si>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</sst>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;[Red]\-&quot;$&quot;\ #,##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-&quot;$&quot;* #,##0.00_-;\-&quot;$&quot;* #,##0.00_-;_-&quot;$&quot;* &quot;-&quot;??_-;_-@_-"/>
    <numFmt numFmtId="168" formatCode="_-&quot;$&quot;\ * #,##0.00_-;\-&quot;$&quot;\ * #,##0.00_-;_-&quot;$&quot;\ * &quot;-&quot;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000000"/>
      <name val="Arial Narrow"/>
      <family val="2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CF4FA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165" fontId="1" fillId="0" borderId="0" applyFont="0" applyFill="0" applyBorder="0" applyAlignment="0" applyProtection="0"/>
  </cellStyleXfs>
  <cellXfs count="231">
    <xf numFmtId="0" fontId="0" fillId="0" borderId="0" xfId="0"/>
    <xf numFmtId="166" fontId="0" fillId="0" borderId="0" xfId="1" applyFont="1"/>
    <xf numFmtId="0" fontId="0" fillId="0" borderId="0" xfId="0" applyAlignment="1">
      <alignment horizontal="center"/>
    </xf>
    <xf numFmtId="166" fontId="2" fillId="0" borderId="8" xfId="1" applyFont="1" applyBorder="1"/>
    <xf numFmtId="166" fontId="2" fillId="0" borderId="11" xfId="1" applyFont="1" applyBorder="1"/>
    <xf numFmtId="166" fontId="2" fillId="0" borderId="14" xfId="1" applyFont="1" applyBorder="1"/>
    <xf numFmtId="0" fontId="0" fillId="0" borderId="0" xfId="0" applyAlignment="1">
      <alignment horizontal="left" vertical="center"/>
    </xf>
    <xf numFmtId="0" fontId="0" fillId="0" borderId="24" xfId="0" applyBorder="1"/>
    <xf numFmtId="0" fontId="0" fillId="0" borderId="25" xfId="0" applyBorder="1"/>
    <xf numFmtId="166" fontId="0" fillId="0" borderId="25" xfId="1" applyFont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166" fontId="0" fillId="0" borderId="22" xfId="1" applyFont="1" applyBorder="1"/>
    <xf numFmtId="0" fontId="0" fillId="0" borderId="19" xfId="0" applyBorder="1" applyAlignment="1">
      <alignment horizontal="left" vertical="center"/>
    </xf>
    <xf numFmtId="166" fontId="0" fillId="2" borderId="7" xfId="2" applyNumberFormat="1" applyFont="1" applyFill="1" applyBorder="1" applyAlignment="1">
      <alignment horizontal="center" vertical="center"/>
    </xf>
    <xf numFmtId="166" fontId="0" fillId="0" borderId="22" xfId="2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top"/>
    </xf>
    <xf numFmtId="0" fontId="0" fillId="0" borderId="7" xfId="0" applyBorder="1" applyAlignment="1">
      <alignment horizontal="center" vertical="center"/>
    </xf>
    <xf numFmtId="166" fontId="0" fillId="2" borderId="7" xfId="1" applyFont="1" applyFill="1" applyBorder="1" applyAlignment="1">
      <alignment horizontal="center" vertical="center"/>
    </xf>
    <xf numFmtId="9" fontId="0" fillId="2" borderId="7" xfId="2" applyFont="1" applyFill="1" applyBorder="1" applyAlignment="1">
      <alignment horizontal="center" vertical="center"/>
    </xf>
    <xf numFmtId="166" fontId="0" fillId="2" borderId="8" xfId="2" applyNumberFormat="1" applyFont="1" applyFill="1" applyBorder="1" applyAlignment="1">
      <alignment horizontal="center" vertical="center"/>
    </xf>
    <xf numFmtId="166" fontId="0" fillId="2" borderId="16" xfId="1" applyFont="1" applyFill="1" applyBorder="1" applyAlignment="1">
      <alignment horizontal="left" vertical="center" wrapText="1"/>
    </xf>
    <xf numFmtId="0" fontId="2" fillId="3" borderId="40" xfId="0" applyFont="1" applyFill="1" applyBorder="1" applyAlignment="1">
      <alignment horizontal="center"/>
    </xf>
    <xf numFmtId="166" fontId="2" fillId="3" borderId="40" xfId="1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24" xfId="0" applyFont="1" applyBorder="1" applyAlignment="1">
      <alignment horizontal="left"/>
    </xf>
    <xf numFmtId="0" fontId="9" fillId="0" borderId="25" xfId="0" applyFont="1" applyBorder="1" applyAlignment="1">
      <alignment horizontal="left"/>
    </xf>
    <xf numFmtId="0" fontId="9" fillId="0" borderId="25" xfId="0" applyFont="1" applyBorder="1"/>
    <xf numFmtId="0" fontId="9" fillId="0" borderId="26" xfId="0" applyFont="1" applyBorder="1"/>
    <xf numFmtId="0" fontId="9" fillId="0" borderId="19" xfId="0" applyFont="1" applyBorder="1" applyAlignment="1">
      <alignment horizontal="left"/>
    </xf>
    <xf numFmtId="0" fontId="9" fillId="0" borderId="20" xfId="0" applyFont="1" applyBorder="1"/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2" fillId="0" borderId="39" xfId="6" applyFont="1" applyFill="1" applyBorder="1" applyAlignment="1">
      <alignment horizontal="center" vertical="center"/>
    </xf>
    <xf numFmtId="165" fontId="9" fillId="0" borderId="0" xfId="6" applyFont="1" applyFill="1" applyBorder="1" applyAlignment="1">
      <alignment horizontal="center" vertical="center"/>
    </xf>
    <xf numFmtId="165" fontId="9" fillId="0" borderId="20" xfId="6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166" fontId="12" fillId="0" borderId="0" xfId="1" applyFont="1" applyBorder="1" applyAlignment="1">
      <alignment horizontal="center"/>
    </xf>
    <xf numFmtId="166" fontId="12" fillId="0" borderId="0" xfId="1" applyFont="1" applyBorder="1" applyAlignment="1">
      <alignment horizontal="left"/>
    </xf>
    <xf numFmtId="166" fontId="12" fillId="0" borderId="0" xfId="1" applyFont="1" applyBorder="1" applyAlignment="1"/>
    <xf numFmtId="166" fontId="9" fillId="0" borderId="0" xfId="0" applyNumberFormat="1" applyFont="1" applyAlignment="1">
      <alignment horizontal="left"/>
    </xf>
    <xf numFmtId="0" fontId="9" fillId="0" borderId="21" xfId="0" applyFont="1" applyBorder="1" applyAlignment="1">
      <alignment horizontal="left"/>
    </xf>
    <xf numFmtId="0" fontId="9" fillId="0" borderId="23" xfId="0" applyFont="1" applyBorder="1"/>
    <xf numFmtId="0" fontId="2" fillId="0" borderId="10" xfId="0" applyFont="1" applyBorder="1" applyAlignment="1">
      <alignment horizontal="center" vertical="center"/>
    </xf>
    <xf numFmtId="166" fontId="2" fillId="0" borderId="10" xfId="1" applyFont="1" applyFill="1" applyBorder="1" applyAlignment="1">
      <alignment horizontal="center" vertical="center"/>
    </xf>
    <xf numFmtId="0" fontId="0" fillId="0" borderId="10" xfId="0" applyBorder="1"/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0" fillId="0" borderId="10" xfId="0" applyBorder="1" applyAlignment="1">
      <alignment wrapText="1"/>
    </xf>
    <xf numFmtId="166" fontId="0" fillId="5" borderId="38" xfId="1" applyFont="1" applyFill="1" applyBorder="1" applyAlignment="1">
      <alignment horizontal="left" vertical="center" wrapText="1"/>
    </xf>
    <xf numFmtId="166" fontId="0" fillId="5" borderId="7" xfId="1" applyFont="1" applyFill="1" applyBorder="1" applyAlignment="1">
      <alignment horizontal="center" vertical="center"/>
    </xf>
    <xf numFmtId="9" fontId="0" fillId="5" borderId="7" xfId="2" applyFont="1" applyFill="1" applyBorder="1" applyAlignment="1">
      <alignment horizontal="center" vertical="center"/>
    </xf>
    <xf numFmtId="166" fontId="0" fillId="5" borderId="7" xfId="2" applyNumberFormat="1" applyFont="1" applyFill="1" applyBorder="1" applyAlignment="1">
      <alignment horizontal="center" vertical="center"/>
    </xf>
    <xf numFmtId="166" fontId="0" fillId="5" borderId="8" xfId="2" applyNumberFormat="1" applyFont="1" applyFill="1" applyBorder="1" applyAlignment="1">
      <alignment horizontal="center" vertical="center"/>
    </xf>
    <xf numFmtId="9" fontId="0" fillId="0" borderId="44" xfId="2" applyFont="1" applyBorder="1" applyAlignment="1">
      <alignment horizontal="center" vertical="center" wrapText="1"/>
    </xf>
    <xf numFmtId="9" fontId="0" fillId="0" borderId="36" xfId="2" applyFont="1" applyBorder="1" applyAlignment="1">
      <alignment horizontal="center" vertical="center" wrapText="1"/>
    </xf>
    <xf numFmtId="9" fontId="0" fillId="0" borderId="39" xfId="2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9" fontId="2" fillId="0" borderId="57" xfId="1" applyNumberFormat="1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3" fontId="0" fillId="0" borderId="10" xfId="0" applyNumberFormat="1" applyBorder="1"/>
    <xf numFmtId="3" fontId="0" fillId="0" borderId="10" xfId="0" applyNumberFormat="1" applyBorder="1" applyAlignment="1">
      <alignment horizontal="left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26" xfId="0" applyBorder="1"/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left" vertical="center"/>
    </xf>
    <xf numFmtId="0" fontId="0" fillId="0" borderId="23" xfId="0" applyBorder="1"/>
    <xf numFmtId="0" fontId="0" fillId="0" borderId="52" xfId="0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0" xfId="0" applyBorder="1" applyAlignment="1">
      <alignment vertical="top"/>
    </xf>
    <xf numFmtId="0" fontId="0" fillId="0" borderId="40" xfId="0" applyBorder="1" applyAlignment="1">
      <alignment horizontal="center" vertical="center"/>
    </xf>
    <xf numFmtId="166" fontId="0" fillId="5" borderId="40" xfId="1" applyFont="1" applyFill="1" applyBorder="1" applyAlignment="1">
      <alignment horizontal="center" vertical="center"/>
    </xf>
    <xf numFmtId="9" fontId="0" fillId="5" borderId="40" xfId="2" applyFont="1" applyFill="1" applyBorder="1" applyAlignment="1">
      <alignment horizontal="center" vertical="center"/>
    </xf>
    <xf numFmtId="166" fontId="0" fillId="5" borderId="40" xfId="2" applyNumberFormat="1" applyFont="1" applyFill="1" applyBorder="1" applyAlignment="1">
      <alignment horizontal="center" vertical="center"/>
    </xf>
    <xf numFmtId="166" fontId="0" fillId="5" borderId="42" xfId="2" applyNumberFormat="1" applyFont="1" applyFill="1" applyBorder="1" applyAlignment="1">
      <alignment horizontal="center" vertical="center"/>
    </xf>
    <xf numFmtId="166" fontId="0" fillId="2" borderId="40" xfId="1" applyFont="1" applyFill="1" applyBorder="1" applyAlignment="1">
      <alignment horizontal="center" vertical="center"/>
    </xf>
    <xf numFmtId="9" fontId="0" fillId="2" borderId="40" xfId="2" applyFont="1" applyFill="1" applyBorder="1" applyAlignment="1">
      <alignment horizontal="center" vertical="center"/>
    </xf>
    <xf numFmtId="166" fontId="0" fillId="2" borderId="40" xfId="2" applyNumberFormat="1" applyFont="1" applyFill="1" applyBorder="1" applyAlignment="1">
      <alignment horizontal="center" vertical="center"/>
    </xf>
    <xf numFmtId="166" fontId="0" fillId="2" borderId="42" xfId="2" applyNumberFormat="1" applyFont="1" applyFill="1" applyBorder="1" applyAlignment="1">
      <alignment horizontal="center" vertical="center"/>
    </xf>
    <xf numFmtId="164" fontId="0" fillId="5" borderId="10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1" fillId="0" borderId="0" xfId="0" applyFont="1" applyAlignment="1">
      <alignment horizontal="center"/>
    </xf>
    <xf numFmtId="0" fontId="11" fillId="0" borderId="22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6" fontId="2" fillId="0" borderId="10" xfId="1" applyFont="1" applyFill="1" applyBorder="1" applyAlignment="1">
      <alignment horizontal="center" vertical="center"/>
    </xf>
    <xf numFmtId="166" fontId="2" fillId="0" borderId="1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8" fontId="0" fillId="0" borderId="13" xfId="6" applyNumberFormat="1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45" xfId="0" applyFont="1" applyFill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68" fontId="0" fillId="0" borderId="16" xfId="6" applyNumberFormat="1" applyFont="1" applyFill="1" applyBorder="1" applyAlignment="1">
      <alignment horizontal="center" vertical="center"/>
    </xf>
    <xf numFmtId="49" fontId="2" fillId="0" borderId="46" xfId="6" applyNumberFormat="1" applyFont="1" applyFill="1" applyBorder="1" applyAlignment="1">
      <alignment horizontal="center" vertical="center"/>
    </xf>
    <xf numFmtId="49" fontId="2" fillId="0" borderId="25" xfId="6" applyNumberFormat="1" applyFont="1" applyFill="1" applyBorder="1" applyAlignment="1">
      <alignment horizontal="center" vertical="center"/>
    </xf>
    <xf numFmtId="49" fontId="2" fillId="0" borderId="37" xfId="6" applyNumberFormat="1" applyFont="1" applyFill="1" applyBorder="1" applyAlignment="1">
      <alignment horizontal="center" vertical="center"/>
    </xf>
    <xf numFmtId="49" fontId="2" fillId="0" borderId="47" xfId="6" applyNumberFormat="1" applyFont="1" applyFill="1" applyBorder="1" applyAlignment="1">
      <alignment horizontal="center" vertical="center"/>
    </xf>
    <xf numFmtId="49" fontId="2" fillId="0" borderId="48" xfId="6" applyNumberFormat="1" applyFont="1" applyFill="1" applyBorder="1" applyAlignment="1">
      <alignment horizontal="center" vertical="center"/>
    </xf>
    <xf numFmtId="49" fontId="2" fillId="0" borderId="35" xfId="6" applyNumberFormat="1" applyFont="1" applyFill="1" applyBorder="1" applyAlignment="1">
      <alignment horizontal="center" vertical="center"/>
    </xf>
    <xf numFmtId="1" fontId="0" fillId="0" borderId="26" xfId="6" applyNumberFormat="1" applyFont="1" applyFill="1" applyBorder="1" applyAlignment="1">
      <alignment horizontal="center" vertical="center"/>
    </xf>
    <xf numFmtId="1" fontId="0" fillId="0" borderId="49" xfId="6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3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166" fontId="8" fillId="0" borderId="16" xfId="1" applyFont="1" applyBorder="1" applyAlignment="1">
      <alignment horizontal="center" vertical="center"/>
    </xf>
    <xf numFmtId="166" fontId="8" fillId="0" borderId="17" xfId="1" applyFont="1" applyBorder="1" applyAlignment="1">
      <alignment horizontal="center" vertical="center"/>
    </xf>
    <xf numFmtId="166" fontId="8" fillId="0" borderId="13" xfId="1" applyFont="1" applyBorder="1" applyAlignment="1">
      <alignment horizontal="center" vertical="center"/>
    </xf>
    <xf numFmtId="166" fontId="8" fillId="0" borderId="14" xfId="1" applyFont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6" fontId="2" fillId="2" borderId="16" xfId="1" applyFont="1" applyFill="1" applyBorder="1" applyAlignment="1">
      <alignment horizontal="center" vertical="center" wrapText="1"/>
    </xf>
    <xf numFmtId="166" fontId="2" fillId="2" borderId="13" xfId="1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45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 wrapText="1"/>
    </xf>
    <xf numFmtId="0" fontId="6" fillId="3" borderId="25" xfId="0" applyFont="1" applyFill="1" applyBorder="1" applyAlignment="1">
      <alignment horizontal="center" wrapText="1"/>
    </xf>
    <xf numFmtId="0" fontId="6" fillId="3" borderId="21" xfId="0" applyFont="1" applyFill="1" applyBorder="1" applyAlignment="1">
      <alignment horizontal="center" wrapText="1"/>
    </xf>
    <xf numFmtId="0" fontId="6" fillId="3" borderId="22" xfId="0" applyFont="1" applyFill="1" applyBorder="1" applyAlignment="1">
      <alignment horizontal="center" wrapText="1"/>
    </xf>
    <xf numFmtId="166" fontId="2" fillId="0" borderId="59" xfId="1" applyFont="1" applyBorder="1" applyAlignment="1">
      <alignment horizontal="left" vertical="center" wrapText="1"/>
    </xf>
    <xf numFmtId="166" fontId="2" fillId="0" borderId="44" xfId="1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166" fontId="2" fillId="0" borderId="29" xfId="1" applyFont="1" applyBorder="1" applyAlignment="1">
      <alignment horizontal="left" vertical="center" wrapText="1"/>
    </xf>
    <xf numFmtId="166" fontId="2" fillId="0" borderId="11" xfId="1" applyFont="1" applyBorder="1" applyAlignment="1">
      <alignment horizontal="left" vertical="center" wrapText="1"/>
    </xf>
    <xf numFmtId="0" fontId="0" fillId="5" borderId="3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6" fontId="2" fillId="0" borderId="31" xfId="1" applyFont="1" applyBorder="1" applyAlignment="1">
      <alignment horizontal="left" vertical="center" wrapText="1"/>
    </xf>
    <xf numFmtId="166" fontId="2" fillId="0" borderId="14" xfId="1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60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166" fontId="2" fillId="5" borderId="16" xfId="1" applyFont="1" applyFill="1" applyBorder="1" applyAlignment="1">
      <alignment horizontal="center" vertical="center" wrapText="1"/>
    </xf>
    <xf numFmtId="166" fontId="2" fillId="5" borderId="13" xfId="1" applyFont="1" applyFill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166" fontId="2" fillId="0" borderId="54" xfId="1" applyFont="1" applyBorder="1" applyAlignment="1">
      <alignment horizontal="center" vertical="center" wrapText="1"/>
    </xf>
    <xf numFmtId="166" fontId="2" fillId="0" borderId="55" xfId="1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</cellXfs>
  <cellStyles count="7">
    <cellStyle name="Moneda" xfId="1" builtinId="4"/>
    <cellStyle name="Moneda [0]" xfId="6" builtinId="7"/>
    <cellStyle name="Moneda 2" xfId="3" xr:uid="{3E5B4159-B69E-4203-86FD-6004710FAF7B}"/>
    <cellStyle name="Normal" xfId="0" builtinId="0"/>
    <cellStyle name="Normal 2" xfId="4" xr:uid="{5880C59F-0663-489C-8491-1384782AB464}"/>
    <cellStyle name="Normal 2 2" xfId="5" xr:uid="{83B4F310-D79B-4000-8A88-5EED3D991C0E}"/>
    <cellStyle name="Porcentaje" xfId="2" builtinId="5"/>
  </cellStyles>
  <dxfs count="4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CF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276226</xdr:colOff>
      <xdr:row>1</xdr:row>
      <xdr:rowOff>114301</xdr:rowOff>
    </xdr:from>
    <xdr:to>
      <xdr:col>29</xdr:col>
      <xdr:colOff>168090</xdr:colOff>
      <xdr:row>19</xdr:row>
      <xdr:rowOff>717177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B3D198-946C-4D76-9788-83E37CEE5B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0658" t="44524" r="27431" b="22436"/>
        <a:stretch/>
      </xdr:blipFill>
      <xdr:spPr>
        <a:xfrm>
          <a:off x="10103785" y="271183"/>
          <a:ext cx="4800040" cy="4233582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</xdr:row>
      <xdr:rowOff>47625</xdr:rowOff>
    </xdr:from>
    <xdr:to>
      <xdr:col>6</xdr:col>
      <xdr:colOff>352425</xdr:colOff>
      <xdr:row>7</xdr:row>
      <xdr:rowOff>100775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98FD8AE-8B95-5A01-A254-2238231FE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8775" y="361950"/>
          <a:ext cx="1066800" cy="929450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22</xdr:row>
      <xdr:rowOff>1</xdr:rowOff>
    </xdr:from>
    <xdr:to>
      <xdr:col>14</xdr:col>
      <xdr:colOff>304050</xdr:colOff>
      <xdr:row>25</xdr:row>
      <xdr:rowOff>96372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EA7CC0-E9FF-4649-8C67-65FBB8DCDB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265" y="5020236"/>
          <a:ext cx="1480667" cy="5670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DD3AC-8378-49E5-A1BC-1CE9ABD47D57}">
  <dimension ref="B2:C98"/>
  <sheetViews>
    <sheetView workbookViewId="0">
      <selection activeCell="C6" sqref="C6"/>
    </sheetView>
  </sheetViews>
  <sheetFormatPr defaultColWidth="11.42578125" defaultRowHeight="15"/>
  <cols>
    <col min="2" max="2" width="14.42578125" bestFit="1" customWidth="1"/>
    <col min="3" max="3" width="87.5703125" bestFit="1" customWidth="1"/>
    <col min="4" max="4" width="15.140625" customWidth="1"/>
  </cols>
  <sheetData>
    <row r="2" spans="2:3">
      <c r="B2" s="48" t="s">
        <v>0</v>
      </c>
      <c r="C2" s="48" t="s">
        <v>1</v>
      </c>
    </row>
    <row r="3" spans="2:3">
      <c r="B3" s="51" t="s">
        <v>2</v>
      </c>
      <c r="C3" s="52" t="s">
        <v>3</v>
      </c>
    </row>
    <row r="4" spans="2:3">
      <c r="B4" s="50" t="s">
        <v>4</v>
      </c>
      <c r="C4" s="50" t="s">
        <v>5</v>
      </c>
    </row>
    <row r="5" spans="2:3">
      <c r="B5" s="50" t="s">
        <v>6</v>
      </c>
      <c r="C5" t="s">
        <v>7</v>
      </c>
    </row>
    <row r="6" spans="2:3">
      <c r="B6" s="50" t="s">
        <v>8</v>
      </c>
      <c r="C6" t="s">
        <v>9</v>
      </c>
    </row>
    <row r="7" spans="2:3">
      <c r="B7" s="50" t="s">
        <v>10</v>
      </c>
      <c r="C7" s="50" t="s">
        <v>11</v>
      </c>
    </row>
    <row r="8" spans="2:3">
      <c r="B8" s="50" t="s">
        <v>12</v>
      </c>
      <c r="C8" s="50" t="s">
        <v>13</v>
      </c>
    </row>
    <row r="9" spans="2:3">
      <c r="B9" s="50" t="s">
        <v>14</v>
      </c>
      <c r="C9" s="50" t="s">
        <v>15</v>
      </c>
    </row>
    <row r="10" spans="2:3">
      <c r="B10" s="50" t="s">
        <v>16</v>
      </c>
      <c r="C10" s="50" t="s">
        <v>17</v>
      </c>
    </row>
    <row r="11" spans="2:3">
      <c r="B11" s="50" t="s">
        <v>18</v>
      </c>
      <c r="C11" s="50" t="s">
        <v>19</v>
      </c>
    </row>
    <row r="12" spans="2:3">
      <c r="B12" s="50" t="s">
        <v>20</v>
      </c>
      <c r="C12" s="50" t="s">
        <v>21</v>
      </c>
    </row>
    <row r="13" spans="2:3">
      <c r="B13" s="50" t="s">
        <v>22</v>
      </c>
      <c r="C13" s="50" t="s">
        <v>23</v>
      </c>
    </row>
    <row r="14" spans="2:3">
      <c r="B14" t="s">
        <v>24</v>
      </c>
      <c r="C14" t="s">
        <v>25</v>
      </c>
    </row>
    <row r="15" spans="2:3">
      <c r="B15" s="50" t="s">
        <v>26</v>
      </c>
      <c r="C15" s="50" t="s">
        <v>27</v>
      </c>
    </row>
    <row r="16" spans="2:3">
      <c r="B16" s="50" t="s">
        <v>28</v>
      </c>
      <c r="C16" s="50" t="s">
        <v>29</v>
      </c>
    </row>
    <row r="17" spans="2:3">
      <c r="B17" s="50" t="s">
        <v>30</v>
      </c>
      <c r="C17" s="50" t="s">
        <v>31</v>
      </c>
    </row>
    <row r="18" spans="2:3">
      <c r="B18" s="50" t="s">
        <v>32</v>
      </c>
      <c r="C18" s="50" t="s">
        <v>33</v>
      </c>
    </row>
    <row r="19" spans="2:3">
      <c r="B19" s="53" t="s">
        <v>34</v>
      </c>
      <c r="C19" s="50" t="s">
        <v>35</v>
      </c>
    </row>
    <row r="20" spans="2:3">
      <c r="B20" s="50" t="s">
        <v>36</v>
      </c>
      <c r="C20" s="50" t="s">
        <v>37</v>
      </c>
    </row>
    <row r="21" spans="2:3">
      <c r="B21" s="50" t="s">
        <v>38</v>
      </c>
      <c r="C21" s="50" t="s">
        <v>39</v>
      </c>
    </row>
    <row r="22" spans="2:3">
      <c r="B22" s="50" t="s">
        <v>40</v>
      </c>
      <c r="C22" s="50" t="s">
        <v>41</v>
      </c>
    </row>
    <row r="23" spans="2:3">
      <c r="B23" s="50" t="s">
        <v>42</v>
      </c>
      <c r="C23" s="50" t="s">
        <v>43</v>
      </c>
    </row>
    <row r="24" spans="2:3">
      <c r="B24" s="50" t="s">
        <v>44</v>
      </c>
      <c r="C24" s="50" t="s">
        <v>45</v>
      </c>
    </row>
    <row r="25" spans="2:3">
      <c r="B25" s="50" t="s">
        <v>46</v>
      </c>
      <c r="C25" s="50" t="s">
        <v>47</v>
      </c>
    </row>
    <row r="26" spans="2:3">
      <c r="B26" s="66" t="s">
        <v>48</v>
      </c>
      <c r="C26" s="50" t="s">
        <v>49</v>
      </c>
    </row>
    <row r="27" spans="2:3">
      <c r="B27" s="50" t="s">
        <v>50</v>
      </c>
      <c r="C27" s="50" t="s">
        <v>51</v>
      </c>
    </row>
    <row r="28" spans="2:3">
      <c r="B28" s="50" t="s">
        <v>52</v>
      </c>
      <c r="C28" s="50" t="s">
        <v>53</v>
      </c>
    </row>
    <row r="29" spans="2:3">
      <c r="B29" s="50" t="s">
        <v>54</v>
      </c>
      <c r="C29" s="50" t="s">
        <v>55</v>
      </c>
    </row>
    <row r="30" spans="2:3">
      <c r="B30" s="50" t="s">
        <v>56</v>
      </c>
      <c r="C30" s="50" t="s">
        <v>57</v>
      </c>
    </row>
    <row r="31" spans="2:3">
      <c r="B31" s="50" t="s">
        <v>58</v>
      </c>
      <c r="C31" s="50" t="s">
        <v>59</v>
      </c>
    </row>
    <row r="32" spans="2:3">
      <c r="B32" s="50" t="s">
        <v>60</v>
      </c>
      <c r="C32" s="50" t="s">
        <v>61</v>
      </c>
    </row>
    <row r="33" spans="2:3">
      <c r="B33" s="50" t="s">
        <v>62</v>
      </c>
      <c r="C33" s="50" t="s">
        <v>63</v>
      </c>
    </row>
    <row r="34" spans="2:3">
      <c r="B34" s="50" t="s">
        <v>64</v>
      </c>
      <c r="C34" s="50" t="s">
        <v>65</v>
      </c>
    </row>
    <row r="35" spans="2:3">
      <c r="B35" s="50" t="s">
        <v>66</v>
      </c>
      <c r="C35" s="50" t="s">
        <v>67</v>
      </c>
    </row>
    <row r="36" spans="2:3">
      <c r="B36" s="50" t="s">
        <v>68</v>
      </c>
      <c r="C36" s="50" t="s">
        <v>69</v>
      </c>
    </row>
    <row r="37" spans="2:3">
      <c r="B37" s="50" t="s">
        <v>70</v>
      </c>
      <c r="C37" s="50" t="s">
        <v>71</v>
      </c>
    </row>
    <row r="38" spans="2:3">
      <c r="B38" s="50" t="s">
        <v>72</v>
      </c>
      <c r="C38" s="50" t="s">
        <v>73</v>
      </c>
    </row>
    <row r="39" spans="2:3">
      <c r="B39" s="50" t="s">
        <v>74</v>
      </c>
      <c r="C39" s="50" t="s">
        <v>75</v>
      </c>
    </row>
    <row r="40" spans="2:3">
      <c r="B40" s="50" t="s">
        <v>76</v>
      </c>
      <c r="C40" s="50" t="s">
        <v>77</v>
      </c>
    </row>
    <row r="41" spans="2:3">
      <c r="B41" s="50" t="s">
        <v>78</v>
      </c>
      <c r="C41" s="50" t="s">
        <v>79</v>
      </c>
    </row>
    <row r="42" spans="2:3">
      <c r="B42" s="50" t="s">
        <v>80</v>
      </c>
      <c r="C42" s="50" t="s">
        <v>81</v>
      </c>
    </row>
    <row r="43" spans="2:3">
      <c r="B43" s="50" t="s">
        <v>82</v>
      </c>
      <c r="C43" t="s">
        <v>83</v>
      </c>
    </row>
    <row r="44" spans="2:3">
      <c r="B44" s="50" t="s">
        <v>84</v>
      </c>
      <c r="C44" s="50" t="s">
        <v>85</v>
      </c>
    </row>
    <row r="45" spans="2:3">
      <c r="B45" s="50" t="s">
        <v>86</v>
      </c>
      <c r="C45" s="50" t="s">
        <v>87</v>
      </c>
    </row>
    <row r="46" spans="2:3">
      <c r="B46" s="50" t="s">
        <v>88</v>
      </c>
      <c r="C46" s="50" t="s">
        <v>89</v>
      </c>
    </row>
    <row r="47" spans="2:3">
      <c r="B47" s="50" t="s">
        <v>90</v>
      </c>
      <c r="C47" s="50" t="s">
        <v>91</v>
      </c>
    </row>
    <row r="48" spans="2:3">
      <c r="B48" s="50" t="s">
        <v>92</v>
      </c>
      <c r="C48" s="50" t="s">
        <v>93</v>
      </c>
    </row>
    <row r="49" spans="2:3">
      <c r="B49" s="50" t="s">
        <v>94</v>
      </c>
      <c r="C49" s="50" t="s">
        <v>95</v>
      </c>
    </row>
    <row r="50" spans="2:3">
      <c r="B50" s="50" t="s">
        <v>96</v>
      </c>
      <c r="C50" s="50" t="s">
        <v>97</v>
      </c>
    </row>
    <row r="51" spans="2:3">
      <c r="B51" s="50" t="s">
        <v>98</v>
      </c>
      <c r="C51" s="50" t="s">
        <v>99</v>
      </c>
    </row>
    <row r="52" spans="2:3">
      <c r="B52" s="50" t="s">
        <v>100</v>
      </c>
      <c r="C52" s="50" t="s">
        <v>101</v>
      </c>
    </row>
    <row r="53" spans="2:3">
      <c r="B53" s="50" t="s">
        <v>102</v>
      </c>
      <c r="C53" s="50" t="s">
        <v>103</v>
      </c>
    </row>
    <row r="54" spans="2:3">
      <c r="B54" s="50" t="s">
        <v>104</v>
      </c>
      <c r="C54" s="50" t="s">
        <v>105</v>
      </c>
    </row>
    <row r="55" spans="2:3">
      <c r="B55" s="50" t="s">
        <v>106</v>
      </c>
      <c r="C55" s="50" t="s">
        <v>107</v>
      </c>
    </row>
    <row r="56" spans="2:3">
      <c r="B56" s="50" t="s">
        <v>108</v>
      </c>
      <c r="C56" s="50" t="s">
        <v>109</v>
      </c>
    </row>
    <row r="57" spans="2:3">
      <c r="B57" s="50" t="s">
        <v>110</v>
      </c>
      <c r="C57" s="50" t="s">
        <v>111</v>
      </c>
    </row>
    <row r="58" spans="2:3">
      <c r="B58" s="50" t="s">
        <v>112</v>
      </c>
      <c r="C58" s="50" t="s">
        <v>113</v>
      </c>
    </row>
    <row r="59" spans="2:3">
      <c r="B59" s="50" t="s">
        <v>114</v>
      </c>
      <c r="C59" s="50" t="s">
        <v>115</v>
      </c>
    </row>
    <row r="60" spans="2:3">
      <c r="B60" s="50" t="s">
        <v>116</v>
      </c>
      <c r="C60" s="50" t="s">
        <v>117</v>
      </c>
    </row>
    <row r="61" spans="2:3">
      <c r="B61" s="50" t="s">
        <v>118</v>
      </c>
      <c r="C61" s="50" t="s">
        <v>119</v>
      </c>
    </row>
    <row r="62" spans="2:3">
      <c r="B62" s="50" t="s">
        <v>120</v>
      </c>
      <c r="C62" s="50" t="s">
        <v>121</v>
      </c>
    </row>
    <row r="63" spans="2:3">
      <c r="B63" s="50" t="s">
        <v>122</v>
      </c>
      <c r="C63" s="50" t="s">
        <v>123</v>
      </c>
    </row>
    <row r="64" spans="2:3">
      <c r="B64" s="50" t="s">
        <v>124</v>
      </c>
      <c r="C64" s="50" t="s">
        <v>125</v>
      </c>
    </row>
    <row r="65" spans="2:3">
      <c r="B65" s="50" t="s">
        <v>126</v>
      </c>
      <c r="C65" s="50" t="s">
        <v>127</v>
      </c>
    </row>
    <row r="66" spans="2:3">
      <c r="B66" s="50" t="s">
        <v>128</v>
      </c>
      <c r="C66" s="50" t="s">
        <v>71</v>
      </c>
    </row>
    <row r="67" spans="2:3">
      <c r="B67" s="50" t="s">
        <v>129</v>
      </c>
      <c r="C67" s="50" t="s">
        <v>130</v>
      </c>
    </row>
    <row r="68" spans="2:3">
      <c r="B68" s="50" t="s">
        <v>131</v>
      </c>
      <c r="C68" s="50" t="s">
        <v>132</v>
      </c>
    </row>
    <row r="69" spans="2:3">
      <c r="B69" s="50" t="s">
        <v>133</v>
      </c>
      <c r="C69" s="50" t="s">
        <v>134</v>
      </c>
    </row>
    <row r="70" spans="2:3">
      <c r="B70" s="50" t="s">
        <v>135</v>
      </c>
      <c r="C70" s="50" t="s">
        <v>136</v>
      </c>
    </row>
    <row r="71" spans="2:3">
      <c r="B71" s="50" t="s">
        <v>137</v>
      </c>
      <c r="C71" s="50" t="s">
        <v>138</v>
      </c>
    </row>
    <row r="72" spans="2:3">
      <c r="B72" s="50" t="s">
        <v>139</v>
      </c>
      <c r="C72" s="50" t="s">
        <v>140</v>
      </c>
    </row>
    <row r="73" spans="2:3">
      <c r="B73" s="50" t="s">
        <v>141</v>
      </c>
      <c r="C73" s="50" t="s">
        <v>142</v>
      </c>
    </row>
    <row r="74" spans="2:3">
      <c r="B74" s="50" t="s">
        <v>143</v>
      </c>
      <c r="C74" s="50" t="s">
        <v>144</v>
      </c>
    </row>
    <row r="75" spans="2:3">
      <c r="B75" s="50" t="s">
        <v>145</v>
      </c>
      <c r="C75" s="50" t="s">
        <v>146</v>
      </c>
    </row>
    <row r="76" spans="2:3">
      <c r="B76" s="50" t="s">
        <v>147</v>
      </c>
      <c r="C76" s="50" t="s">
        <v>148</v>
      </c>
    </row>
    <row r="77" spans="2:3">
      <c r="B77" s="50" t="s">
        <v>149</v>
      </c>
      <c r="C77" s="50" t="s">
        <v>150</v>
      </c>
    </row>
    <row r="78" spans="2:3">
      <c r="B78" s="67">
        <v>900892326</v>
      </c>
      <c r="C78" s="50" t="s">
        <v>151</v>
      </c>
    </row>
    <row r="79" spans="2:3">
      <c r="B79" s="67" t="s">
        <v>152</v>
      </c>
      <c r="C79" s="50" t="s">
        <v>153</v>
      </c>
    </row>
    <row r="80" spans="2:3">
      <c r="B80" s="50" t="s">
        <v>154</v>
      </c>
      <c r="C80" s="50" t="s">
        <v>155</v>
      </c>
    </row>
    <row r="81" spans="2:3">
      <c r="B81" s="50" t="s">
        <v>156</v>
      </c>
      <c r="C81" s="50" t="s">
        <v>157</v>
      </c>
    </row>
    <row r="82" spans="2:3">
      <c r="B82" s="65" t="s">
        <v>131</v>
      </c>
      <c r="C82" s="50" t="s">
        <v>158</v>
      </c>
    </row>
    <row r="83" spans="2:3">
      <c r="B83" s="50" t="s">
        <v>159</v>
      </c>
      <c r="C83" s="50" t="s">
        <v>160</v>
      </c>
    </row>
    <row r="84" spans="2:3">
      <c r="B84" s="50" t="s">
        <v>161</v>
      </c>
      <c r="C84" s="50" t="s">
        <v>162</v>
      </c>
    </row>
    <row r="86" spans="2:3">
      <c r="B86" s="50"/>
      <c r="C86" s="50"/>
    </row>
    <row r="87" spans="2:3">
      <c r="B87" s="50"/>
      <c r="C87" s="50"/>
    </row>
    <row r="88" spans="2:3">
      <c r="B88" s="50"/>
      <c r="C88" s="50"/>
    </row>
    <row r="89" spans="2:3">
      <c r="B89" s="50"/>
      <c r="C89" s="50"/>
    </row>
    <row r="90" spans="2:3">
      <c r="B90" s="50"/>
      <c r="C90" s="50"/>
    </row>
    <row r="91" spans="2:3">
      <c r="B91" s="50"/>
      <c r="C91" s="50"/>
    </row>
    <row r="92" spans="2:3">
      <c r="B92" s="50"/>
      <c r="C92" s="50"/>
    </row>
    <row r="93" spans="2:3">
      <c r="B93" s="50"/>
      <c r="C93" s="50"/>
    </row>
    <row r="94" spans="2:3">
      <c r="B94" s="50"/>
      <c r="C94" s="50"/>
    </row>
    <row r="95" spans="2:3">
      <c r="B95" s="50"/>
      <c r="C95" s="50"/>
    </row>
    <row r="96" spans="2:3">
      <c r="B96" s="50"/>
      <c r="C96" s="50"/>
    </row>
    <row r="97" spans="2:3">
      <c r="B97" s="50"/>
      <c r="C97" s="50"/>
    </row>
    <row r="98" spans="2:3">
      <c r="B98" s="50"/>
      <c r="C98" s="50"/>
    </row>
  </sheetData>
  <autoFilter ref="B2:C84" xr:uid="{54DDD3AC-8378-49E5-A1BC-1CE9ABD47D57}">
    <sortState xmlns:xlrd2="http://schemas.microsoft.com/office/spreadsheetml/2017/richdata2" ref="B3:C61">
      <sortCondition ref="C2"/>
    </sortState>
  </autoFilter>
  <conditionalFormatting sqref="B68">
    <cfRule type="duplicateValues" dxfId="41" priority="6"/>
    <cfRule type="duplicateValues" dxfId="40" priority="7"/>
    <cfRule type="duplicateValues" dxfId="39" priority="8"/>
  </conditionalFormatting>
  <conditionalFormatting sqref="B67:C67">
    <cfRule type="duplicateValues" dxfId="38" priority="9"/>
    <cfRule type="duplicateValues" dxfId="37" priority="10"/>
    <cfRule type="duplicateValues" dxfId="36" priority="11"/>
  </conditionalFormatting>
  <conditionalFormatting sqref="B86:C1048576 B69:C73 B1:C2 B4:C4 B7:C13 B15:C25 B44:C54 B14 B43 B27:C42 B84 B82:C83 B80:B81 B75:C79 B74 B5:B6">
    <cfRule type="duplicateValues" dxfId="35" priority="28"/>
  </conditionalFormatting>
  <conditionalFormatting sqref="B86:C1048576 B69:C73 B1:C4 B7:C13 B15:C25 B44:C61 B14 B43 B27:C42 B84 B82:C83 B80:B81 B75:C79 B74 B5:B6">
    <cfRule type="duplicateValues" dxfId="34" priority="17"/>
  </conditionalFormatting>
  <conditionalFormatting sqref="B86:C1048576 B69:C73 B1:C4 B7:C13 B15:C25 B44:C63 B14 B43 B27:C42 B84 B82:C83 B80:B81 B75:C79 B74 B64:B66 B5:B6">
    <cfRule type="duplicateValues" dxfId="33" priority="14"/>
  </conditionalFormatting>
  <conditionalFormatting sqref="C39">
    <cfRule type="duplicateValues" dxfId="32" priority="163"/>
  </conditionalFormatting>
  <conditionalFormatting sqref="C51">
    <cfRule type="duplicateValues" dxfId="31" priority="33"/>
    <cfRule type="duplicateValues" dxfId="30" priority="34"/>
  </conditionalFormatting>
  <conditionalFormatting sqref="C52:C53">
    <cfRule type="duplicateValues" dxfId="29" priority="31"/>
    <cfRule type="duplicateValues" dxfId="28" priority="32"/>
  </conditionalFormatting>
  <conditionalFormatting sqref="C54">
    <cfRule type="duplicateValues" dxfId="27" priority="229"/>
    <cfRule type="duplicateValues" dxfId="26" priority="230"/>
  </conditionalFormatting>
  <conditionalFormatting sqref="C55:C56">
    <cfRule type="duplicateValues" dxfId="25" priority="26"/>
    <cfRule type="duplicateValues" dxfId="24" priority="27"/>
  </conditionalFormatting>
  <conditionalFormatting sqref="C57">
    <cfRule type="duplicateValues" dxfId="23" priority="22"/>
    <cfRule type="duplicateValues" dxfId="22" priority="23"/>
  </conditionalFormatting>
  <conditionalFormatting sqref="C58:C59">
    <cfRule type="duplicateValues" dxfId="21" priority="24"/>
    <cfRule type="duplicateValues" dxfId="20" priority="25"/>
  </conditionalFormatting>
  <conditionalFormatting sqref="C60:C61">
    <cfRule type="duplicateValues" dxfId="19" priority="20"/>
    <cfRule type="duplicateValues" dxfId="18" priority="21"/>
  </conditionalFormatting>
  <conditionalFormatting sqref="C67:C68">
    <cfRule type="duplicateValues" dxfId="17" priority="12"/>
    <cfRule type="duplicateValues" dxfId="16" priority="13"/>
  </conditionalFormatting>
  <conditionalFormatting sqref="C68">
    <cfRule type="duplicateValues" dxfId="15" priority="3"/>
    <cfRule type="duplicateValues" dxfId="14" priority="4"/>
    <cfRule type="duplicateValues" dxfId="13" priority="5"/>
  </conditionalFormatting>
  <conditionalFormatting sqref="C86:C1048576 C69:C73 C1:C2 C7:C13 C4 C15:C25 C44:C50 C27:C42 C82:C83 C75:C79">
    <cfRule type="duplicateValues" dxfId="12" priority="35"/>
  </conditionalFormatting>
  <conditionalFormatting sqref="C86:C1048576 C69:C73 C40:C42 C44:C50 C1:C2 C7:C13 C4 C15:C25 C27:C38 C82:C83 C75:C79">
    <cfRule type="duplicateValues" dxfId="11" priority="37"/>
  </conditionalFormatting>
  <conditionalFormatting sqref="B64">
    <cfRule type="duplicateValues" dxfId="10" priority="2"/>
  </conditionalFormatting>
  <conditionalFormatting sqref="B64">
    <cfRule type="duplicateValues" dxfId="9" priority="1"/>
  </conditionalFormatting>
  <conditionalFormatting sqref="C62:C63">
    <cfRule type="duplicateValues" dxfId="8" priority="269"/>
    <cfRule type="duplicateValues" dxfId="7" priority="270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DCE2F-8208-4CE6-BC7D-A47AF5954AFF}">
  <dimension ref="B1:AF31"/>
  <sheetViews>
    <sheetView showGridLines="0" topLeftCell="A6" zoomScale="85" zoomScaleNormal="85" workbookViewId="0">
      <selection activeCell="C6" sqref="C6"/>
    </sheetView>
  </sheetViews>
  <sheetFormatPr defaultColWidth="5.85546875" defaultRowHeight="12"/>
  <cols>
    <col min="1" max="14" width="5.85546875" style="27"/>
    <col min="15" max="15" width="10" style="27" customWidth="1"/>
    <col min="16" max="16" width="18.140625" style="27" bestFit="1" customWidth="1"/>
    <col min="17" max="17" width="30.85546875" style="28" customWidth="1"/>
    <col min="18" max="18" width="5.85546875" style="28"/>
    <col min="19" max="23" width="5.85546875" style="27"/>
    <col min="24" max="24" width="14.7109375" style="27" bestFit="1" customWidth="1"/>
    <col min="25" max="30" width="5.85546875" style="27"/>
    <col min="31" max="31" width="16.85546875" style="27" bestFit="1" customWidth="1"/>
    <col min="32" max="32" width="15.42578125" style="27" bestFit="1" customWidth="1"/>
    <col min="33" max="16384" width="5.85546875" style="27"/>
  </cols>
  <sheetData>
    <row r="1" spans="2:32" ht="12.75" thickBot="1"/>
    <row r="2" spans="2:32">
      <c r="B2" s="29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1"/>
      <c r="R2" s="32"/>
    </row>
    <row r="3" spans="2:32" ht="15">
      <c r="B3" s="33"/>
      <c r="C3" s="112" t="s">
        <v>163</v>
      </c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34"/>
      <c r="AE3" s="27" t="s">
        <v>164</v>
      </c>
      <c r="AF3" s="27" t="s">
        <v>165</v>
      </c>
    </row>
    <row r="4" spans="2:32" ht="15">
      <c r="B4" s="33"/>
      <c r="C4" s="112" t="s">
        <v>166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34"/>
      <c r="AE4" s="27" t="s">
        <v>166</v>
      </c>
      <c r="AF4" s="27" t="s">
        <v>167</v>
      </c>
    </row>
    <row r="5" spans="2:32" ht="15">
      <c r="B5" s="33"/>
      <c r="C5" s="113" t="s">
        <v>168</v>
      </c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34"/>
    </row>
    <row r="6" spans="2:32">
      <c r="B6" s="33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R6" s="34"/>
    </row>
    <row r="7" spans="2:32">
      <c r="B7" s="33"/>
      <c r="R7" s="34"/>
    </row>
    <row r="8" spans="2:32">
      <c r="B8" s="33"/>
      <c r="R8" s="34"/>
    </row>
    <row r="9" spans="2:32" ht="12.75" thickBot="1">
      <c r="B9" s="33"/>
      <c r="R9" s="34"/>
    </row>
    <row r="10" spans="2:32" ht="12.75" thickBot="1">
      <c r="B10" s="33"/>
      <c r="C10" s="114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6"/>
      <c r="R10" s="34"/>
    </row>
    <row r="11" spans="2:32" s="37" customFormat="1" ht="15">
      <c r="B11" s="35"/>
      <c r="C11" s="117" t="s">
        <v>169</v>
      </c>
      <c r="D11" s="118"/>
      <c r="E11" s="118"/>
      <c r="F11" s="118"/>
      <c r="G11" s="118"/>
      <c r="H11" s="118"/>
      <c r="I11" s="119">
        <v>4271673.9800000004</v>
      </c>
      <c r="J11" s="119"/>
      <c r="K11" s="119"/>
      <c r="L11" s="120" t="s">
        <v>170</v>
      </c>
      <c r="M11" s="121"/>
      <c r="N11" s="121"/>
      <c r="O11" s="121"/>
      <c r="P11" s="122"/>
      <c r="Q11" s="126">
        <v>1</v>
      </c>
      <c r="R11" s="36"/>
    </row>
    <row r="12" spans="2:32" s="37" customFormat="1" ht="15">
      <c r="B12" s="35"/>
      <c r="C12" s="93" t="s">
        <v>171</v>
      </c>
      <c r="D12" s="94"/>
      <c r="E12" s="94"/>
      <c r="F12" s="94"/>
      <c r="G12" s="94"/>
      <c r="H12" s="94"/>
      <c r="I12" s="128">
        <f ca="1">TODAY()</f>
        <v>45216</v>
      </c>
      <c r="J12" s="129"/>
      <c r="K12" s="129"/>
      <c r="L12" s="123"/>
      <c r="M12" s="124"/>
      <c r="N12" s="124"/>
      <c r="O12" s="124"/>
      <c r="P12" s="125"/>
      <c r="Q12" s="127"/>
      <c r="R12" s="36"/>
    </row>
    <row r="13" spans="2:32" s="37" customFormat="1" ht="15.75" thickBot="1">
      <c r="B13" s="35"/>
      <c r="C13" s="107" t="s">
        <v>172</v>
      </c>
      <c r="D13" s="108"/>
      <c r="E13" s="108"/>
      <c r="F13" s="108"/>
      <c r="G13" s="108"/>
      <c r="H13" s="108"/>
      <c r="I13" s="109">
        <f>SUBTOTAL(5,P16:P17)</f>
        <v>4075750</v>
      </c>
      <c r="J13" s="109"/>
      <c r="K13" s="109"/>
      <c r="L13" s="108" t="s">
        <v>173</v>
      </c>
      <c r="M13" s="108"/>
      <c r="N13" s="108"/>
      <c r="O13" s="108"/>
      <c r="P13" s="108"/>
      <c r="Q13" s="38" t="str">
        <f>_xlfn.XLOOKUP(C4,AE3:AE4,AF3:AF4)</f>
        <v>Menor valor oferta económica</v>
      </c>
      <c r="R13" s="36"/>
    </row>
    <row r="14" spans="2:32" s="37" customFormat="1">
      <c r="B14" s="35"/>
      <c r="C14" s="35"/>
      <c r="I14" s="39"/>
      <c r="J14" s="39"/>
      <c r="K14" s="39"/>
      <c r="Q14" s="40"/>
      <c r="R14" s="36"/>
    </row>
    <row r="15" spans="2:32" s="37" customFormat="1" ht="26.25" customHeight="1">
      <c r="B15" s="35"/>
      <c r="C15" s="110" t="s">
        <v>174</v>
      </c>
      <c r="D15" s="111"/>
      <c r="E15" s="111" t="s">
        <v>175</v>
      </c>
      <c r="F15" s="111"/>
      <c r="G15" s="111"/>
      <c r="H15" s="111" t="s">
        <v>176</v>
      </c>
      <c r="I15" s="111"/>
      <c r="J15" s="111"/>
      <c r="K15" s="111"/>
      <c r="L15" s="111"/>
      <c r="M15" s="111"/>
      <c r="N15" s="111"/>
      <c r="O15" s="111"/>
      <c r="P15" s="69" t="s">
        <v>177</v>
      </c>
      <c r="Q15" s="70" t="s">
        <v>178</v>
      </c>
      <c r="R15" s="36"/>
    </row>
    <row r="16" spans="2:32" s="37" customFormat="1" ht="26.25" customHeight="1">
      <c r="B16" s="35"/>
      <c r="C16" s="93">
        <v>1</v>
      </c>
      <c r="D16" s="94"/>
      <c r="E16" s="95" t="s">
        <v>6</v>
      </c>
      <c r="F16" s="95"/>
      <c r="G16" s="95"/>
      <c r="H16" s="96" t="s">
        <v>7</v>
      </c>
      <c r="I16" s="96"/>
      <c r="J16" s="96"/>
      <c r="K16" s="96"/>
      <c r="L16" s="96"/>
      <c r="M16" s="96"/>
      <c r="N16" s="96"/>
      <c r="O16" s="96"/>
      <c r="P16" s="49">
        <v>4262746.2300000004</v>
      </c>
      <c r="Q16" s="68" t="s">
        <v>179</v>
      </c>
      <c r="R16" s="36"/>
    </row>
    <row r="17" spans="2:20" s="37" customFormat="1" ht="26.25" customHeight="1">
      <c r="B17" s="35"/>
      <c r="C17" s="93">
        <v>2</v>
      </c>
      <c r="D17" s="94"/>
      <c r="E17" s="95" t="s">
        <v>8</v>
      </c>
      <c r="F17" s="95"/>
      <c r="G17" s="95"/>
      <c r="H17" s="96" t="s">
        <v>9</v>
      </c>
      <c r="I17" s="96"/>
      <c r="J17" s="96"/>
      <c r="K17" s="96"/>
      <c r="L17" s="96"/>
      <c r="M17" s="96"/>
      <c r="N17" s="96"/>
      <c r="O17" s="96"/>
      <c r="P17" s="49">
        <v>4075750</v>
      </c>
      <c r="Q17" s="68" t="s">
        <v>180</v>
      </c>
      <c r="R17" s="36"/>
    </row>
    <row r="18" spans="2:20" s="37" customFormat="1" ht="16.5" thickBot="1">
      <c r="B18" s="35"/>
      <c r="C18" s="98" t="s">
        <v>181</v>
      </c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100"/>
      <c r="R18" s="36"/>
    </row>
    <row r="19" spans="2:20" s="37" customFormat="1" ht="12" customHeight="1">
      <c r="B19" s="35"/>
      <c r="C19" s="101" t="s">
        <v>182</v>
      </c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3"/>
      <c r="R19" s="36"/>
    </row>
    <row r="20" spans="2:20" ht="72" customHeight="1" thickBot="1">
      <c r="B20" s="33"/>
      <c r="C20" s="104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6"/>
      <c r="R20" s="34"/>
    </row>
    <row r="21" spans="2:20" ht="12.75">
      <c r="B21" s="33"/>
      <c r="C21" s="41"/>
      <c r="D21" s="41"/>
      <c r="E21" s="42"/>
      <c r="F21" s="42"/>
      <c r="G21" s="42"/>
      <c r="H21" s="43"/>
      <c r="I21" s="43"/>
      <c r="J21" s="43"/>
      <c r="K21" s="43"/>
      <c r="L21" s="43"/>
      <c r="M21" s="43"/>
      <c r="N21" s="43"/>
      <c r="O21" s="43"/>
      <c r="P21" s="44"/>
      <c r="Q21" s="44"/>
      <c r="R21" s="34"/>
    </row>
    <row r="22" spans="2:20" ht="12.75">
      <c r="B22" s="33"/>
      <c r="C22" s="41"/>
      <c r="D22" s="41"/>
      <c r="E22" s="42"/>
      <c r="F22" s="42"/>
      <c r="G22" s="42"/>
      <c r="H22" s="43"/>
      <c r="I22" s="43"/>
      <c r="J22" s="43"/>
      <c r="K22" s="43"/>
      <c r="L22" s="43"/>
      <c r="M22" s="43"/>
      <c r="N22" s="43"/>
      <c r="O22" s="43"/>
      <c r="P22" s="44"/>
      <c r="Q22" s="44"/>
      <c r="R22" s="34"/>
    </row>
    <row r="23" spans="2:20">
      <c r="B23" s="33"/>
      <c r="R23" s="34"/>
      <c r="T23" s="45"/>
    </row>
    <row r="24" spans="2:20">
      <c r="B24" s="33"/>
      <c r="R24" s="34"/>
      <c r="T24" s="45"/>
    </row>
    <row r="25" spans="2:20">
      <c r="B25" s="33"/>
      <c r="R25" s="34"/>
      <c r="T25" s="45"/>
    </row>
    <row r="26" spans="2:20">
      <c r="B26" s="33"/>
      <c r="R26" s="34"/>
      <c r="T26" s="45"/>
    </row>
    <row r="27" spans="2:20">
      <c r="B27" s="33"/>
      <c r="C27" s="97" t="s">
        <v>183</v>
      </c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34"/>
      <c r="T27" s="45"/>
    </row>
    <row r="28" spans="2:20">
      <c r="B28" s="33"/>
      <c r="C28" s="91" t="s">
        <v>184</v>
      </c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34"/>
      <c r="T28" s="45"/>
    </row>
    <row r="29" spans="2:20">
      <c r="B29" s="33"/>
      <c r="C29" s="91" t="s">
        <v>185</v>
      </c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34"/>
      <c r="T29" s="45"/>
    </row>
    <row r="30" spans="2:20">
      <c r="B30" s="33"/>
      <c r="C30" s="91" t="s">
        <v>186</v>
      </c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34"/>
      <c r="T30" s="45"/>
    </row>
    <row r="31" spans="2:20" ht="12.75" thickBot="1">
      <c r="B31" s="46"/>
      <c r="C31" s="92" t="s">
        <v>187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47"/>
    </row>
  </sheetData>
  <mergeCells count="29">
    <mergeCell ref="C3:Q3"/>
    <mergeCell ref="C4:Q4"/>
    <mergeCell ref="C5:Q5"/>
    <mergeCell ref="C10:Q10"/>
    <mergeCell ref="C11:H11"/>
    <mergeCell ref="I11:K11"/>
    <mergeCell ref="L11:P12"/>
    <mergeCell ref="Q11:Q12"/>
    <mergeCell ref="C12:H12"/>
    <mergeCell ref="I12:K12"/>
    <mergeCell ref="C13:H13"/>
    <mergeCell ref="I13:K13"/>
    <mergeCell ref="L13:P13"/>
    <mergeCell ref="C15:D15"/>
    <mergeCell ref="E15:G15"/>
    <mergeCell ref="H15:O15"/>
    <mergeCell ref="C16:D16"/>
    <mergeCell ref="E16:G16"/>
    <mergeCell ref="H16:O16"/>
    <mergeCell ref="C18:Q18"/>
    <mergeCell ref="C19:Q20"/>
    <mergeCell ref="C28:Q28"/>
    <mergeCell ref="C29:Q29"/>
    <mergeCell ref="C30:Q30"/>
    <mergeCell ref="C31:Q31"/>
    <mergeCell ref="C17:D17"/>
    <mergeCell ref="E17:G17"/>
    <mergeCell ref="H17:O17"/>
    <mergeCell ref="C27:Q27"/>
  </mergeCells>
  <dataValidations count="1">
    <dataValidation type="list" allowBlank="1" showInputMessage="1" showErrorMessage="1" sqref="C4:Q4" xr:uid="{807D46D1-FBCE-4891-916D-6A248748AF33}">
      <formula1>$AE$3:$AE$4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5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CE947CC-5743-463F-B92E-53446648A779}">
          <x14:formula1>
            <xm:f>'Base oferentes 2022'!$C$4:$C$84</xm:f>
          </x14:formula1>
          <xm:sqref>H16:O17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0"/>
  <sheetViews>
    <sheetView tabSelected="1" topLeftCell="A5" zoomScale="90" zoomScaleNormal="90" workbookViewId="0">
      <selection activeCell="M5" sqref="M5"/>
    </sheetView>
  </sheetViews>
  <sheetFormatPr defaultColWidth="9.140625" defaultRowHeight="15"/>
  <cols>
    <col min="1" max="1" width="3.42578125" customWidth="1"/>
    <col min="2" max="2" width="5.140625" bestFit="1" customWidth="1"/>
    <col min="3" max="3" width="36" customWidth="1"/>
    <col min="4" max="4" width="13.7109375" customWidth="1"/>
    <col min="5" max="5" width="11" customWidth="1"/>
    <col min="6" max="6" width="8.85546875" customWidth="1"/>
    <col min="7" max="7" width="16.42578125" customWidth="1"/>
    <col min="8" max="8" width="15.85546875" customWidth="1"/>
    <col min="9" max="9" width="17.28515625" style="1" customWidth="1"/>
    <col min="10" max="10" width="16.5703125" customWidth="1"/>
    <col min="11" max="11" width="17.28515625" customWidth="1"/>
    <col min="12" max="12" width="17.7109375" customWidth="1"/>
    <col min="13" max="13" width="17.140625" customWidth="1"/>
    <col min="14" max="14" width="16.85546875" style="1" customWidth="1"/>
    <col min="15" max="15" width="18.28515625" customWidth="1"/>
    <col min="16" max="16" width="18.85546875" customWidth="1"/>
    <col min="17" max="17" width="3" customWidth="1"/>
  </cols>
  <sheetData>
    <row r="1" spans="1:17" ht="15.75" thickBot="1">
      <c r="A1" s="7"/>
      <c r="B1" s="8"/>
      <c r="C1" s="8"/>
      <c r="D1" s="8"/>
      <c r="E1" s="8"/>
      <c r="F1" s="8"/>
      <c r="G1" s="8"/>
      <c r="H1" s="8"/>
      <c r="I1" s="9"/>
      <c r="J1" s="8"/>
      <c r="K1" s="8"/>
      <c r="L1" s="8"/>
      <c r="M1" s="8"/>
      <c r="N1" s="9"/>
      <c r="O1" s="8"/>
      <c r="P1" s="8"/>
      <c r="Q1" s="72"/>
    </row>
    <row r="2" spans="1:17" ht="16.5" thickBot="1">
      <c r="A2" s="10"/>
      <c r="B2" s="188" t="s">
        <v>188</v>
      </c>
      <c r="C2" s="189"/>
      <c r="D2" s="188" t="str">
        <f>+'Evaluación lote 1'!C5</f>
        <v>MC-DC-CGI-030-2023</v>
      </c>
      <c r="E2" s="189"/>
      <c r="F2" s="190"/>
      <c r="G2" s="148" t="s">
        <v>189</v>
      </c>
      <c r="H2" s="150">
        <v>1</v>
      </c>
      <c r="I2" s="136" t="s">
        <v>180</v>
      </c>
      <c r="J2" s="136"/>
      <c r="K2" s="137"/>
      <c r="L2" s="148" t="s">
        <v>189</v>
      </c>
      <c r="M2" s="150">
        <v>2</v>
      </c>
      <c r="N2" s="136" t="s">
        <v>179</v>
      </c>
      <c r="O2" s="136"/>
      <c r="P2" s="137"/>
      <c r="Q2" s="73"/>
    </row>
    <row r="3" spans="1:17" ht="15.75" thickBot="1">
      <c r="A3" s="10"/>
      <c r="B3" s="191" t="s">
        <v>190</v>
      </c>
      <c r="C3" s="192"/>
      <c r="D3" s="192"/>
      <c r="E3" s="192"/>
      <c r="F3" s="192"/>
      <c r="G3" s="149"/>
      <c r="H3" s="151"/>
      <c r="I3" s="138"/>
      <c r="J3" s="138"/>
      <c r="K3" s="139"/>
      <c r="L3" s="149"/>
      <c r="M3" s="151"/>
      <c r="N3" s="138"/>
      <c r="O3" s="138"/>
      <c r="P3" s="139"/>
      <c r="Q3" s="73"/>
    </row>
    <row r="4" spans="1:17" s="2" customFormat="1" ht="15.75" thickBot="1">
      <c r="A4" s="11"/>
      <c r="B4" s="193"/>
      <c r="C4" s="194"/>
      <c r="D4" s="194"/>
      <c r="E4" s="194"/>
      <c r="F4" s="194"/>
      <c r="G4" s="25" t="s">
        <v>191</v>
      </c>
      <c r="H4" s="25" t="s">
        <v>192</v>
      </c>
      <c r="I4" s="26" t="s">
        <v>193</v>
      </c>
      <c r="J4" s="152" t="s">
        <v>194</v>
      </c>
      <c r="K4" s="153"/>
      <c r="L4" s="25" t="s">
        <v>191</v>
      </c>
      <c r="M4" s="25" t="s">
        <v>192</v>
      </c>
      <c r="N4" s="26" t="s">
        <v>193</v>
      </c>
      <c r="O4" s="152" t="s">
        <v>194</v>
      </c>
      <c r="P4" s="153"/>
      <c r="Q4" s="74"/>
    </row>
    <row r="5" spans="1:17" s="6" customFormat="1" ht="39" customHeight="1" thickBot="1">
      <c r="A5" s="15"/>
      <c r="B5" s="199" t="s">
        <v>195</v>
      </c>
      <c r="C5" s="200"/>
      <c r="D5" s="206" t="s">
        <v>196</v>
      </c>
      <c r="E5" s="207"/>
      <c r="F5" s="208"/>
      <c r="G5" s="54">
        <v>4262746.2300000004</v>
      </c>
      <c r="H5" s="54">
        <v>4262746.2300000004</v>
      </c>
      <c r="I5" s="54">
        <v>4262746.2300000004</v>
      </c>
      <c r="J5" s="201" t="str">
        <f>IF(AND(G5=H5,H5=I5,G5=I5),"SI","NO")</f>
        <v>SI</v>
      </c>
      <c r="K5" s="202"/>
      <c r="L5" s="24">
        <v>4075750</v>
      </c>
      <c r="M5" s="24">
        <v>4075750</v>
      </c>
      <c r="N5" s="24">
        <v>4075750</v>
      </c>
      <c r="O5" s="140" t="str">
        <f>IF(AND(L5=M5,M5=N5,L5=N5),"SI","NO")</f>
        <v>SI</v>
      </c>
      <c r="P5" s="141"/>
      <c r="Q5" s="75"/>
    </row>
    <row r="6" spans="1:17" s="6" customFormat="1" ht="39" customHeight="1">
      <c r="A6" s="15"/>
      <c r="B6" s="197" t="s">
        <v>197</v>
      </c>
      <c r="C6" s="198"/>
      <c r="D6" s="62" t="s">
        <v>198</v>
      </c>
      <c r="E6" s="195">
        <v>4271673.9800000004</v>
      </c>
      <c r="F6" s="196"/>
      <c r="G6" s="205"/>
      <c r="H6" s="158"/>
      <c r="I6" s="159"/>
      <c r="J6" s="164" t="str">
        <f>IF(AND($E$6&gt;=G5,$E$6&gt;=H5,$E$6&gt;=I5),"SI","NO")</f>
        <v>SI</v>
      </c>
      <c r="K6" s="165"/>
      <c r="L6" s="154"/>
      <c r="M6" s="155"/>
      <c r="N6" s="156"/>
      <c r="O6" s="154" t="str">
        <f>IF(AND($E$6&gt;=L5,$E$6&gt;=M5,$E$6&gt;=N5),"SI","NO")</f>
        <v>SI</v>
      </c>
      <c r="P6" s="157"/>
      <c r="Q6" s="75"/>
    </row>
    <row r="7" spans="1:17" s="6" customFormat="1" ht="39" customHeight="1">
      <c r="A7" s="15"/>
      <c r="B7" s="197" t="s">
        <v>199</v>
      </c>
      <c r="C7" s="198"/>
      <c r="D7" s="63">
        <v>0.2</v>
      </c>
      <c r="E7" s="203">
        <f>+E6*D7</f>
        <v>854334.79600000009</v>
      </c>
      <c r="F7" s="204"/>
      <c r="G7" s="158"/>
      <c r="H7" s="158"/>
      <c r="I7" s="159"/>
      <c r="J7" s="164" t="str">
        <f>IF(OR($E$8&gt;G5,$E$8&gt;H5,$E$8&gt;I5),"SI","NO")</f>
        <v>NO</v>
      </c>
      <c r="K7" s="165"/>
      <c r="L7" s="154"/>
      <c r="M7" s="155"/>
      <c r="N7" s="156"/>
      <c r="O7" s="154" t="str">
        <f>IF(OR($E$8&gt;L5,$E$8&gt;M5,$E$8&gt;N5),"SI","NO")</f>
        <v>NO</v>
      </c>
      <c r="P7" s="157"/>
      <c r="Q7" s="75"/>
    </row>
    <row r="8" spans="1:17" s="6" customFormat="1" ht="39" customHeight="1" thickBot="1">
      <c r="A8" s="15"/>
      <c r="B8" s="197" t="s">
        <v>200</v>
      </c>
      <c r="C8" s="198"/>
      <c r="D8" s="64" t="s">
        <v>201</v>
      </c>
      <c r="E8" s="212">
        <f>E6-E7</f>
        <v>3417339.1840000004</v>
      </c>
      <c r="F8" s="213"/>
      <c r="G8" s="158"/>
      <c r="H8" s="158"/>
      <c r="I8" s="159"/>
      <c r="J8" s="164" t="s">
        <v>202</v>
      </c>
      <c r="K8" s="165"/>
      <c r="L8" s="154"/>
      <c r="M8" s="155"/>
      <c r="N8" s="156"/>
      <c r="O8" s="154" t="s">
        <v>202</v>
      </c>
      <c r="P8" s="157"/>
      <c r="Q8" s="75"/>
    </row>
    <row r="9" spans="1:17" s="6" customFormat="1" ht="39" customHeight="1">
      <c r="A9" s="15"/>
      <c r="B9" s="197" t="s">
        <v>203</v>
      </c>
      <c r="C9" s="198"/>
      <c r="D9" s="225" t="s">
        <v>204</v>
      </c>
      <c r="E9" s="168" t="s">
        <v>205</v>
      </c>
      <c r="F9" s="59">
        <v>0</v>
      </c>
      <c r="G9" s="158"/>
      <c r="H9" s="158"/>
      <c r="I9" s="159"/>
      <c r="J9" s="164" t="s">
        <v>202</v>
      </c>
      <c r="K9" s="165"/>
      <c r="L9" s="155"/>
      <c r="M9" s="155"/>
      <c r="N9" s="156"/>
      <c r="O9" s="154" t="s">
        <v>202</v>
      </c>
      <c r="P9" s="157"/>
      <c r="Q9" s="75"/>
    </row>
    <row r="10" spans="1:17" s="6" customFormat="1" ht="39" customHeight="1" thickBot="1">
      <c r="A10" s="15"/>
      <c r="B10" s="197" t="s">
        <v>206</v>
      </c>
      <c r="C10" s="198"/>
      <c r="D10" s="226"/>
      <c r="E10" s="169"/>
      <c r="F10" s="60">
        <v>0.05</v>
      </c>
      <c r="G10" s="158"/>
      <c r="H10" s="158"/>
      <c r="I10" s="159"/>
      <c r="J10" s="164" t="s">
        <v>202</v>
      </c>
      <c r="K10" s="165"/>
      <c r="L10" s="155"/>
      <c r="M10" s="155"/>
      <c r="N10" s="156"/>
      <c r="O10" s="154" t="s">
        <v>202</v>
      </c>
      <c r="P10" s="157"/>
      <c r="Q10" s="75"/>
    </row>
    <row r="11" spans="1:17" s="6" customFormat="1" ht="39" customHeight="1">
      <c r="A11" s="15"/>
      <c r="B11" s="197" t="s">
        <v>207</v>
      </c>
      <c r="C11" s="198"/>
      <c r="D11" s="227">
        <f>+E6*0.02</f>
        <v>85433.479600000006</v>
      </c>
      <c r="E11" s="169"/>
      <c r="F11" s="60">
        <v>0.08</v>
      </c>
      <c r="G11" s="158"/>
      <c r="H11" s="158"/>
      <c r="I11" s="159"/>
      <c r="J11" s="164" t="str">
        <f t="shared" ref="J11:J12" si="0">IF(J9&lt;$E$8,"SI","NO")</f>
        <v>NO</v>
      </c>
      <c r="K11" s="165"/>
      <c r="L11" s="155"/>
      <c r="M11" s="155"/>
      <c r="N11" s="156"/>
      <c r="O11" s="154" t="str">
        <f t="shared" ref="O11:O12" si="1">IF(O9&lt;$E$8,"SI","NO")</f>
        <v>NO</v>
      </c>
      <c r="P11" s="157"/>
      <c r="Q11" s="75"/>
    </row>
    <row r="12" spans="1:17" s="6" customFormat="1" ht="39" customHeight="1" thickBot="1">
      <c r="A12" s="15"/>
      <c r="B12" s="229" t="s">
        <v>208</v>
      </c>
      <c r="C12" s="230"/>
      <c r="D12" s="228"/>
      <c r="E12" s="170"/>
      <c r="F12" s="61">
        <v>0.19</v>
      </c>
      <c r="G12" s="182"/>
      <c r="H12" s="182"/>
      <c r="I12" s="183"/>
      <c r="J12" s="166" t="str">
        <f t="shared" si="0"/>
        <v>NO</v>
      </c>
      <c r="K12" s="167"/>
      <c r="L12" s="174"/>
      <c r="M12" s="174"/>
      <c r="N12" s="175"/>
      <c r="O12" s="186" t="str">
        <f t="shared" si="1"/>
        <v>NO</v>
      </c>
      <c r="P12" s="187"/>
      <c r="Q12" s="75"/>
    </row>
    <row r="13" spans="1:17" ht="15" customHeight="1" thickBot="1">
      <c r="A13" s="10"/>
      <c r="B13" s="132" t="s">
        <v>209</v>
      </c>
      <c r="C13" s="209" t="s">
        <v>210</v>
      </c>
      <c r="D13" s="209" t="s">
        <v>211</v>
      </c>
      <c r="E13" s="176" t="s">
        <v>212</v>
      </c>
      <c r="F13" s="179" t="s">
        <v>213</v>
      </c>
      <c r="G13" s="171" t="s">
        <v>7</v>
      </c>
      <c r="H13" s="172"/>
      <c r="I13" s="172"/>
      <c r="J13" s="172"/>
      <c r="K13" s="173"/>
      <c r="L13" s="171" t="s">
        <v>9</v>
      </c>
      <c r="M13" s="172"/>
      <c r="N13" s="172"/>
      <c r="O13" s="172"/>
      <c r="P13" s="173"/>
      <c r="Q13" s="73"/>
    </row>
    <row r="14" spans="1:17" ht="15.75" thickBot="1">
      <c r="A14" s="10"/>
      <c r="B14" s="133"/>
      <c r="C14" s="210"/>
      <c r="D14" s="210"/>
      <c r="E14" s="177"/>
      <c r="F14" s="180"/>
      <c r="G14" s="216" t="str">
        <f>_xlfn.XLOOKUP(G13,'Base oferentes 2022'!$C:$C,'Base oferentes 2022'!$B:$B)</f>
        <v>830.115.400-9</v>
      </c>
      <c r="H14" s="217"/>
      <c r="I14" s="217"/>
      <c r="J14" s="217"/>
      <c r="K14" s="218"/>
      <c r="L14" s="216" t="str">
        <f>_xlfn.XLOOKUP(L13,'Base oferentes 2022'!$C:$C,'Base oferentes 2022'!$B:$B)</f>
        <v>890.900.769-6</v>
      </c>
      <c r="M14" s="217"/>
      <c r="N14" s="217"/>
      <c r="O14" s="217"/>
      <c r="P14" s="218"/>
      <c r="Q14" s="73"/>
    </row>
    <row r="15" spans="1:17" ht="15" customHeight="1">
      <c r="A15" s="10"/>
      <c r="B15" s="133"/>
      <c r="C15" s="210"/>
      <c r="D15" s="210"/>
      <c r="E15" s="177"/>
      <c r="F15" s="180"/>
      <c r="G15" s="219" t="s">
        <v>214</v>
      </c>
      <c r="H15" s="221" t="s">
        <v>215</v>
      </c>
      <c r="I15" s="223" t="s">
        <v>216</v>
      </c>
      <c r="J15" s="221" t="s">
        <v>217</v>
      </c>
      <c r="K15" s="162" t="s">
        <v>218</v>
      </c>
      <c r="L15" s="160" t="s">
        <v>214</v>
      </c>
      <c r="M15" s="144" t="s">
        <v>215</v>
      </c>
      <c r="N15" s="146" t="s">
        <v>216</v>
      </c>
      <c r="O15" s="144" t="s">
        <v>217</v>
      </c>
      <c r="P15" s="184" t="s">
        <v>218</v>
      </c>
      <c r="Q15" s="73"/>
    </row>
    <row r="16" spans="1:17" ht="15.75" thickBot="1">
      <c r="A16" s="10"/>
      <c r="B16" s="134"/>
      <c r="C16" s="211"/>
      <c r="D16" s="211"/>
      <c r="E16" s="178"/>
      <c r="F16" s="181"/>
      <c r="G16" s="220"/>
      <c r="H16" s="222"/>
      <c r="I16" s="224"/>
      <c r="J16" s="222"/>
      <c r="K16" s="163"/>
      <c r="L16" s="161"/>
      <c r="M16" s="145"/>
      <c r="N16" s="147"/>
      <c r="O16" s="145"/>
      <c r="P16" s="185"/>
      <c r="Q16" s="73"/>
    </row>
    <row r="17" spans="1:17" ht="58.5" customHeight="1">
      <c r="A17" s="10"/>
      <c r="B17" s="18">
        <v>1</v>
      </c>
      <c r="C17" s="71" t="s">
        <v>219</v>
      </c>
      <c r="D17" s="19"/>
      <c r="E17" s="20" t="s">
        <v>220</v>
      </c>
      <c r="F17" s="20">
        <v>1</v>
      </c>
      <c r="G17" s="89">
        <v>1226854.5</v>
      </c>
      <c r="H17" s="56">
        <v>0.19</v>
      </c>
      <c r="I17" s="55">
        <f>+G17*H17</f>
        <v>233102.35500000001</v>
      </c>
      <c r="J17" s="57">
        <f>+G17+I17</f>
        <v>1459956.855</v>
      </c>
      <c r="K17" s="58">
        <f>+F17*J17</f>
        <v>1459956.855</v>
      </c>
      <c r="L17" s="21">
        <v>1165000</v>
      </c>
      <c r="M17" s="22">
        <v>0.19</v>
      </c>
      <c r="N17" s="21">
        <f>+L17*M17</f>
        <v>221350</v>
      </c>
      <c r="O17" s="16">
        <f>+L17+N17</f>
        <v>1386350</v>
      </c>
      <c r="P17" s="23">
        <f>+F17*O17</f>
        <v>1386350</v>
      </c>
      <c r="Q17" s="73"/>
    </row>
    <row r="18" spans="1:17" ht="58.5" customHeight="1" thickBot="1">
      <c r="A18" s="10"/>
      <c r="B18" s="77">
        <v>2</v>
      </c>
      <c r="C18" s="78" t="s">
        <v>221</v>
      </c>
      <c r="D18" s="79"/>
      <c r="E18" s="80" t="s">
        <v>220</v>
      </c>
      <c r="F18" s="80">
        <v>2</v>
      </c>
      <c r="G18" s="89">
        <v>1177642.58</v>
      </c>
      <c r="H18" s="82">
        <v>0.19</v>
      </c>
      <c r="I18" s="81">
        <f t="shared" ref="I18" si="2">+G18*H18</f>
        <v>223752.09020000001</v>
      </c>
      <c r="J18" s="83">
        <f t="shared" ref="J18" si="3">+G18+I18</f>
        <v>1401394.6702000001</v>
      </c>
      <c r="K18" s="84">
        <f>+F18*J18</f>
        <v>2802789.3404000001</v>
      </c>
      <c r="L18" s="85">
        <v>1130000</v>
      </c>
      <c r="M18" s="86">
        <v>0.19</v>
      </c>
      <c r="N18" s="85">
        <f t="shared" ref="N18" si="4">+L18*M18</f>
        <v>214700</v>
      </c>
      <c r="O18" s="87">
        <f t="shared" ref="O18" si="5">+L18+N18</f>
        <v>1344700</v>
      </c>
      <c r="P18" s="88">
        <f t="shared" ref="P18" si="6">+F18*O18</f>
        <v>2689400</v>
      </c>
      <c r="Q18" s="73"/>
    </row>
    <row r="19" spans="1:17">
      <c r="A19" s="10"/>
      <c r="I19" s="142" t="s">
        <v>222</v>
      </c>
      <c r="J19" s="143"/>
      <c r="K19" s="3">
        <f>ROUND(SUMIF(H17:H18,19%,K17:K18)/1.19,0)</f>
        <v>3582140</v>
      </c>
      <c r="N19" s="142" t="s">
        <v>222</v>
      </c>
      <c r="O19" s="143"/>
      <c r="P19" s="3">
        <f>ROUND(SUMIF(M17:M18,19%,P17:P18)/1.19,0)</f>
        <v>3425000</v>
      </c>
      <c r="Q19" s="73"/>
    </row>
    <row r="20" spans="1:17">
      <c r="A20" s="10"/>
      <c r="I20" s="130" t="s">
        <v>223</v>
      </c>
      <c r="J20" s="131"/>
      <c r="K20" s="3">
        <f>ROUND(SUMIF(H17:H18,8%,K17:K18)/1.08,0)</f>
        <v>0</v>
      </c>
      <c r="N20" s="130" t="s">
        <v>223</v>
      </c>
      <c r="O20" s="131"/>
      <c r="P20" s="3">
        <f>ROUND(SUMIF(M17:M18,8%,P17:P18)/1.08,0)</f>
        <v>0</v>
      </c>
      <c r="Q20" s="73"/>
    </row>
    <row r="21" spans="1:17">
      <c r="A21" s="10"/>
      <c r="I21" s="130" t="s">
        <v>224</v>
      </c>
      <c r="J21" s="131"/>
      <c r="K21" s="3">
        <f>ROUND(SUMIF(H17:H18,5%,K17:K18)/1.05,0)</f>
        <v>0</v>
      </c>
      <c r="N21" s="130" t="s">
        <v>224</v>
      </c>
      <c r="O21" s="131"/>
      <c r="P21" s="3">
        <f>ROUND(SUMIF(M17:M18,5%,P17:P18)/1.05,0)</f>
        <v>0</v>
      </c>
      <c r="Q21" s="73"/>
    </row>
    <row r="22" spans="1:17">
      <c r="A22" s="10"/>
      <c r="I22" s="130" t="s">
        <v>225</v>
      </c>
      <c r="J22" s="131"/>
      <c r="K22" s="3">
        <f>SUMIF(H17:H18,0%,K17:K18)</f>
        <v>0</v>
      </c>
      <c r="N22" s="130" t="s">
        <v>225</v>
      </c>
      <c r="O22" s="131"/>
      <c r="P22" s="3">
        <f>SUMIF(M17:M18,0%,P17:P18)</f>
        <v>0</v>
      </c>
      <c r="Q22" s="73"/>
    </row>
    <row r="23" spans="1:17">
      <c r="A23" s="10"/>
      <c r="I23" s="130" t="s">
        <v>226</v>
      </c>
      <c r="J23" s="131"/>
      <c r="K23" s="4">
        <f>K19*0.19</f>
        <v>680606.6</v>
      </c>
      <c r="N23" s="130" t="s">
        <v>226</v>
      </c>
      <c r="O23" s="131"/>
      <c r="P23" s="4">
        <f>ROUND(P19*0.19,0)</f>
        <v>650750</v>
      </c>
      <c r="Q23" s="73"/>
    </row>
    <row r="24" spans="1:17">
      <c r="A24" s="10"/>
      <c r="I24" s="130" t="s">
        <v>227</v>
      </c>
      <c r="J24" s="131"/>
      <c r="K24" s="4">
        <f>ROUND(K20*0.08,0)</f>
        <v>0</v>
      </c>
      <c r="N24" s="130" t="s">
        <v>227</v>
      </c>
      <c r="O24" s="131"/>
      <c r="P24" s="4">
        <f>ROUND(P20*0.08,0)</f>
        <v>0</v>
      </c>
      <c r="Q24" s="73"/>
    </row>
    <row r="25" spans="1:17">
      <c r="A25" s="10"/>
      <c r="I25" s="130" t="s">
        <v>228</v>
      </c>
      <c r="J25" s="131"/>
      <c r="K25" s="4">
        <f>ROUND(K21*0.05,0)</f>
        <v>0</v>
      </c>
      <c r="N25" s="130" t="s">
        <v>228</v>
      </c>
      <c r="O25" s="131"/>
      <c r="P25" s="4">
        <f>ROUND(P21*0.05,0)</f>
        <v>0</v>
      </c>
      <c r="Q25" s="73"/>
    </row>
    <row r="26" spans="1:17" ht="15.75" thickBot="1">
      <c r="A26" s="10"/>
      <c r="I26" s="214" t="s">
        <v>229</v>
      </c>
      <c r="J26" s="215"/>
      <c r="K26" s="5">
        <f>K19+K20+K21+K22+K23+K24+K25</f>
        <v>4262746.5999999996</v>
      </c>
      <c r="N26" s="214" t="s">
        <v>229</v>
      </c>
      <c r="O26" s="215"/>
      <c r="P26" s="5">
        <f>ROUND(P19+P20+P21+P22+P23+P24+P25,0)</f>
        <v>4075750</v>
      </c>
      <c r="Q26" s="73"/>
    </row>
    <row r="27" spans="1:17" ht="15.75" thickBot="1">
      <c r="A27" s="12"/>
      <c r="B27" s="135"/>
      <c r="C27" s="135"/>
      <c r="D27" s="135"/>
      <c r="E27" s="135"/>
      <c r="F27" s="135"/>
      <c r="G27" s="135"/>
      <c r="H27" s="13"/>
      <c r="I27" s="14"/>
      <c r="J27" s="13"/>
      <c r="K27" s="17"/>
      <c r="L27" s="13"/>
      <c r="M27" s="13"/>
      <c r="N27" s="14"/>
      <c r="O27" s="13"/>
      <c r="P27" s="17"/>
      <c r="Q27" s="76"/>
    </row>
    <row r="30" spans="1:17">
      <c r="K30" s="90"/>
    </row>
  </sheetData>
  <mergeCells count="92">
    <mergeCell ref="D9:D10"/>
    <mergeCell ref="D11:D12"/>
    <mergeCell ref="L14:P14"/>
    <mergeCell ref="N19:O19"/>
    <mergeCell ref="B8:C8"/>
    <mergeCell ref="B9:C9"/>
    <mergeCell ref="B10:C10"/>
    <mergeCell ref="B11:C11"/>
    <mergeCell ref="B12:C12"/>
    <mergeCell ref="E8:F8"/>
    <mergeCell ref="N26:O26"/>
    <mergeCell ref="I26:J26"/>
    <mergeCell ref="I20:J20"/>
    <mergeCell ref="I21:J21"/>
    <mergeCell ref="G14:K14"/>
    <mergeCell ref="G15:G16"/>
    <mergeCell ref="H15:H16"/>
    <mergeCell ref="I15:I16"/>
    <mergeCell ref="J15:J16"/>
    <mergeCell ref="J5:K5"/>
    <mergeCell ref="I2:K3"/>
    <mergeCell ref="E7:F7"/>
    <mergeCell ref="J6:K6"/>
    <mergeCell ref="J7:K7"/>
    <mergeCell ref="G6:I6"/>
    <mergeCell ref="D5:F5"/>
    <mergeCell ref="J4:K4"/>
    <mergeCell ref="B2:C2"/>
    <mergeCell ref="D2:F2"/>
    <mergeCell ref="G2:G3"/>
    <mergeCell ref="H2:H3"/>
    <mergeCell ref="G7:I7"/>
    <mergeCell ref="B3:F4"/>
    <mergeCell ref="E6:F6"/>
    <mergeCell ref="B6:C6"/>
    <mergeCell ref="B7:C7"/>
    <mergeCell ref="B5:C5"/>
    <mergeCell ref="E9:E12"/>
    <mergeCell ref="G13:K13"/>
    <mergeCell ref="L10:N10"/>
    <mergeCell ref="O10:P10"/>
    <mergeCell ref="L11:N11"/>
    <mergeCell ref="L12:N12"/>
    <mergeCell ref="L13:P13"/>
    <mergeCell ref="E13:E16"/>
    <mergeCell ref="F13:F16"/>
    <mergeCell ref="G11:I11"/>
    <mergeCell ref="G12:I12"/>
    <mergeCell ref="P15:P16"/>
    <mergeCell ref="O11:P11"/>
    <mergeCell ref="O12:P12"/>
    <mergeCell ref="O15:O16"/>
    <mergeCell ref="O9:P9"/>
    <mergeCell ref="G10:I10"/>
    <mergeCell ref="L15:L16"/>
    <mergeCell ref="K15:K16"/>
    <mergeCell ref="L9:N9"/>
    <mergeCell ref="J8:K8"/>
    <mergeCell ref="J9:K9"/>
    <mergeCell ref="J10:K10"/>
    <mergeCell ref="J11:K11"/>
    <mergeCell ref="J12:K12"/>
    <mergeCell ref="N2:P3"/>
    <mergeCell ref="O5:P5"/>
    <mergeCell ref="I19:J19"/>
    <mergeCell ref="M15:M16"/>
    <mergeCell ref="N15:N16"/>
    <mergeCell ref="L2:L3"/>
    <mergeCell ref="M2:M3"/>
    <mergeCell ref="O4:P4"/>
    <mergeCell ref="L6:N6"/>
    <mergeCell ref="O6:P6"/>
    <mergeCell ref="L7:N7"/>
    <mergeCell ref="O7:P7"/>
    <mergeCell ref="L8:N8"/>
    <mergeCell ref="O8:P8"/>
    <mergeCell ref="G8:I8"/>
    <mergeCell ref="G9:I9"/>
    <mergeCell ref="I22:J22"/>
    <mergeCell ref="I23:J23"/>
    <mergeCell ref="B13:B16"/>
    <mergeCell ref="B27:G27"/>
    <mergeCell ref="N24:O24"/>
    <mergeCell ref="N25:O25"/>
    <mergeCell ref="I24:J24"/>
    <mergeCell ref="I25:J25"/>
    <mergeCell ref="N23:O23"/>
    <mergeCell ref="N20:O20"/>
    <mergeCell ref="N21:O21"/>
    <mergeCell ref="N22:O22"/>
    <mergeCell ref="C13:C16"/>
    <mergeCell ref="D13:D16"/>
  </mergeCells>
  <phoneticPr fontId="5" type="noConversion"/>
  <conditionalFormatting sqref="G13 L13">
    <cfRule type="containsText" dxfId="6" priority="197" operator="containsText" text="SELECCIONE PROVEEDOR">
      <formula>NOT(ISERROR(SEARCH("SELECCIONE PROVEEDOR",G13)))</formula>
    </cfRule>
  </conditionalFormatting>
  <conditionalFormatting sqref="G14">
    <cfRule type="containsText" dxfId="5" priority="196" operator="containsText" text="VERIFIQUE">
      <formula>NOT(ISERROR(SEARCH("VERIFIQUE",G14)))</formula>
    </cfRule>
  </conditionalFormatting>
  <conditionalFormatting sqref="J5:K6">
    <cfRule type="containsText" dxfId="4" priority="95" operator="containsText" text="NO">
      <formula>NOT(ISERROR(SEARCH("NO",J5)))</formula>
    </cfRule>
  </conditionalFormatting>
  <conditionalFormatting sqref="J7:K7">
    <cfRule type="containsText" dxfId="3" priority="96" operator="containsText" text="SI">
      <formula>NOT(ISERROR(SEARCH("SI",J7)))</formula>
    </cfRule>
  </conditionalFormatting>
  <conditionalFormatting sqref="L14">
    <cfRule type="containsText" dxfId="2" priority="106" operator="containsText" text="VERIFIQUE">
      <formula>NOT(ISERROR(SEARCH("VERIFIQUE",L14)))</formula>
    </cfRule>
  </conditionalFormatting>
  <conditionalFormatting sqref="O5:P6">
    <cfRule type="containsText" dxfId="1" priority="79" operator="containsText" text="NO">
      <formula>NOT(ISERROR(SEARCH("NO",O5)))</formula>
    </cfRule>
  </conditionalFormatting>
  <conditionalFormatting sqref="O7:P7">
    <cfRule type="containsText" dxfId="0" priority="80" operator="containsText" text="SI">
      <formula>NOT(ISERROR(SEARCH("SI",O7)))</formula>
    </cfRule>
  </conditionalFormatting>
  <dataValidations count="1">
    <dataValidation type="list" allowBlank="1" showInputMessage="1" showErrorMessage="1" sqref="H17:H18 M17:M18" xr:uid="{20855C21-0AEA-4394-B236-F9499B2ADDC5}">
      <formula1>$F$9:$F$12</formula1>
    </dataValidation>
  </dataValidations>
  <printOptions horizontalCentered="1" verticalCentered="1"/>
  <pageMargins left="0.15748031496062992" right="0.15748031496062992" top="0.55118110236220474" bottom="0.55118110236220474" header="0.31496062992125984" footer="0.31496062992125984"/>
  <pageSetup paperSize="5" scale="60" fitToWidth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58A2AEE-0AFC-454A-A8B1-62DB725C367C}">
          <x14:formula1>
            <xm:f>'Base oferentes 2022'!$C$4:$C$84</xm:f>
          </x14:formula1>
          <xm:sqref>G13:P13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89d78d-96ed-40b2-86ad-7da1ea35022b">
      <Terms xmlns="http://schemas.microsoft.com/office/infopath/2007/PartnerControls"/>
    </lcf76f155ced4ddcb4097134ff3c332f>
    <_Flow_SignoffStatus xmlns="b389d78d-96ed-40b2-86ad-7da1ea35022b" xsi:nil="true"/>
    <_ip_UnifiedCompliancePolicyUIAction xmlns="http://schemas.microsoft.com/sharepoint/v3" xsi:nil="true"/>
    <TaxCatchAll xmlns="28c1ff83-a545-436e-bf2e-db2115203af1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EA2C3419464741ADE6CAE3A37044AA" ma:contentTypeVersion="16" ma:contentTypeDescription="Crear nuevo documento." ma:contentTypeScope="" ma:versionID="022f0b487369c12fd13d2bad7c036621">
  <xsd:schema xmlns:xsd="http://www.w3.org/2001/XMLSchema" xmlns:xs="http://www.w3.org/2001/XMLSchema" xmlns:p="http://schemas.microsoft.com/office/2006/metadata/properties" xmlns:ns1="http://schemas.microsoft.com/sharepoint/v3" xmlns:ns2="28c1ff83-a545-436e-bf2e-db2115203af1" xmlns:ns3="b389d78d-96ed-40b2-86ad-7da1ea35022b" targetNamespace="http://schemas.microsoft.com/office/2006/metadata/properties" ma:root="true" ma:fieldsID="5d06f5dddd1cfe8abc65ce9bf3eb8c7c" ns1:_="" ns2:_="" ns3:_="">
    <xsd:import namespace="http://schemas.microsoft.com/sharepoint/v3"/>
    <xsd:import namespace="28c1ff83-a545-436e-bf2e-db2115203af1"/>
    <xsd:import namespace="b389d78d-96ed-40b2-86ad-7da1ea35022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LengthInSeconds" minOccurs="0"/>
                <xsd:element ref="ns3:_Flow_SignoffStatu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c1ff83-a545-436e-bf2e-db2115203af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e816e34-c62b-402e-8d6c-8b08016cf0a8}" ma:internalName="TaxCatchAll" ma:showField="CatchAllData" ma:web="28c1ff83-a545-436e-bf2e-db2115203a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89d78d-96ed-40b2-86ad-7da1ea3502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D6301F-FD9C-44B4-A51E-CA05DC4430C9}"/>
</file>

<file path=customXml/itemProps2.xml><?xml version="1.0" encoding="utf-8"?>
<ds:datastoreItem xmlns:ds="http://schemas.openxmlformats.org/officeDocument/2006/customXml" ds:itemID="{2FDBCAC2-25CB-4AC6-A211-F842A64C6954}"/>
</file>

<file path=customXml/itemProps3.xml><?xml version="1.0" encoding="utf-8"?>
<ds:datastoreItem xmlns:ds="http://schemas.openxmlformats.org/officeDocument/2006/customXml" ds:itemID="{574C57E5-CBF3-49B7-AD4E-20C410D16D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Zamir Molano</dc:creator>
  <cp:keywords/>
  <dc:description/>
  <cp:lastModifiedBy>Mario Alfonso Castillo Vanegas</cp:lastModifiedBy>
  <cp:revision/>
  <dcterms:created xsi:type="dcterms:W3CDTF">2015-06-05T18:19:34Z</dcterms:created>
  <dcterms:modified xsi:type="dcterms:W3CDTF">2023-10-17T16:26:57Z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2022-11-11T15:11:47Z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f39629d3-c49d-4b8a-bab5-70e4c0ab2f7b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0x01010077EA2C3419464741ADE6CAE3A37044AA</vt:lpwstr>
  </property>
  <property fmtid="{D5CDD505-2E9C-101B-9397-08002B2CF9AE}" pid="10" name="MediaServiceImageTags">
    <vt:lpwstr/>
  </property>
</Properties>
</file>