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E:\CONTRATACIÓN SAMC\SAMC 19 DE 2023\"/>
    </mc:Choice>
  </mc:AlternateContent>
  <xr:revisionPtr revIDLastSave="0" documentId="13_ncr:1_{FBF31322-C7A0-49CF-98B2-73A7B2E916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J -CAPACIDAD RESIDUAL" sheetId="9" r:id="rId1"/>
    <sheet name="VERIFICA - ARITMETICA" sheetId="14" r:id="rId2"/>
    <sheet name="EVALUA - ECONOMICA" sheetId="16" r:id="rId3"/>
    <sheet name="Hoja1" sheetId="17" r:id="rId4"/>
  </sheets>
  <externalReferences>
    <externalReference r:id="rId5"/>
  </externalReferences>
  <definedNames>
    <definedName name="_xlnm.Print_Area" localSheetId="1">'VERIFICA - ARITMETICA'!$B$2:$M$34</definedName>
    <definedName name="Estado">[1]LISTAS!$D$2:$D$3</definedName>
    <definedName name="EXPERACEPTABLE">[1]LISTAS!$G$2:$G$3</definedName>
    <definedName name="PEJECUCION">[1]LISTAS!$F$2:$F$3</definedName>
    <definedName name="SINO">[1]LISTAS!$E$2:$E$5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4" l="1"/>
  <c r="M16" i="14" l="1"/>
  <c r="G16" i="14"/>
  <c r="G7" i="14" l="1"/>
  <c r="G8" i="14"/>
  <c r="G9" i="14"/>
  <c r="G10" i="14"/>
  <c r="G11" i="14"/>
  <c r="G12" i="14"/>
  <c r="G13" i="14"/>
  <c r="G14" i="14"/>
  <c r="G15" i="14"/>
  <c r="G17" i="14"/>
  <c r="C229" i="9" l="1"/>
  <c r="I229" i="9" s="1"/>
  <c r="J229" i="9" s="1"/>
  <c r="J228" i="9"/>
  <c r="I228" i="9"/>
  <c r="L26" i="14" l="1"/>
  <c r="L7" i="14"/>
  <c r="L8" i="14"/>
  <c r="L9" i="14"/>
  <c r="L10" i="14"/>
  <c r="L11" i="14"/>
  <c r="L12" i="14"/>
  <c r="L13" i="14"/>
  <c r="L14" i="14"/>
  <c r="L15" i="14"/>
  <c r="M15" i="14" s="1"/>
  <c r="L17" i="14"/>
  <c r="G6" i="14" l="1"/>
  <c r="I227" i="9" l="1"/>
  <c r="J227" i="9" s="1"/>
  <c r="I10" i="14" l="1"/>
  <c r="I9" i="14"/>
  <c r="I8" i="14"/>
  <c r="I7" i="14"/>
  <c r="L6" i="14"/>
  <c r="I6" i="14"/>
  <c r="C220" i="9" l="1"/>
  <c r="M23" i="14" l="1"/>
  <c r="M25" i="14"/>
  <c r="G26" i="14"/>
  <c r="M26" i="14" s="1"/>
  <c r="I26" i="14"/>
  <c r="I23" i="14"/>
  <c r="I25" i="14" s="1"/>
  <c r="L19" i="14" l="1"/>
  <c r="L21" i="14" s="1"/>
  <c r="D6" i="16" s="1"/>
  <c r="I17" i="14" l="1"/>
  <c r="I14" i="14"/>
  <c r="I12" i="14" l="1"/>
  <c r="I13" i="14"/>
  <c r="I11" i="14"/>
  <c r="C197" i="9" l="1"/>
  <c r="C13" i="9"/>
  <c r="D13" i="9" s="1"/>
  <c r="G13" i="9"/>
  <c r="I13" i="9"/>
  <c r="L13" i="9"/>
  <c r="M13" i="9" s="1"/>
  <c r="P13" i="9"/>
  <c r="R13" i="9"/>
  <c r="U13" i="9"/>
  <c r="V13" i="9" s="1"/>
  <c r="Y13" i="9"/>
  <c r="AA13" i="9"/>
  <c r="I20" i="9"/>
  <c r="J20" i="9" s="1"/>
  <c r="J30" i="9" s="1"/>
  <c r="S30" i="9"/>
  <c r="AB30" i="9"/>
  <c r="C36" i="9"/>
  <c r="D36" i="9" s="1"/>
  <c r="G36" i="9"/>
  <c r="I36" i="9"/>
  <c r="L36" i="9"/>
  <c r="M36" i="9" s="1"/>
  <c r="P36" i="9"/>
  <c r="R36" i="9"/>
  <c r="V36" i="9"/>
  <c r="Y36" i="9"/>
  <c r="AA36" i="9"/>
  <c r="E43" i="9"/>
  <c r="F43" i="9" s="1"/>
  <c r="I43" i="9" s="1"/>
  <c r="J43" i="9" s="1"/>
  <c r="N43" i="9"/>
  <c r="R43" i="9" s="1"/>
  <c r="S43" i="9" s="1"/>
  <c r="S53" i="9" s="1"/>
  <c r="E44" i="9"/>
  <c r="F44" i="9" s="1"/>
  <c r="I44" i="9" s="1"/>
  <c r="J44" i="9" s="1"/>
  <c r="AB53" i="9"/>
  <c r="C59" i="9"/>
  <c r="D59" i="9" s="1"/>
  <c r="G59" i="9"/>
  <c r="I59" i="9"/>
  <c r="M59" i="9"/>
  <c r="P59" i="9"/>
  <c r="R59" i="9"/>
  <c r="V59" i="9"/>
  <c r="Y59" i="9"/>
  <c r="AA59" i="9"/>
  <c r="E66" i="9"/>
  <c r="I66" i="9" s="1"/>
  <c r="J66" i="9" s="1"/>
  <c r="S66" i="9"/>
  <c r="S76" i="9" s="1"/>
  <c r="W66" i="9"/>
  <c r="AB66" i="9"/>
  <c r="AB76" i="9" s="1"/>
  <c r="E67" i="9"/>
  <c r="I67" i="9" s="1"/>
  <c r="J67" i="9" s="1"/>
  <c r="E68" i="9"/>
  <c r="I68" i="9" s="1"/>
  <c r="J68" i="9" s="1"/>
  <c r="E69" i="9"/>
  <c r="I69" i="9" s="1"/>
  <c r="J69" i="9" s="1"/>
  <c r="C82" i="9"/>
  <c r="D82" i="9" s="1"/>
  <c r="G82" i="9"/>
  <c r="I82" i="9"/>
  <c r="L82" i="9"/>
  <c r="M82" i="9" s="1"/>
  <c r="P82" i="9"/>
  <c r="R82" i="9"/>
  <c r="V82" i="9"/>
  <c r="Y82" i="9"/>
  <c r="AA82" i="9"/>
  <c r="E89" i="9"/>
  <c r="I89" i="9" s="1"/>
  <c r="J89" i="9" s="1"/>
  <c r="W89" i="9"/>
  <c r="AB89" i="9"/>
  <c r="AB99" i="9" s="1"/>
  <c r="E90" i="9"/>
  <c r="I90" i="9" s="1"/>
  <c r="J90" i="9" s="1"/>
  <c r="S99" i="9"/>
  <c r="C105" i="9"/>
  <c r="D105" i="9" s="1"/>
  <c r="G105" i="9"/>
  <c r="I105" i="9"/>
  <c r="L105" i="9"/>
  <c r="M105" i="9" s="1"/>
  <c r="P105" i="9"/>
  <c r="R105" i="9"/>
  <c r="I112" i="9"/>
  <c r="J112" i="9" s="1"/>
  <c r="J122" i="9" s="1"/>
  <c r="C128" i="9"/>
  <c r="D128" i="9" s="1"/>
  <c r="G128" i="9"/>
  <c r="I128" i="9"/>
  <c r="M128" i="9"/>
  <c r="P128" i="9"/>
  <c r="R128" i="9"/>
  <c r="V128" i="9"/>
  <c r="Y128" i="9"/>
  <c r="AA128" i="9"/>
  <c r="E135" i="9"/>
  <c r="I135" i="9" s="1"/>
  <c r="J135" i="9" s="1"/>
  <c r="W135" i="9"/>
  <c r="AB135" i="9"/>
  <c r="AB145" i="9" s="1"/>
  <c r="E136" i="9"/>
  <c r="I136" i="9" s="1"/>
  <c r="J136" i="9" s="1"/>
  <c r="S145" i="9"/>
  <c r="C151" i="9"/>
  <c r="D151" i="9" s="1"/>
  <c r="G151" i="9"/>
  <c r="I151" i="9"/>
  <c r="L151" i="9"/>
  <c r="M151" i="9" s="1"/>
  <c r="P151" i="9"/>
  <c r="R151" i="9"/>
  <c r="V151" i="9"/>
  <c r="Y151" i="9"/>
  <c r="AA151" i="9"/>
  <c r="S158" i="9"/>
  <c r="S168" i="9" s="1"/>
  <c r="J168" i="9"/>
  <c r="AB168" i="9"/>
  <c r="C174" i="9"/>
  <c r="D174" i="9" s="1"/>
  <c r="G174" i="9"/>
  <c r="I174" i="9"/>
  <c r="L174" i="9"/>
  <c r="M174" i="9" s="1"/>
  <c r="P174" i="9"/>
  <c r="R174" i="9"/>
  <c r="V174" i="9"/>
  <c r="Y174" i="9"/>
  <c r="AA174" i="9"/>
  <c r="E181" i="9"/>
  <c r="I181" i="9" s="1"/>
  <c r="J181" i="9" s="1"/>
  <c r="S181" i="9"/>
  <c r="S191" i="9" s="1"/>
  <c r="W181" i="9"/>
  <c r="AB181" i="9"/>
  <c r="AB191" i="9" s="1"/>
  <c r="E182" i="9"/>
  <c r="I182" i="9" s="1"/>
  <c r="J182" i="9" s="1"/>
  <c r="E183" i="9"/>
  <c r="I183" i="9" s="1"/>
  <c r="J183" i="9" s="1"/>
  <c r="E184" i="9"/>
  <c r="I184" i="9" s="1"/>
  <c r="J184" i="9" s="1"/>
  <c r="E185" i="9"/>
  <c r="I185" i="9" s="1"/>
  <c r="J185" i="9" s="1"/>
  <c r="E186" i="9"/>
  <c r="I186" i="9" s="1"/>
  <c r="J186" i="9" s="1"/>
  <c r="M197" i="9"/>
  <c r="P197" i="9"/>
  <c r="R197" i="9"/>
  <c r="U60" i="9" l="1"/>
  <c r="V60" i="9" s="1"/>
  <c r="U129" i="9"/>
  <c r="V129" i="9" s="1"/>
  <c r="L129" i="9"/>
  <c r="M129" i="9" s="1"/>
  <c r="J145" i="9"/>
  <c r="C129" i="9" s="1"/>
  <c r="U175" i="9"/>
  <c r="V175" i="9" s="1"/>
  <c r="J53" i="9"/>
  <c r="C37" i="9" s="1"/>
  <c r="C60" i="9"/>
  <c r="U83" i="9"/>
  <c r="V83" i="9" s="1"/>
  <c r="L60" i="9"/>
  <c r="M60" i="9" s="1"/>
  <c r="L37" i="9"/>
  <c r="M37" i="9" s="1"/>
  <c r="L14" i="9"/>
  <c r="M14" i="9" s="1"/>
  <c r="C106" i="9"/>
  <c r="I109" i="9" s="1"/>
  <c r="K109" i="9" s="1"/>
  <c r="L175" i="9"/>
  <c r="M175" i="9" s="1"/>
  <c r="U152" i="9"/>
  <c r="V152" i="9" s="1"/>
  <c r="C152" i="9"/>
  <c r="D152" i="9" s="1"/>
  <c r="L83" i="9"/>
  <c r="M83" i="9" s="1"/>
  <c r="U37" i="9"/>
  <c r="V37" i="9" s="1"/>
  <c r="C14" i="9"/>
  <c r="U14" i="9"/>
  <c r="V14" i="9" s="1"/>
  <c r="L152" i="9"/>
  <c r="M152" i="9" s="1"/>
  <c r="J76" i="9"/>
  <c r="J191" i="9"/>
  <c r="C175" i="9" s="1"/>
  <c r="J99" i="9"/>
  <c r="C83" i="9" s="1"/>
  <c r="C198" i="9"/>
  <c r="D198" i="9" s="1"/>
  <c r="I63" i="9" l="1"/>
  <c r="K63" i="9" s="1"/>
  <c r="D60" i="9"/>
  <c r="D106" i="9"/>
  <c r="I17" i="9"/>
  <c r="K17" i="9" s="1"/>
  <c r="D14" i="9"/>
  <c r="I178" i="9"/>
  <c r="K178" i="9" s="1"/>
  <c r="D175" i="9"/>
  <c r="I132" i="9"/>
  <c r="K132" i="9" s="1"/>
  <c r="D129" i="9"/>
  <c r="D83" i="9"/>
  <c r="I86" i="9"/>
  <c r="K86" i="9" s="1"/>
  <c r="I155" i="9"/>
  <c r="K155" i="9" s="1"/>
  <c r="I40" i="9"/>
  <c r="K40" i="9" s="1"/>
  <c r="D37" i="9"/>
  <c r="J204" i="9" l="1"/>
  <c r="AB227" i="9"/>
  <c r="AB237" i="9" s="1"/>
  <c r="W227" i="9"/>
  <c r="S227" i="9"/>
  <c r="S237" i="9" s="1"/>
  <c r="J237" i="9"/>
  <c r="AA220" i="9"/>
  <c r="Y220" i="9"/>
  <c r="V220" i="9"/>
  <c r="R220" i="9"/>
  <c r="P220" i="9"/>
  <c r="M220" i="9"/>
  <c r="I220" i="9"/>
  <c r="G220" i="9"/>
  <c r="D220" i="9"/>
  <c r="U221" i="9" l="1"/>
  <c r="V221" i="9" s="1"/>
  <c r="C221" i="9"/>
  <c r="D221" i="9" s="1"/>
  <c r="L221" i="9"/>
  <c r="M221" i="9" s="1"/>
  <c r="I224" i="9" l="1"/>
  <c r="K224" i="9" s="1"/>
  <c r="I19" i="14"/>
  <c r="AB204" i="9"/>
  <c r="AB214" i="9" s="1"/>
  <c r="W204" i="9"/>
  <c r="S204" i="9"/>
  <c r="S214" i="9" s="1"/>
  <c r="J214" i="9"/>
  <c r="AA197" i="9"/>
  <c r="Y197" i="9"/>
  <c r="V197" i="9"/>
  <c r="U198" i="9" l="1"/>
  <c r="V198" i="9" s="1"/>
  <c r="L198" i="9"/>
  <c r="M198" i="9" s="1"/>
  <c r="I21" i="14"/>
  <c r="I201" i="9" l="1"/>
  <c r="K201" i="9" s="1"/>
  <c r="J7" i="14" l="1"/>
  <c r="M7" i="14" l="1"/>
  <c r="J12" i="14"/>
  <c r="M12" i="14"/>
  <c r="M13" i="14" l="1"/>
  <c r="J14" i="14"/>
  <c r="J9" i="14"/>
  <c r="J10" i="14"/>
  <c r="J17" i="14"/>
  <c r="J13" i="14"/>
  <c r="J8" i="14"/>
  <c r="J11" i="14"/>
  <c r="M14" i="14" l="1"/>
  <c r="M8" i="14"/>
  <c r="M17" i="14"/>
  <c r="M10" i="14"/>
  <c r="M9" i="14"/>
  <c r="M11" i="14"/>
  <c r="J6" i="14"/>
  <c r="M6" i="14" l="1"/>
  <c r="G19" i="14" l="1"/>
  <c r="G21" i="14" s="1"/>
  <c r="J19" i="14" l="1"/>
  <c r="J23" i="14"/>
  <c r="M19" i="14"/>
  <c r="M21" i="14"/>
  <c r="J26" i="14"/>
  <c r="J21" i="14"/>
  <c r="J25" i="14"/>
</calcChain>
</file>

<file path=xl/sharedStrings.xml><?xml version="1.0" encoding="utf-8"?>
<sst xmlns="http://schemas.openxmlformats.org/spreadsheetml/2006/main" count="832" uniqueCount="112">
  <si>
    <t>OBSERVACIONES</t>
  </si>
  <si>
    <t>No.</t>
  </si>
  <si>
    <t>NOMBRE DEL PROPONENTE</t>
  </si>
  <si>
    <t xml:space="preserve">CAPACIDAD ORANIZACIONAL  </t>
  </si>
  <si>
    <t>EXPERIENCIA</t>
  </si>
  <si>
    <t>CAPACIDAD FINANCIERA</t>
  </si>
  <si>
    <t>CAPACIDAD TECNICA</t>
  </si>
  <si>
    <t>CAPACIDAD RESIDUAL DELPROPONENTE</t>
  </si>
  <si>
    <t>Puntaje</t>
  </si>
  <si>
    <t>No. de Profe</t>
  </si>
  <si>
    <t>Indice de Liquidez</t>
  </si>
  <si>
    <t>CAPACIDAD RESIDUAL DEL INTEGRANTE</t>
  </si>
  <si>
    <t>Proponente:</t>
  </si>
  <si>
    <t>CAPACIDAD RESIDUAL DEL PROCESO DE CONTRATACIÓN</t>
  </si>
  <si>
    <t>Mayor a</t>
  </si>
  <si>
    <t>Menor o igual a</t>
  </si>
  <si>
    <t>Mayores</t>
  </si>
  <si>
    <t>RANGOS DE EXPERIENCIA</t>
  </si>
  <si>
    <t>RANFOS CF</t>
  </si>
  <si>
    <t>Desde</t>
  </si>
  <si>
    <t>Hasta</t>
  </si>
  <si>
    <t>RANGOS CAPACIDAD TECNICA</t>
  </si>
  <si>
    <t>CALCULO DE CONTRATOS EN EJECUCIÓN</t>
  </si>
  <si>
    <t>Valor Total</t>
  </si>
  <si>
    <t>Plazo total</t>
  </si>
  <si>
    <t>plazo por ejecutar</t>
  </si>
  <si>
    <t>Vlor diario</t>
  </si>
  <si>
    <t>valor por ejecutar</t>
  </si>
  <si>
    <t>% Paticipacion</t>
  </si>
  <si>
    <t>SALDO TOTAL DE CONTRATOS EN EJECUCIÓN</t>
  </si>
  <si>
    <t>dia mes</t>
  </si>
  <si>
    <t>Plazo  total en dias</t>
  </si>
  <si>
    <t>plazo por ejecutar en dia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</si>
  <si>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</si>
  <si>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</si>
  <si>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</si>
  <si>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</si>
  <si>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</si>
  <si>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</si>
  <si>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</si>
  <si>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M3</t>
  </si>
  <si>
    <t>SUBTOTAL OBRAS (INCLUYE IVA)</t>
  </si>
  <si>
    <t>AJUSTE AL DECIMAL</t>
  </si>
  <si>
    <t>VALOR TOTAL</t>
  </si>
  <si>
    <t xml:space="preserve">DEFINICIONES: </t>
  </si>
  <si>
    <t>VUTPO   VS   VUTPP</t>
  </si>
  <si>
    <t xml:space="preserve">NOTAS ACLARATORIAS PARA RECHAZO DE LA PROPUESTA ECONÓMICA
</t>
  </si>
  <si>
    <t>NOTAS ACLARATORIAS DE LA PROPUESTA ECONÓMICA</t>
  </si>
  <si>
    <r>
      <rPr>
        <b/>
        <sz val="9"/>
        <color theme="1"/>
        <rFont val="Arial Rounded MT Bold"/>
        <family val="2"/>
      </rPr>
      <t>VUTPO:</t>
    </r>
    <r>
      <rPr>
        <sz val="9"/>
        <color theme="1"/>
        <rFont val="Arial Rounded MT Bold"/>
        <family val="2"/>
      </rPr>
      <t xml:space="preserve"> VALOR UNITATARIO TOTAL PRESUPUESTO OFICIAL</t>
    </r>
  </si>
  <si>
    <r>
      <rPr>
        <b/>
        <sz val="9"/>
        <color theme="1"/>
        <rFont val="Arial Rounded MT Bold"/>
        <family val="2"/>
      </rPr>
      <t>VUTPP:</t>
    </r>
    <r>
      <rPr>
        <sz val="9"/>
        <color theme="1"/>
        <rFont val="Arial Rounded MT Bold"/>
        <family val="2"/>
      </rPr>
      <t xml:space="preserve"> VALOR UNITARIO TOTAL PRESPUESTO DEL PROPONENTE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Arial Rounded MT Bold"/>
        <family val="2"/>
      </rPr>
      <t xml:space="preserve">VS: </t>
    </r>
    <r>
      <rPr>
        <sz val="9"/>
        <color theme="1"/>
        <rFont val="Arial Rounded MT Bold"/>
        <family val="2"/>
      </rPr>
      <t>VERSUS</t>
    </r>
  </si>
  <si>
    <t>VALOR TOTAL ACTIVIDAD</t>
  </si>
  <si>
    <t>HABILITADO/INHABILITADO</t>
  </si>
  <si>
    <t xml:space="preserve">ASIGANACION DE PUNTAJE </t>
  </si>
  <si>
    <t>VALOR TOTAL CORREGIDO DE LAS PROPUESTAS</t>
  </si>
  <si>
    <t>GUSTAVO ANDRES GUZMAN ARIZA  5%</t>
  </si>
  <si>
    <t>ARQ. CLAUDIA CAROLINA MUÑOZ ROJAS</t>
  </si>
  <si>
    <t>Jefe. Oficina de Planeación</t>
  </si>
  <si>
    <t>ORIGINAL FIRMADO</t>
  </si>
  <si>
    <t>NO APLICA</t>
  </si>
  <si>
    <t>PROMEDIO SIMPLE</t>
  </si>
  <si>
    <t>RESULTADO - Media Aritmética Baja</t>
  </si>
  <si>
    <t>CATEKOMSAS - LUIS CARLOS MONGUI ACOSTA</t>
  </si>
  <si>
    <t>Plazo total (meses)</t>
  </si>
  <si>
    <t>CUMPLE</t>
  </si>
  <si>
    <t>CONSORCIO IC - Jaime Eduardo Gutiérrez Ocampo</t>
  </si>
  <si>
    <t>Ingecia S.A.S - Sergio Andrés Peralta Vargas</t>
  </si>
  <si>
    <t>Proyectos de Ingeniería Cumbre S.A.S - Jaime Eduardo Gutiérrez Ocampo</t>
  </si>
  <si>
    <t>Plazo total en dias</t>
  </si>
  <si>
    <t>CONSTRUCTORA MGH SAS - MILTON HUGO GARZÓN HERNANDEZ</t>
  </si>
  <si>
    <t>Cumple</t>
  </si>
  <si>
    <t>CONSTRUCCIONES PARAMO MATIZ LTDA - FRANCISCO JAVIER MATIZ PARDO</t>
  </si>
  <si>
    <t xml:space="preserve">CONSTRUCCIONES PARAMO MATIZ LTDA - FRANCISCO JAVIER MATIZ PARDO                    
</t>
  </si>
  <si>
    <t>FERNANDO PEDROZA VELASQUEZ</t>
  </si>
  <si>
    <t xml:space="preserve">JAIRO RUBEN OSPINA POVEDA </t>
  </si>
  <si>
    <t>JORGE ARTURO RUIZ GARZON</t>
  </si>
  <si>
    <t>WRUSSY INGENIEROS SAS - WILVER FRANCINY RUSSY LADINO</t>
  </si>
  <si>
    <t>El proponente aporta documentos con los cuales subsana y cumple</t>
  </si>
  <si>
    <t>Aporta documentos certificado de vigencia del contador, con lo cual subssna y cumple</t>
  </si>
  <si>
    <t>SERVICON LTDA</t>
  </si>
  <si>
    <t>No aporta estado de resultados con el mayor ingreso operacional de los ultimos cinco años, tompoco cuadro de capacidad tecnica y tampoco cuadro de contratos en ejecución. Por lo cual no es posible hallar la capacidad residual y en consecuencia no cumple. En virtud de lo anterior se requiere al proponente para que si a bien lo considera, subsane.</t>
  </si>
  <si>
    <t>Propuesta rechazada, el proponente modifico la cantidad consiganada en el P.O para el item No. 3 - 500.1, por lo cual la propuestaa queda rechazada</t>
  </si>
  <si>
    <t>PROPONENETE RECHAZADO POR OFERTA ECONOMICA</t>
  </si>
  <si>
    <t>ACRUX SAS</t>
  </si>
  <si>
    <t>AIU</t>
  </si>
  <si>
    <t>ADMINISTRACION</t>
  </si>
  <si>
    <t>IMPREVISTO</t>
  </si>
  <si>
    <t xml:space="preserve">UTILIDAD
</t>
  </si>
  <si>
    <t>TOTAL AIU</t>
  </si>
  <si>
    <t>MEDIANA</t>
  </si>
  <si>
    <t>EXCAVACIONES VARIAS EN MATERIAL COMÚN SECO (INCLUYE RETIRO DE SOBRANTES A UNA DISTANCIA MENOR DE 5 KM)</t>
  </si>
  <si>
    <t>EXCAVACIONES VARIAS A MÁQUINA SIN CLASIFICAR (INCLUYE RETIRO DE SOBRANTES A UNA DISTANCIA MENOR DE 5 KM)</t>
  </si>
  <si>
    <t>SUMINISTRO  E  INSTALACIÓN  DE  GEOTEXTIL NT 2500 (ESTABILIZACIÓN, FILTRO Y SEPARACIÓN)</t>
  </si>
  <si>
    <t>M2</t>
  </si>
  <si>
    <t>SUELO-CEMENTO (INCLUYE SUMINISTRO DEL CEMENTO)</t>
  </si>
  <si>
    <t>CONCRETO PARA PAVIMENTO RÍGIDO MR-41, INCLUYE SELLADO DE JUNTAS Y ACERO DE TRANSFERENCIA Y UNIÓN</t>
  </si>
  <si>
    <t>UN</t>
  </si>
  <si>
    <t>NIVELACIÓN DE POZOS DE INSPECCIÓN Di=1.20M, E=0.25M, H=0,21M(INCLUYE PAÑETE INTERNO Y DEMOLICIÓN)</t>
  </si>
  <si>
    <t>BORDILLO PREFABRICADO A-80</t>
  </si>
  <si>
    <t>ML</t>
  </si>
  <si>
    <t>LOCALIZACIÓN Y REPLANTEO CON ELEMENTOS DE PRECISIÓN</t>
  </si>
  <si>
    <t>CERCA EN TELA VERDE H = 2.10 M</t>
  </si>
  <si>
    <t>DEMOLICIÓN DE ESTRUCTURAS (INCLUYE CARGUE Y RETIRO DE SOBRANTES A UNA DISTANCIA DE 5KM)</t>
  </si>
  <si>
    <t>BASE CEMENTO (INCLUYE SUMINISTRO DEL CEMENTO)</t>
  </si>
  <si>
    <t>PROCESO No. SAMC 019 DE 2023  - CONTRATAR EL MEJORAMIENTO DE LA VÍA URBANA CARRERA 7 ENTRE LA CALLE 6 Y CALLE 7 DEL BARRIO CENTRO, EN EL SECTOR EMBAJADA DE CUNE DEL MUNICIPIO DE  VILLETA, CUNDINAMARCA</t>
  </si>
  <si>
    <t>SUMINISTRO, FIGURADO  ARMADO DE ACERO DE REFUERZO 60000 PSI</t>
  </si>
  <si>
    <t>KG</t>
  </si>
  <si>
    <t>13  DE OCTUBRE DEL 2023.</t>
  </si>
  <si>
    <t>EVALUACIÓN ECONOMICA  - TRM 61 - METODO: Media aritmetica baja</t>
  </si>
  <si>
    <t>Se otorga maximo puntaje al unico proponente</t>
  </si>
  <si>
    <t>El proponente aporta documentos con los cuales subsana y cumple.</t>
  </si>
  <si>
    <t>20  DE OCTUBRE DEL 2023.</t>
  </si>
  <si>
    <t>Elaborado por: Ing. Cristian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</si>
</sst>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-* #,##0.00\ &quot;Pts&quot;_-;\-* #,##0.00\ &quot;Pts&quot;_-;_-* &quot;-&quot;??\ &quot;Pts&quot;_-;_-@_-"/>
    <numFmt numFmtId="167" formatCode="_(&quot;$&quot;\ * #,##0.00_);_(&quot;$&quot;\ * \(#,##0.00\);_(&quot;$&quot;\ * &quot;-&quot;??_);_(@_)"/>
    <numFmt numFmtId="168" formatCode="&quot;$&quot;\ #,##0.00"/>
    <numFmt numFmtId="169" formatCode="_-&quot;$&quot;\ * #,##0.00_-;\-&quot;$&quot;\ * #,##0.00_-;_-&quot;$&quot;\ * &quot;-&quot;_-;_-@_-"/>
    <numFmt numFmtId="170" formatCode="_-[$$-240A]* #,##0.00_-;\-[$$-240A]* #,##0.00_-;_-[$$-240A]* &quot;-&quot;??_-;_-@_-"/>
    <numFmt numFmtId="171" formatCode="0.0000000"/>
    <numFmt numFmtId="172" formatCode="0.0"/>
    <numFmt numFmtId="173" formatCode="&quot;$&quot;\ #,##0.00_);\(&quot;$&quot;\ #,##0.00\)"/>
    <numFmt numFmtId="174" formatCode="0#.00\ \L\t"/>
    <numFmt numFmtId="175" formatCode="_-[$$-240A]\ * #,##0.00_ ;_-[$$-240A]\ * \-#,##0.00\ ;_-[$$-240A]\ * &quot;-&quot;??_ ;_-@_ "/>
    <numFmt numFmtId="176" formatCode="_([$$-240A]\ * #,##0_);_([$$-240A]\ * \(#,##0\);_([$$-240A]\ * &quot;-&quot;??_);_(@_)"/>
  </numFmts>
  <fonts count="5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theme="1"/>
      <name val="Arial Rounded MT Bold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48"/>
      <color theme="1"/>
      <name val="Arial Rounded MT Bold"/>
      <family val="2"/>
    </font>
    <font>
      <b/>
      <sz val="72"/>
      <color theme="1"/>
      <name val="Arial Rounded MT Bold"/>
      <family val="2"/>
    </font>
    <font>
      <b/>
      <sz val="26"/>
      <color theme="1"/>
      <name val="Arial Rounded MT Bold"/>
      <family val="2"/>
    </font>
    <font>
      <b/>
      <sz val="16"/>
      <color theme="1"/>
      <name val="Arial Rounded MT Bold"/>
      <family val="2"/>
    </font>
    <font>
      <b/>
      <sz val="18"/>
      <color theme="1"/>
      <name val="Arial Rounded MT Bold"/>
      <family val="2"/>
    </font>
    <font>
      <b/>
      <sz val="20"/>
      <color theme="1"/>
      <name val="Arial Rounded MT Bold"/>
      <family val="2"/>
    </font>
    <font>
      <b/>
      <sz val="36"/>
      <color theme="1"/>
      <name val="Arial Rounded MT Bold"/>
      <family val="2"/>
    </font>
    <font>
      <b/>
      <sz val="11"/>
      <name val="Arial Rounded MT Bold"/>
      <family val="2"/>
    </font>
    <font>
      <sz val="14"/>
      <color theme="1"/>
      <name val="Arial Rounded MT Bold"/>
      <family val="2"/>
    </font>
    <font>
      <sz val="16"/>
      <color theme="1"/>
      <name val="Arial Rounded MT Bold"/>
      <family val="2"/>
    </font>
    <font>
      <sz val="18"/>
      <color theme="1"/>
      <name val="Arial Rounded MT Bold"/>
      <family val="2"/>
    </font>
    <font>
      <sz val="20"/>
      <color theme="1"/>
      <name val="Arial Rounded MT Bold"/>
      <family val="2"/>
    </font>
    <font>
      <sz val="24"/>
      <color theme="1"/>
      <name val="Arial Rounded MT Bold"/>
      <family val="2"/>
    </font>
    <font>
      <b/>
      <sz val="72"/>
      <color theme="1"/>
      <name val="Calibri"/>
      <family val="2"/>
      <scheme val="minor"/>
    </font>
    <font>
      <b/>
      <sz val="12"/>
      <color theme="1"/>
      <name val="Arial Rounded MT Bold"/>
      <family val="2"/>
    </font>
    <font>
      <b/>
      <sz val="14"/>
      <color theme="1"/>
      <name val="Arial Rounded MT Bold"/>
      <family val="2"/>
    </font>
    <font>
      <b/>
      <sz val="14"/>
      <name val="Arial Rounded MT Bold"/>
      <family val="2"/>
    </font>
    <font>
      <b/>
      <sz val="16"/>
      <name val="Arial Rounded MT Bold"/>
      <family val="2"/>
    </font>
    <font>
      <b/>
      <sz val="48"/>
      <name val="Arial Rounded MT Bold"/>
      <family val="2"/>
    </font>
    <font>
      <sz val="11"/>
      <color theme="1"/>
      <name val="Arial Rounded MT Bold"/>
      <family val="2"/>
    </font>
    <font>
      <sz val="11"/>
      <name val="Arial Rounded MT Bold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 Rounded MT Bold"/>
      <family val="2"/>
    </font>
    <font>
      <sz val="11"/>
      <color rgb="FF000000"/>
      <name val="Arial Rounded MT Bold"/>
      <family val="2"/>
    </font>
    <font>
      <sz val="10"/>
      <color theme="1"/>
      <name val="Arial Rounded MT Bold"/>
      <family val="2"/>
    </font>
    <font>
      <sz val="9"/>
      <color theme="1"/>
      <name val="Arial Rounded MT Bold"/>
      <family val="2"/>
    </font>
    <font>
      <b/>
      <sz val="9"/>
      <color theme="1"/>
      <name val="Arial Rounded MT Bold"/>
      <family val="2"/>
    </font>
    <font>
      <b/>
      <sz val="8"/>
      <color theme="1"/>
      <name val="Arial Rounded MT Bold"/>
      <family val="2"/>
    </font>
    <font>
      <sz val="11"/>
      <color rgb="FFFF0000"/>
      <name val="Arial Rounded MT Bold"/>
      <family val="2"/>
    </font>
    <font>
      <sz val="36"/>
      <color theme="1"/>
      <name val="Arial Rounded MT Bold"/>
      <family val="2"/>
    </font>
    <font>
      <b/>
      <sz val="26"/>
      <color theme="1"/>
      <name val="Calibri"/>
      <family val="2"/>
      <scheme val="minor"/>
    </font>
    <font>
      <b/>
      <sz val="12"/>
      <color rgb="FF000000"/>
      <name val="Arial Rounded MT Bold"/>
      <family val="2"/>
    </font>
    <font>
      <sz val="12"/>
      <name val="Arial Narrow"/>
      <family val="2"/>
    </font>
    <font>
      <sz val="20"/>
      <name val="Arial Rounded MT Bold"/>
      <family val="2"/>
    </font>
    <font>
      <sz val="22"/>
      <name val="Arial Rounded MT Bold"/>
      <family val="2"/>
    </font>
    <font>
      <sz val="18"/>
      <name val="Arial Rounded MT Bold"/>
      <family val="2"/>
    </font>
    <font>
      <b/>
      <sz val="12"/>
      <name val="Arial Narrow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5" fillId="0" borderId="0" applyNumberFormat="0" applyFill="0" applyBorder="0" applyAlignment="0" applyProtection="0"/>
    <xf numFmtId="42" fontId="6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6" fillId="0" borderId="0"/>
    <xf numFmtId="174" fontId="7" fillId="0" borderId="0" applyFont="0" applyFill="0" applyBorder="0" applyAlignment="0" applyProtection="0"/>
  </cellStyleXfs>
  <cellXfs count="423">
    <xf numFmtId="0" fontId="0" fillId="0" borderId="0" xfId="0"/>
    <xf numFmtId="0" fontId="0" fillId="4" borderId="0" xfId="0" applyFill="1"/>
    <xf numFmtId="14" fontId="0" fillId="4" borderId="0" xfId="0" applyNumberFormat="1" applyFill="1"/>
    <xf numFmtId="14" fontId="1" fillId="4" borderId="0" xfId="0" applyNumberFormat="1" applyFont="1" applyFill="1"/>
    <xf numFmtId="0" fontId="0" fillId="0" borderId="34" xfId="0" applyBorder="1"/>
    <xf numFmtId="0" fontId="0" fillId="0" borderId="0" xfId="0" applyBorder="1"/>
    <xf numFmtId="0" fontId="0" fillId="0" borderId="35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2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4" fillId="4" borderId="0" xfId="0" applyFont="1" applyFill="1"/>
    <xf numFmtId="0" fontId="4" fillId="4" borderId="0" xfId="0" applyFont="1" applyFill="1" applyBorder="1"/>
    <xf numFmtId="0" fontId="3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justify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justify" vertical="center" wrapText="1"/>
    </xf>
    <xf numFmtId="0" fontId="14" fillId="4" borderId="0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wrapText="1"/>
    </xf>
    <xf numFmtId="0" fontId="18" fillId="6" borderId="7" xfId="0" applyFont="1" applyFill="1" applyBorder="1" applyAlignment="1">
      <alignment horizontal="center" vertical="center" wrapText="1"/>
    </xf>
    <xf numFmtId="168" fontId="19" fillId="0" borderId="9" xfId="0" applyNumberFormat="1" applyFont="1" applyFill="1" applyBorder="1" applyAlignment="1">
      <alignment vertical="center" wrapText="1"/>
    </xf>
    <xf numFmtId="0" fontId="18" fillId="6" borderId="5" xfId="0" applyFont="1" applyFill="1" applyBorder="1" applyAlignment="1">
      <alignment horizontal="center" vertical="center" wrapText="1"/>
    </xf>
    <xf numFmtId="168" fontId="16" fillId="0" borderId="6" xfId="0" applyNumberFormat="1" applyFont="1" applyFill="1" applyBorder="1" applyAlignment="1">
      <alignment vertical="center" wrapText="1"/>
    </xf>
    <xf numFmtId="167" fontId="12" fillId="8" borderId="5" xfId="0" applyNumberFormat="1" applyFont="1" applyFill="1" applyBorder="1" applyAlignment="1">
      <alignment horizontal="center" vertical="center"/>
    </xf>
    <xf numFmtId="2" fontId="22" fillId="8" borderId="1" xfId="0" applyNumberFormat="1" applyFont="1" applyFill="1" applyBorder="1" applyAlignment="1">
      <alignment horizontal="center" vertical="center"/>
    </xf>
    <xf numFmtId="0" fontId="0" fillId="7" borderId="0" xfId="0" applyFill="1"/>
    <xf numFmtId="0" fontId="18" fillId="8" borderId="1" xfId="0" applyFont="1" applyFill="1" applyBorder="1" applyAlignment="1">
      <alignment horizontal="center" vertical="center" wrapText="1"/>
    </xf>
    <xf numFmtId="0" fontId="26" fillId="4" borderId="4" xfId="0" applyFont="1" applyFill="1" applyBorder="1" applyAlignment="1">
      <alignment horizontal="center" vertical="center" wrapText="1"/>
    </xf>
    <xf numFmtId="0" fontId="26" fillId="4" borderId="21" xfId="0" applyFont="1" applyFill="1" applyBorder="1" applyAlignment="1">
      <alignment horizontal="center" vertical="center" wrapText="1"/>
    </xf>
    <xf numFmtId="0" fontId="26" fillId="4" borderId="21" xfId="0" applyFont="1" applyFill="1" applyBorder="1" applyAlignment="1">
      <alignment horizontal="center" vertical="center" wrapText="1"/>
    </xf>
    <xf numFmtId="0" fontId="26" fillId="4" borderId="22" xfId="0" applyFont="1" applyFill="1" applyBorder="1" applyAlignment="1">
      <alignment horizontal="center" vertical="center" wrapText="1"/>
    </xf>
    <xf numFmtId="0" fontId="24" fillId="4" borderId="5" xfId="0" applyFont="1" applyFill="1" applyBorder="1" applyAlignment="1">
      <alignment horizontal="center"/>
    </xf>
    <xf numFmtId="0" fontId="23" fillId="4" borderId="1" xfId="0" applyFont="1" applyFill="1" applyBorder="1"/>
    <xf numFmtId="0" fontId="23" fillId="4" borderId="6" xfId="0" applyFont="1" applyFill="1" applyBorder="1"/>
    <xf numFmtId="0" fontId="29" fillId="8" borderId="1" xfId="0" applyFont="1" applyFill="1" applyBorder="1" applyAlignment="1">
      <alignment horizontal="center" vertical="center"/>
    </xf>
    <xf numFmtId="167" fontId="30" fillId="8" borderId="5" xfId="0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/>
    </xf>
    <xf numFmtId="167" fontId="18" fillId="8" borderId="5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168" fontId="30" fillId="0" borderId="9" xfId="0" applyNumberFormat="1" applyFont="1" applyFill="1" applyBorder="1" applyAlignment="1">
      <alignment vertical="center" wrapText="1"/>
    </xf>
    <xf numFmtId="168" fontId="30" fillId="0" borderId="6" xfId="0" applyNumberFormat="1" applyFont="1" applyFill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30" fillId="8" borderId="5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42" fontId="24" fillId="4" borderId="1" xfId="2" applyFont="1" applyFill="1" applyBorder="1"/>
    <xf numFmtId="0" fontId="24" fillId="4" borderId="1" xfId="0" applyFont="1" applyFill="1" applyBorder="1"/>
    <xf numFmtId="42" fontId="24" fillId="4" borderId="6" xfId="2" applyFont="1" applyFill="1" applyBorder="1"/>
    <xf numFmtId="0" fontId="24" fillId="4" borderId="32" xfId="0" applyFont="1" applyFill="1" applyBorder="1" applyAlignment="1"/>
    <xf numFmtId="0" fontId="24" fillId="4" borderId="1" xfId="0" applyFont="1" applyFill="1" applyBorder="1" applyAlignment="1"/>
    <xf numFmtId="0" fontId="26" fillId="0" borderId="1" xfId="0" applyFont="1" applyBorder="1" applyAlignment="1">
      <alignment horizontal="center" wrapText="1"/>
    </xf>
    <xf numFmtId="0" fontId="18" fillId="8" borderId="5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5" fillId="4" borderId="40" xfId="0" applyFont="1" applyFill="1" applyBorder="1" applyAlignment="1"/>
    <xf numFmtId="0" fontId="25" fillId="4" borderId="38" xfId="0" applyFont="1" applyFill="1" applyBorder="1" applyAlignment="1"/>
    <xf numFmtId="0" fontId="25" fillId="4" borderId="36" xfId="0" applyFont="1" applyFill="1" applyBorder="1" applyAlignment="1"/>
    <xf numFmtId="0" fontId="24" fillId="4" borderId="1" xfId="0" applyFont="1" applyFill="1" applyBorder="1" applyAlignment="1">
      <alignment horizontal="center"/>
    </xf>
    <xf numFmtId="0" fontId="24" fillId="4" borderId="32" xfId="0" applyFont="1" applyFill="1" applyBorder="1" applyAlignment="1">
      <alignment horizontal="center"/>
    </xf>
    <xf numFmtId="9" fontId="24" fillId="4" borderId="32" xfId="12" applyFont="1" applyFill="1" applyBorder="1" applyAlignment="1">
      <alignment horizontal="center"/>
    </xf>
    <xf numFmtId="9" fontId="24" fillId="4" borderId="31" xfId="12" applyFont="1" applyFill="1" applyBorder="1" applyAlignment="1">
      <alignment horizontal="center"/>
    </xf>
    <xf numFmtId="167" fontId="12" fillId="8" borderId="5" xfId="0" applyNumberFormat="1" applyFont="1" applyFill="1" applyBorder="1" applyAlignment="1">
      <alignment horizontal="center" vertical="center" wrapText="1"/>
    </xf>
    <xf numFmtId="0" fontId="19" fillId="4" borderId="21" xfId="0" applyFont="1" applyFill="1" applyBorder="1" applyAlignment="1">
      <alignment horizontal="center" vertical="center" wrapText="1"/>
    </xf>
    <xf numFmtId="0" fontId="23" fillId="4" borderId="6" xfId="0" applyFont="1" applyFill="1" applyBorder="1" applyProtection="1">
      <protection hidden="1"/>
    </xf>
    <xf numFmtId="1" fontId="31" fillId="8" borderId="1" xfId="0" applyNumberFormat="1" applyFont="1" applyFill="1" applyBorder="1" applyAlignment="1" applyProtection="1">
      <alignment horizontal="center" vertical="center"/>
      <protection hidden="1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2" fontId="31" fillId="8" borderId="1" xfId="0" applyNumberFormat="1" applyFont="1" applyFill="1" applyBorder="1" applyAlignment="1" applyProtection="1">
      <alignment horizontal="center" vertical="center"/>
      <protection hidden="1"/>
    </xf>
    <xf numFmtId="168" fontId="18" fillId="0" borderId="8" xfId="0" applyNumberFormat="1" applyFont="1" applyFill="1" applyBorder="1" applyAlignment="1" applyProtection="1">
      <alignment vertical="center"/>
      <protection hidden="1"/>
    </xf>
    <xf numFmtId="168" fontId="19" fillId="0" borderId="1" xfId="0" applyNumberFormat="1" applyFont="1" applyFill="1" applyBorder="1" applyAlignment="1" applyProtection="1">
      <alignment vertical="center"/>
      <protection hidden="1"/>
    </xf>
    <xf numFmtId="0" fontId="24" fillId="4" borderId="27" xfId="0" applyFont="1" applyFill="1" applyBorder="1" applyAlignment="1" applyProtection="1">
      <alignment horizontal="center"/>
      <protection hidden="1"/>
    </xf>
    <xf numFmtId="42" fontId="24" fillId="4" borderId="1" xfId="2" applyFont="1" applyFill="1" applyBorder="1" applyProtection="1">
      <protection hidden="1"/>
    </xf>
    <xf numFmtId="42" fontId="24" fillId="4" borderId="6" xfId="2" applyFont="1" applyFill="1" applyBorder="1" applyProtection="1">
      <protection hidden="1"/>
    </xf>
    <xf numFmtId="0" fontId="24" fillId="4" borderId="27" xfId="0" applyFont="1" applyFill="1" applyBorder="1" applyAlignment="1" applyProtection="1">
      <protection hidden="1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168" fontId="20" fillId="0" borderId="1" xfId="0" applyNumberFormat="1" applyFont="1" applyFill="1" applyBorder="1" applyAlignment="1" applyProtection="1">
      <alignment vertical="center"/>
      <protection hidden="1"/>
    </xf>
    <xf numFmtId="0" fontId="24" fillId="4" borderId="1" xfId="0" applyFont="1" applyFill="1" applyBorder="1" applyAlignment="1" applyProtection="1">
      <alignment horizontal="center"/>
      <protection hidden="1"/>
    </xf>
    <xf numFmtId="0" fontId="24" fillId="4" borderId="32" xfId="0" applyFont="1" applyFill="1" applyBorder="1" applyAlignment="1" applyProtection="1">
      <alignment horizontal="center"/>
      <protection hidden="1"/>
    </xf>
    <xf numFmtId="42" fontId="24" fillId="4" borderId="27" xfId="2" applyFont="1" applyFill="1" applyBorder="1" applyAlignment="1" applyProtection="1">
      <protection hidden="1"/>
    </xf>
    <xf numFmtId="2" fontId="32" fillId="8" borderId="1" xfId="0" applyNumberFormat="1" applyFont="1" applyFill="1" applyBorder="1" applyAlignment="1" applyProtection="1">
      <alignment horizontal="center" vertical="center"/>
      <protection hidden="1"/>
    </xf>
    <xf numFmtId="42" fontId="24" fillId="4" borderId="27" xfId="2" applyFont="1" applyFill="1" applyBorder="1" applyAlignment="1" applyProtection="1">
      <alignment horizontal="right" wrapText="1"/>
      <protection hidden="1"/>
    </xf>
    <xf numFmtId="168" fontId="23" fillId="0" borderId="9" xfId="0" applyNumberFormat="1" applyFont="1" applyFill="1" applyBorder="1" applyAlignment="1">
      <alignment vertical="center" wrapText="1"/>
    </xf>
    <xf numFmtId="0" fontId="37" fillId="0" borderId="5" xfId="9" applyFont="1" applyBorder="1"/>
    <xf numFmtId="0" fontId="37" fillId="0" borderId="1" xfId="5" applyFont="1" applyBorder="1" applyAlignment="1">
      <alignment horizontal="center" vertical="center"/>
    </xf>
    <xf numFmtId="0" fontId="37" fillId="0" borderId="1" xfId="9" applyFont="1" applyBorder="1" applyAlignment="1">
      <alignment horizontal="center"/>
    </xf>
    <xf numFmtId="0" fontId="0" fillId="8" borderId="0" xfId="0" applyFill="1"/>
    <xf numFmtId="0" fontId="37" fillId="8" borderId="5" xfId="9" applyFont="1" applyFill="1" applyBorder="1"/>
    <xf numFmtId="0" fontId="37" fillId="8" borderId="1" xfId="9" applyFont="1" applyFill="1" applyBorder="1" applyAlignment="1">
      <alignment horizontal="center"/>
    </xf>
    <xf numFmtId="169" fontId="36" fillId="0" borderId="32" xfId="2" applyNumberFormat="1" applyFont="1" applyBorder="1" applyAlignment="1">
      <alignment vertical="center" wrapText="1"/>
    </xf>
    <xf numFmtId="170" fontId="22" fillId="8" borderId="32" xfId="4" applyNumberFormat="1" applyFont="1" applyFill="1" applyBorder="1" applyAlignment="1">
      <alignment vertical="center"/>
    </xf>
    <xf numFmtId="0" fontId="0" fillId="12" borderId="0" xfId="0" applyFill="1"/>
    <xf numFmtId="0" fontId="40" fillId="0" borderId="6" xfId="0" applyFont="1" applyBorder="1" applyAlignment="1">
      <alignment horizontal="center"/>
    </xf>
    <xf numFmtId="0" fontId="40" fillId="8" borderId="6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2" fillId="0" borderId="0" xfId="0" applyFont="1"/>
    <xf numFmtId="0" fontId="1" fillId="0" borderId="0" xfId="0" applyFont="1" applyFill="1"/>
    <xf numFmtId="0" fontId="1" fillId="12" borderId="0" xfId="0" applyFont="1" applyFill="1"/>
    <xf numFmtId="169" fontId="39" fillId="4" borderId="1" xfId="2" applyNumberFormat="1" applyFont="1" applyFill="1" applyBorder="1" applyAlignment="1">
      <alignment horizontal="center" vertical="center" wrapText="1"/>
    </xf>
    <xf numFmtId="42" fontId="0" fillId="0" borderId="1" xfId="2" applyFont="1" applyBorder="1"/>
    <xf numFmtId="169" fontId="1" fillId="0" borderId="1" xfId="2" applyNumberFormat="1" applyFont="1" applyBorder="1" applyAlignment="1">
      <alignment vertical="center"/>
    </xf>
    <xf numFmtId="169" fontId="1" fillId="8" borderId="1" xfId="2" applyNumberFormat="1" applyFont="1" applyFill="1" applyBorder="1" applyAlignment="1">
      <alignment vertical="center"/>
    </xf>
    <xf numFmtId="0" fontId="31" fillId="2" borderId="4" xfId="0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 wrapText="1"/>
    </xf>
    <xf numFmtId="0" fontId="30" fillId="2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9" fillId="2" borderId="47" xfId="0" applyFont="1" applyFill="1" applyBorder="1" applyAlignment="1">
      <alignment horizontal="center" vertical="center" wrapText="1"/>
    </xf>
    <xf numFmtId="0" fontId="22" fillId="4" borderId="1" xfId="4" applyFont="1" applyFill="1" applyBorder="1" applyAlignment="1" applyProtection="1">
      <alignment horizontal="center" vertical="center" wrapText="1"/>
      <protection hidden="1"/>
    </xf>
    <xf numFmtId="0" fontId="35" fillId="4" borderId="1" xfId="0" applyFont="1" applyFill="1" applyBorder="1" applyAlignment="1" applyProtection="1">
      <alignment horizontal="center" vertical="center" wrapText="1"/>
      <protection hidden="1"/>
    </xf>
    <xf numFmtId="169" fontId="39" fillId="4" borderId="1" xfId="2" applyNumberFormat="1" applyFont="1" applyFill="1" applyBorder="1" applyAlignment="1" applyProtection="1">
      <alignment horizontal="center" vertical="center" wrapText="1"/>
      <protection hidden="1"/>
    </xf>
    <xf numFmtId="169" fontId="34" fillId="0" borderId="1" xfId="2" applyNumberFormat="1" applyFont="1" applyBorder="1" applyAlignment="1" applyProtection="1">
      <alignment vertical="center"/>
      <protection hidden="1"/>
    </xf>
    <xf numFmtId="0" fontId="34" fillId="0" borderId="6" xfId="0" applyFont="1" applyBorder="1" applyAlignment="1" applyProtection="1">
      <alignment horizontal="center"/>
      <protection hidden="1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1" fontId="31" fillId="8" borderId="1" xfId="2" applyNumberFormat="1" applyFont="1" applyFill="1" applyBorder="1" applyAlignment="1" applyProtection="1">
      <alignment horizontal="center" vertical="center"/>
      <protection hidden="1"/>
    </xf>
    <xf numFmtId="169" fontId="38" fillId="4" borderId="1" xfId="2" applyNumberFormat="1" applyFont="1" applyFill="1" applyBorder="1" applyAlignment="1">
      <alignment horizontal="center" vertical="center" wrapText="1"/>
    </xf>
    <xf numFmtId="169" fontId="47" fillId="4" borderId="1" xfId="2" applyNumberFormat="1" applyFont="1" applyFill="1" applyBorder="1" applyAlignment="1">
      <alignment horizontal="center" vertical="center" wrapText="1"/>
    </xf>
    <xf numFmtId="0" fontId="35" fillId="8" borderId="49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 wrapText="1"/>
    </xf>
    <xf numFmtId="44" fontId="0" fillId="0" borderId="0" xfId="0" applyNumberFormat="1"/>
    <xf numFmtId="0" fontId="18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9" fontId="24" fillId="4" borderId="32" xfId="12" applyFont="1" applyFill="1" applyBorder="1" applyAlignment="1">
      <alignment horizontal="center"/>
    </xf>
    <xf numFmtId="9" fontId="24" fillId="4" borderId="31" xfId="12" applyFont="1" applyFill="1" applyBorder="1" applyAlignment="1">
      <alignment horizontal="center"/>
    </xf>
    <xf numFmtId="0" fontId="30" fillId="8" borderId="1" xfId="0" applyFont="1" applyFill="1" applyBorder="1" applyAlignment="1">
      <alignment horizontal="center" vertical="center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0" fontId="26" fillId="4" borderId="21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0" fontId="24" fillId="4" borderId="1" xfId="0" applyFont="1" applyFill="1" applyBorder="1" applyAlignment="1" applyProtection="1">
      <alignment horizontal="center" vertical="center"/>
      <protection hidden="1"/>
    </xf>
    <xf numFmtId="0" fontId="24" fillId="4" borderId="32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6" fontId="24" fillId="4" borderId="1" xfId="2" applyNumberFormat="1" applyFont="1" applyFill="1" applyBorder="1" applyAlignment="1">
      <alignment horizontal="center" vertical="center"/>
    </xf>
    <xf numFmtId="42" fontId="24" fillId="4" borderId="6" xfId="2" applyFont="1" applyFill="1" applyBorder="1" applyAlignment="1" applyProtection="1">
      <alignment vertical="center"/>
      <protection hidden="1"/>
    </xf>
    <xf numFmtId="168" fontId="30" fillId="4" borderId="9" xfId="0" applyNumberFormat="1" applyFont="1" applyFill="1" applyBorder="1" applyAlignment="1">
      <alignment vertical="center" wrapText="1"/>
    </xf>
    <xf numFmtId="9" fontId="24" fillId="4" borderId="32" xfId="12" applyFont="1" applyFill="1" applyBorder="1" applyAlignment="1">
      <alignment horizontal="center"/>
    </xf>
    <xf numFmtId="9" fontId="24" fillId="4" borderId="31" xfId="12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0" fontId="12" fillId="8" borderId="1" xfId="0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0" fontId="26" fillId="4" borderId="21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6" fontId="24" fillId="4" borderId="1" xfId="2" applyNumberFormat="1" applyFont="1" applyFill="1" applyBorder="1"/>
    <xf numFmtId="0" fontId="32" fillId="8" borderId="1" xfId="0" applyNumberFormat="1" applyFont="1" applyFill="1" applyBorder="1" applyAlignment="1" applyProtection="1">
      <alignment horizontal="center" vertical="center"/>
      <protection hidden="1"/>
    </xf>
    <xf numFmtId="9" fontId="24" fillId="4" borderId="32" xfId="12" applyFont="1" applyFill="1" applyBorder="1" applyAlignment="1">
      <alignment horizontal="center"/>
    </xf>
    <xf numFmtId="9" fontId="24" fillId="4" borderId="31" xfId="12" applyFont="1" applyFill="1" applyBorder="1" applyAlignment="1">
      <alignment horizontal="center"/>
    </xf>
    <xf numFmtId="0" fontId="30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0" fontId="26" fillId="4" borderId="21" xfId="0" applyFont="1" applyFill="1" applyBorder="1" applyAlignment="1">
      <alignment horizontal="center" vertical="center" wrapText="1"/>
    </xf>
    <xf numFmtId="0" fontId="30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2" fontId="24" fillId="4" borderId="1" xfId="2" applyFont="1" applyFill="1" applyBorder="1" applyAlignment="1">
      <alignment horizontal="center" vertical="center"/>
    </xf>
    <xf numFmtId="42" fontId="24" fillId="4" borderId="1" xfId="2" applyFont="1" applyFill="1" applyBorder="1" applyAlignment="1" applyProtection="1">
      <alignment vertical="center"/>
      <protection hidden="1"/>
    </xf>
    <xf numFmtId="42" fontId="24" fillId="4" borderId="1" xfId="2" applyFont="1" applyFill="1" applyBorder="1" applyAlignment="1">
      <alignment vertical="center"/>
    </xf>
    <xf numFmtId="0" fontId="18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42" fontId="23" fillId="4" borderId="1" xfId="2" applyFont="1" applyFill="1" applyBorder="1"/>
    <xf numFmtId="0" fontId="23" fillId="4" borderId="1" xfId="0" applyFont="1" applyFill="1" applyBorder="1" applyAlignment="1">
      <alignment horizontal="center"/>
    </xf>
    <xf numFmtId="42" fontId="23" fillId="4" borderId="1" xfId="0" applyNumberFormat="1" applyFont="1" applyFill="1" applyBorder="1"/>
    <xf numFmtId="42" fontId="23" fillId="4" borderId="6" xfId="0" applyNumberFormat="1" applyFont="1" applyFill="1" applyBorder="1"/>
    <xf numFmtId="172" fontId="24" fillId="4" borderId="1" xfId="0" applyNumberFormat="1" applyFont="1" applyFill="1" applyBorder="1" applyAlignment="1" applyProtection="1">
      <alignment horizontal="center"/>
      <protection hidden="1"/>
    </xf>
    <xf numFmtId="1" fontId="24" fillId="4" borderId="1" xfId="0" applyNumberFormat="1" applyFont="1" applyFill="1" applyBorder="1" applyAlignment="1" applyProtection="1">
      <alignment horizontal="center"/>
      <protection hidden="1"/>
    </xf>
    <xf numFmtId="172" fontId="24" fillId="4" borderId="1" xfId="0" applyNumberFormat="1" applyFont="1" applyFill="1" applyBorder="1" applyAlignment="1">
      <alignment horizontal="center"/>
    </xf>
    <xf numFmtId="172" fontId="24" fillId="4" borderId="32" xfId="0" applyNumberFormat="1" applyFont="1" applyFill="1" applyBorder="1" applyAlignment="1" applyProtection="1">
      <alignment horizontal="center"/>
      <protection hidden="1"/>
    </xf>
    <xf numFmtId="1" fontId="24" fillId="4" borderId="32" xfId="0" applyNumberFormat="1" applyFont="1" applyFill="1" applyBorder="1" applyAlignment="1" applyProtection="1">
      <alignment horizontal="center"/>
      <protection hidden="1"/>
    </xf>
    <xf numFmtId="0" fontId="24" fillId="4" borderId="1" xfId="2" applyNumberFormat="1" applyFont="1" applyFill="1" applyBorder="1" applyAlignment="1">
      <alignment horizontal="center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0" fontId="30" fillId="8" borderId="1" xfId="0" applyFont="1" applyFill="1" applyBorder="1" applyAlignment="1">
      <alignment horizontal="center" vertical="center"/>
    </xf>
    <xf numFmtId="169" fontId="44" fillId="4" borderId="1" xfId="2" applyNumberFormat="1" applyFont="1" applyFill="1" applyBorder="1" applyAlignment="1" applyProtection="1">
      <alignment horizontal="center" vertical="center" wrapText="1"/>
      <protection hidden="1"/>
    </xf>
    <xf numFmtId="169" fontId="44" fillId="0" borderId="1" xfId="2" applyNumberFormat="1" applyFont="1" applyBorder="1" applyAlignment="1" applyProtection="1">
      <alignment vertical="center"/>
      <protection hidden="1"/>
    </xf>
    <xf numFmtId="0" fontId="22" fillId="7" borderId="1" xfId="1" applyFont="1" applyFill="1" applyBorder="1" applyAlignment="1">
      <alignment horizontal="center" vertical="center" wrapText="1"/>
    </xf>
    <xf numFmtId="173" fontId="48" fillId="0" borderId="1" xfId="7" applyNumberFormat="1" applyFont="1" applyBorder="1" applyAlignment="1">
      <alignment horizontal="right" vertical="center" wrapText="1"/>
    </xf>
    <xf numFmtId="0" fontId="1" fillId="0" borderId="43" xfId="0" applyFont="1" applyBorder="1" applyAlignment="1">
      <alignment horizontal="right"/>
    </xf>
    <xf numFmtId="0" fontId="22" fillId="4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0" fontId="22" fillId="5" borderId="2" xfId="0" applyFont="1" applyFill="1" applyBorder="1" applyAlignment="1">
      <alignment horizontal="center" vertical="center" wrapText="1"/>
    </xf>
    <xf numFmtId="169" fontId="49" fillId="4" borderId="45" xfId="2" applyNumberFormat="1" applyFont="1" applyFill="1" applyBorder="1" applyAlignment="1">
      <alignment horizontal="center" vertical="center" wrapText="1"/>
    </xf>
    <xf numFmtId="171" fontId="50" fillId="0" borderId="45" xfId="0" applyNumberFormat="1" applyFont="1" applyBorder="1" applyAlignment="1" applyProtection="1">
      <alignment horizontal="center" vertical="center"/>
      <protection hidden="1"/>
    </xf>
    <xf numFmtId="0" fontId="22" fillId="4" borderId="2" xfId="0" applyFont="1" applyFill="1" applyBorder="1" applyAlignment="1">
      <alignment horizontal="center" vertical="center" wrapText="1"/>
    </xf>
    <xf numFmtId="169" fontId="51" fillId="4" borderId="45" xfId="2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175" fontId="52" fillId="14" borderId="1" xfId="15" applyNumberFormat="1" applyFont="1" applyFill="1" applyBorder="1" applyAlignment="1">
      <alignment horizontal="center" vertical="center"/>
    </xf>
    <xf numFmtId="9" fontId="48" fillId="2" borderId="6" xfId="12" applyFont="1" applyFill="1" applyBorder="1" applyAlignment="1">
      <alignment horizontal="center" vertical="center"/>
    </xf>
    <xf numFmtId="175" fontId="52" fillId="14" borderId="1" xfId="15" applyNumberFormat="1" applyFont="1" applyFill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36" fillId="12" borderId="23" xfId="4" applyFont="1" applyFill="1" applyBorder="1" applyAlignment="1">
      <alignment horizontal="center" vertical="center" wrapText="1"/>
    </xf>
    <xf numFmtId="0" fontId="36" fillId="12" borderId="24" xfId="4" applyFont="1" applyFill="1" applyBorder="1" applyAlignment="1">
      <alignment horizontal="center" vertical="center" wrapText="1"/>
    </xf>
    <xf numFmtId="4" fontId="36" fillId="12" borderId="24" xfId="4" applyNumberFormat="1" applyFont="1" applyFill="1" applyBorder="1" applyAlignment="1">
      <alignment horizontal="center" vertical="center" wrapText="1"/>
    </xf>
    <xf numFmtId="4" fontId="36" fillId="12" borderId="56" xfId="4" applyNumberFormat="1" applyFont="1" applyFill="1" applyBorder="1" applyAlignment="1">
      <alignment horizontal="center" vertical="center" wrapText="1"/>
    </xf>
    <xf numFmtId="8" fontId="0" fillId="12" borderId="23" xfId="0" applyNumberFormat="1" applyFill="1" applyBorder="1"/>
    <xf numFmtId="42" fontId="0" fillId="12" borderId="24" xfId="2" applyFont="1" applyFill="1" applyBorder="1"/>
    <xf numFmtId="0" fontId="40" fillId="12" borderId="42" xfId="0" applyFont="1" applyFill="1" applyBorder="1" applyAlignment="1">
      <alignment horizontal="center"/>
    </xf>
    <xf numFmtId="169" fontId="39" fillId="4" borderId="24" xfId="2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/>
      <protection hidden="1"/>
    </xf>
    <xf numFmtId="0" fontId="12" fillId="12" borderId="1" xfId="0" applyFont="1" applyFill="1" applyBorder="1" applyAlignment="1" applyProtection="1">
      <alignment horizontal="center" wrapText="1"/>
      <protection hidden="1"/>
    </xf>
    <xf numFmtId="0" fontId="34" fillId="0" borderId="1" xfId="0" applyFont="1" applyBorder="1" applyAlignment="1" applyProtection="1">
      <alignment horizontal="center"/>
      <protection hidden="1"/>
    </xf>
    <xf numFmtId="8" fontId="24" fillId="4" borderId="1" xfId="2" applyNumberFormat="1" applyFont="1" applyFill="1" applyBorder="1"/>
    <xf numFmtId="8" fontId="53" fillId="0" borderId="27" xfId="0" applyNumberFormat="1" applyFont="1" applyBorder="1" applyAlignment="1">
      <alignment horizontal="center" vertical="center"/>
    </xf>
    <xf numFmtId="8" fontId="53" fillId="0" borderId="27" xfId="0" applyNumberFormat="1" applyFont="1" applyBorder="1" applyAlignment="1">
      <alignment horizontal="center" vertical="center" wrapText="1"/>
    </xf>
    <xf numFmtId="168" fontId="25" fillId="0" borderId="9" xfId="0" applyNumberFormat="1" applyFont="1" applyFill="1" applyBorder="1" applyAlignment="1">
      <alignment vertical="center" wrapText="1"/>
    </xf>
    <xf numFmtId="0" fontId="53" fillId="0" borderId="30" xfId="0" applyFont="1" applyBorder="1" applyAlignment="1">
      <alignment horizontal="left" vertical="center"/>
    </xf>
    <xf numFmtId="0" fontId="53" fillId="0" borderId="16" xfId="0" applyFont="1" applyBorder="1" applyAlignment="1">
      <alignment horizontal="left" vertical="center" wrapText="1"/>
    </xf>
    <xf numFmtId="0" fontId="53" fillId="0" borderId="27" xfId="0" applyFont="1" applyBorder="1" applyAlignment="1">
      <alignment horizontal="justify" vertical="center" wrapText="1"/>
    </xf>
    <xf numFmtId="0" fontId="54" fillId="0" borderId="30" xfId="0" applyFont="1" applyBorder="1" applyAlignment="1">
      <alignment horizontal="center" vertical="center"/>
    </xf>
    <xf numFmtId="2" fontId="54" fillId="0" borderId="30" xfId="0" applyNumberFormat="1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2" fontId="54" fillId="0" borderId="16" xfId="0" applyNumberFormat="1" applyFont="1" applyBorder="1" applyAlignment="1">
      <alignment horizontal="center" vertical="center"/>
    </xf>
    <xf numFmtId="0" fontId="54" fillId="0" borderId="30" xfId="0" applyFont="1" applyBorder="1" applyAlignment="1">
      <alignment vertical="center"/>
    </xf>
    <xf numFmtId="176" fontId="36" fillId="0" borderId="32" xfId="10" applyNumberFormat="1" applyFont="1" applyBorder="1" applyAlignment="1">
      <alignment vertical="center" wrapText="1"/>
    </xf>
    <xf numFmtId="8" fontId="54" fillId="0" borderId="30" xfId="0" applyNumberFormat="1" applyFont="1" applyBorder="1" applyAlignment="1">
      <alignment horizontal="center" vertical="center"/>
    </xf>
    <xf numFmtId="8" fontId="54" fillId="0" borderId="16" xfId="0" applyNumberFormat="1" applyFont="1" applyBorder="1" applyAlignment="1">
      <alignment horizontal="center" vertical="center" wrapText="1"/>
    </xf>
    <xf numFmtId="0" fontId="18" fillId="8" borderId="32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9" fillId="8" borderId="32" xfId="0" applyFont="1" applyFill="1" applyBorder="1" applyAlignment="1">
      <alignment horizontal="center" vertical="center"/>
    </xf>
    <xf numFmtId="0" fontId="19" fillId="8" borderId="10" xfId="0" applyFont="1" applyFill="1" applyBorder="1" applyAlignment="1">
      <alignment horizontal="center" vertical="center"/>
    </xf>
    <xf numFmtId="0" fontId="19" fillId="8" borderId="31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 wrapText="1"/>
    </xf>
    <xf numFmtId="0" fontId="19" fillId="8" borderId="51" xfId="0" applyFont="1" applyFill="1" applyBorder="1" applyAlignment="1">
      <alignment horizontal="center" vertical="center" wrapText="1"/>
    </xf>
    <xf numFmtId="0" fontId="19" fillId="8" borderId="42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/>
    </xf>
    <xf numFmtId="0" fontId="17" fillId="8" borderId="11" xfId="0" applyFont="1" applyFill="1" applyBorder="1" applyAlignment="1">
      <alignment horizontal="center"/>
    </xf>
    <xf numFmtId="0" fontId="17" fillId="8" borderId="41" xfId="0" applyFont="1" applyFill="1" applyBorder="1" applyAlignment="1">
      <alignment horizontal="center"/>
    </xf>
    <xf numFmtId="0" fontId="23" fillId="4" borderId="32" xfId="0" applyFont="1" applyFill="1" applyBorder="1" applyAlignment="1">
      <alignment horizontal="center"/>
    </xf>
    <xf numFmtId="0" fontId="23" fillId="4" borderId="10" xfId="0" applyFont="1" applyFill="1" applyBorder="1" applyAlignment="1">
      <alignment horizontal="center"/>
    </xf>
    <xf numFmtId="0" fontId="23" fillId="4" borderId="31" xfId="0" applyFont="1" applyFill="1" applyBorder="1" applyAlignment="1">
      <alignment horizontal="center"/>
    </xf>
    <xf numFmtId="0" fontId="24" fillId="4" borderId="32" xfId="0" applyFont="1" applyFill="1" applyBorder="1" applyAlignment="1">
      <alignment horizontal="center"/>
    </xf>
    <xf numFmtId="0" fontId="24" fillId="4" borderId="31" xfId="0" applyFont="1" applyFill="1" applyBorder="1" applyAlignment="1">
      <alignment horizontal="center"/>
    </xf>
    <xf numFmtId="0" fontId="24" fillId="4" borderId="10" xfId="0" applyFont="1" applyFill="1" applyBorder="1" applyAlignment="1">
      <alignment horizontal="center"/>
    </xf>
    <xf numFmtId="9" fontId="24" fillId="4" borderId="32" xfId="0" applyNumberFormat="1" applyFont="1" applyFill="1" applyBorder="1" applyAlignment="1">
      <alignment horizontal="center"/>
    </xf>
    <xf numFmtId="9" fontId="24" fillId="4" borderId="31" xfId="0" applyNumberFormat="1" applyFont="1" applyFill="1" applyBorder="1" applyAlignment="1">
      <alignment horizontal="center"/>
    </xf>
    <xf numFmtId="0" fontId="12" fillId="8" borderId="32" xfId="0" applyFont="1" applyFill="1" applyBorder="1" applyAlignment="1">
      <alignment horizontal="center" vertical="center"/>
    </xf>
    <xf numFmtId="0" fontId="12" fillId="8" borderId="31" xfId="0" applyFont="1" applyFill="1" applyBorder="1" applyAlignment="1">
      <alignment horizontal="center" vertical="center"/>
    </xf>
    <xf numFmtId="0" fontId="12" fillId="8" borderId="32" xfId="0" applyFont="1" applyFill="1" applyBorder="1" applyAlignment="1" applyProtection="1">
      <alignment horizontal="center" vertical="center"/>
      <protection hidden="1"/>
    </xf>
    <xf numFmtId="0" fontId="12" fillId="8" borderId="31" xfId="0" applyFont="1" applyFill="1" applyBorder="1" applyAlignment="1" applyProtection="1">
      <alignment horizontal="center" vertical="center"/>
      <protection hidden="1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7" fillId="8" borderId="12" xfId="0" applyFont="1" applyFill="1" applyBorder="1" applyAlignment="1">
      <alignment horizontal="center" wrapText="1"/>
    </xf>
    <xf numFmtId="0" fontId="17" fillId="8" borderId="11" xfId="0" applyFont="1" applyFill="1" applyBorder="1" applyAlignment="1">
      <alignment horizontal="center" wrapText="1"/>
    </xf>
    <xf numFmtId="0" fontId="17" fillId="8" borderId="41" xfId="0" applyFont="1" applyFill="1" applyBorder="1" applyAlignment="1">
      <alignment horizontal="center" wrapText="1"/>
    </xf>
    <xf numFmtId="0" fontId="25" fillId="4" borderId="40" xfId="0" applyFont="1" applyFill="1" applyBorder="1" applyAlignment="1">
      <alignment horizontal="right"/>
    </xf>
    <xf numFmtId="0" fontId="25" fillId="4" borderId="38" xfId="0" applyFont="1" applyFill="1" applyBorder="1" applyAlignment="1">
      <alignment horizontal="right"/>
    </xf>
    <xf numFmtId="0" fontId="25" fillId="4" borderId="36" xfId="0" applyFont="1" applyFill="1" applyBorder="1" applyAlignment="1">
      <alignment horizontal="right"/>
    </xf>
    <xf numFmtId="0" fontId="26" fillId="4" borderId="37" xfId="0" applyFont="1" applyFill="1" applyBorder="1" applyAlignment="1">
      <alignment horizontal="center" vertical="center" wrapText="1"/>
    </xf>
    <xf numFmtId="0" fontId="26" fillId="4" borderId="39" xfId="0" applyFont="1" applyFill="1" applyBorder="1" applyAlignment="1">
      <alignment horizontal="center" vertical="center" wrapText="1"/>
    </xf>
    <xf numFmtId="9" fontId="24" fillId="4" borderId="32" xfId="12" applyFont="1" applyFill="1" applyBorder="1" applyAlignment="1">
      <alignment horizontal="center"/>
    </xf>
    <xf numFmtId="9" fontId="24" fillId="4" borderId="31" xfId="12" applyFont="1" applyFill="1" applyBorder="1" applyAlignment="1">
      <alignment horizontal="center"/>
    </xf>
    <xf numFmtId="0" fontId="18" fillId="8" borderId="32" xfId="0" applyFont="1" applyFill="1" applyBorder="1" applyAlignment="1">
      <alignment horizontal="center" vertical="center"/>
    </xf>
    <xf numFmtId="0" fontId="18" fillId="8" borderId="31" xfId="0" applyFont="1" applyFill="1" applyBorder="1" applyAlignment="1">
      <alignment horizontal="center" vertical="center"/>
    </xf>
    <xf numFmtId="0" fontId="20" fillId="8" borderId="44" xfId="0" applyFont="1" applyFill="1" applyBorder="1" applyAlignment="1">
      <alignment horizontal="center" vertical="center" wrapText="1"/>
    </xf>
    <xf numFmtId="0" fontId="20" fillId="8" borderId="51" xfId="0" applyFont="1" applyFill="1" applyBorder="1" applyAlignment="1">
      <alignment horizontal="center" vertical="center" wrapText="1"/>
    </xf>
    <xf numFmtId="0" fontId="20" fillId="8" borderId="42" xfId="0" applyFont="1" applyFill="1" applyBorder="1" applyAlignment="1">
      <alignment horizontal="center" vertical="center" wrapText="1"/>
    </xf>
    <xf numFmtId="0" fontId="18" fillId="8" borderId="32" xfId="0" applyFont="1" applyFill="1" applyBorder="1" applyAlignment="1" applyProtection="1">
      <alignment horizontal="center" vertical="center"/>
      <protection hidden="1"/>
    </xf>
    <xf numFmtId="0" fontId="18" fillId="8" borderId="31" xfId="0" applyFont="1" applyFill="1" applyBorder="1" applyAlignment="1" applyProtection="1">
      <alignment horizontal="center" vertical="center"/>
      <protection hidden="1"/>
    </xf>
    <xf numFmtId="0" fontId="15" fillId="4" borderId="28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27" fillId="10" borderId="2" xfId="0" applyFont="1" applyFill="1" applyBorder="1" applyAlignment="1">
      <alignment horizontal="center" vertical="center"/>
    </xf>
    <xf numFmtId="0" fontId="27" fillId="10" borderId="3" xfId="0" applyFont="1" applyFill="1" applyBorder="1" applyAlignment="1">
      <alignment horizontal="center" vertical="center"/>
    </xf>
    <xf numFmtId="0" fontId="27" fillId="10" borderId="13" xfId="0" applyFont="1" applyFill="1" applyBorder="1" applyAlignment="1">
      <alignment horizontal="center" vertical="center"/>
    </xf>
    <xf numFmtId="9" fontId="24" fillId="4" borderId="32" xfId="12" applyFont="1" applyFill="1" applyBorder="1" applyAlignment="1">
      <alignment horizontal="center" vertical="center"/>
    </xf>
    <xf numFmtId="9" fontId="24" fillId="4" borderId="31" xfId="12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34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1" fillId="8" borderId="35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8" borderId="15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/>
    </xf>
    <xf numFmtId="0" fontId="10" fillId="2" borderId="29" xfId="0" applyFont="1" applyFill="1" applyBorder="1" applyAlignment="1">
      <alignment horizontal="left" vertical="center"/>
    </xf>
    <xf numFmtId="0" fontId="10" fillId="2" borderId="30" xfId="0" applyFont="1" applyFill="1" applyBorder="1" applyAlignment="1">
      <alignment horizontal="left" vertical="center"/>
    </xf>
    <xf numFmtId="6" fontId="28" fillId="9" borderId="28" xfId="0" applyNumberFormat="1" applyFont="1" applyFill="1" applyBorder="1" applyAlignment="1">
      <alignment horizontal="center" vertical="center"/>
    </xf>
    <xf numFmtId="0" fontId="28" fillId="9" borderId="29" xfId="0" applyFont="1" applyFill="1" applyBorder="1" applyAlignment="1">
      <alignment horizontal="center" vertical="center"/>
    </xf>
    <xf numFmtId="0" fontId="28" fillId="9" borderId="30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 wrapText="1"/>
    </xf>
    <xf numFmtId="0" fontId="12" fillId="8" borderId="51" xfId="0" applyFont="1" applyFill="1" applyBorder="1" applyAlignment="1">
      <alignment horizontal="center" vertical="center" wrapText="1"/>
    </xf>
    <xf numFmtId="0" fontId="12" fillId="8" borderId="4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/>
    </xf>
    <xf numFmtId="0" fontId="30" fillId="8" borderId="32" xfId="0" applyFont="1" applyFill="1" applyBorder="1" applyAlignment="1">
      <alignment horizontal="center" vertical="center"/>
    </xf>
    <xf numFmtId="0" fontId="30" fillId="8" borderId="31" xfId="0" applyFont="1" applyFill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6" fillId="4" borderId="11" xfId="0" applyFont="1" applyFill="1" applyBorder="1" applyAlignment="1">
      <alignment horizontal="center" vertical="center" wrapText="1"/>
    </xf>
    <xf numFmtId="0" fontId="27" fillId="10" borderId="28" xfId="0" applyFont="1" applyFill="1" applyBorder="1" applyAlignment="1">
      <alignment horizontal="center" vertical="center"/>
    </xf>
    <xf numFmtId="0" fontId="27" fillId="10" borderId="29" xfId="0" applyFont="1" applyFill="1" applyBorder="1" applyAlignment="1">
      <alignment horizontal="center" vertical="center"/>
    </xf>
    <xf numFmtId="0" fontId="27" fillId="10" borderId="30" xfId="0" applyFont="1" applyFill="1" applyBorder="1" applyAlignment="1">
      <alignment horizontal="center" vertical="center"/>
    </xf>
    <xf numFmtId="168" fontId="28" fillId="3" borderId="28" xfId="0" applyNumberFormat="1" applyFont="1" applyFill="1" applyBorder="1" applyAlignment="1" applyProtection="1">
      <alignment horizontal="center" vertical="center" wrapText="1"/>
      <protection hidden="1"/>
    </xf>
    <xf numFmtId="168" fontId="28" fillId="3" borderId="29" xfId="0" applyNumberFormat="1" applyFont="1" applyFill="1" applyBorder="1" applyAlignment="1" applyProtection="1">
      <alignment horizontal="center" vertical="center" wrapText="1"/>
      <protection hidden="1"/>
    </xf>
    <xf numFmtId="168" fontId="28" fillId="3" borderId="30" xfId="0" applyNumberFormat="1" applyFont="1" applyFill="1" applyBorder="1" applyAlignment="1" applyProtection="1">
      <alignment horizontal="center" vertical="center" wrapText="1"/>
      <protection hidden="1"/>
    </xf>
    <xf numFmtId="168" fontId="33" fillId="4" borderId="28" xfId="0" applyNumberFormat="1" applyFont="1" applyFill="1" applyBorder="1" applyAlignment="1" applyProtection="1">
      <alignment horizontal="center" vertical="center"/>
      <protection hidden="1"/>
    </xf>
    <xf numFmtId="168" fontId="33" fillId="4" borderId="30" xfId="0" applyNumberFormat="1" applyFont="1" applyFill="1" applyBorder="1" applyAlignment="1" applyProtection="1">
      <alignment horizontal="center" vertical="center"/>
      <protection hidden="1"/>
    </xf>
    <xf numFmtId="0" fontId="11" fillId="6" borderId="28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168" fontId="21" fillId="5" borderId="32" xfId="0" applyNumberFormat="1" applyFont="1" applyFill="1" applyBorder="1" applyAlignment="1" applyProtection="1">
      <alignment horizontal="center" vertical="center" wrapText="1"/>
      <protection hidden="1"/>
    </xf>
    <xf numFmtId="168" fontId="21" fillId="5" borderId="10" xfId="0" applyNumberFormat="1" applyFont="1" applyFill="1" applyBorder="1" applyAlignment="1" applyProtection="1">
      <alignment horizontal="center" vertical="center" wrapText="1"/>
      <protection hidden="1"/>
    </xf>
    <xf numFmtId="168" fontId="21" fillId="5" borderId="31" xfId="0" applyNumberFormat="1" applyFont="1" applyFill="1" applyBorder="1" applyAlignment="1" applyProtection="1">
      <alignment horizontal="center" vertical="center" wrapText="1"/>
      <protection hidden="1"/>
    </xf>
    <xf numFmtId="168" fontId="21" fillId="5" borderId="33" xfId="0" applyNumberFormat="1" applyFont="1" applyFill="1" applyBorder="1" applyAlignment="1" applyProtection="1">
      <alignment horizontal="center" vertical="center" wrapText="1"/>
      <protection hidden="1"/>
    </xf>
    <xf numFmtId="168" fontId="21" fillId="5" borderId="38" xfId="0" applyNumberFormat="1" applyFont="1" applyFill="1" applyBorder="1" applyAlignment="1" applyProtection="1">
      <alignment horizontal="center" vertical="center" wrapText="1"/>
      <protection hidden="1"/>
    </xf>
    <xf numFmtId="168" fontId="21" fillId="5" borderId="50" xfId="0" applyNumberFormat="1" applyFont="1" applyFill="1" applyBorder="1" applyAlignment="1" applyProtection="1">
      <alignment horizontal="center" vertical="center" wrapText="1"/>
      <protection hidden="1"/>
    </xf>
    <xf numFmtId="0" fontId="30" fillId="8" borderId="32" xfId="0" applyFont="1" applyFill="1" applyBorder="1" applyAlignment="1" applyProtection="1">
      <alignment horizontal="center" vertical="center"/>
      <protection hidden="1"/>
    </xf>
    <xf numFmtId="0" fontId="30" fillId="8" borderId="31" xfId="0" applyFont="1" applyFill="1" applyBorder="1" applyAlignment="1" applyProtection="1">
      <alignment horizontal="center" vertical="center"/>
      <protection hidden="1"/>
    </xf>
    <xf numFmtId="0" fontId="29" fillId="8" borderId="32" xfId="0" applyFont="1" applyFill="1" applyBorder="1" applyAlignment="1">
      <alignment horizontal="center" vertical="center"/>
    </xf>
    <xf numFmtId="0" fontId="29" fillId="8" borderId="31" xfId="0" applyFont="1" applyFill="1" applyBorder="1" applyAlignment="1">
      <alignment horizontal="center" vertical="center"/>
    </xf>
    <xf numFmtId="0" fontId="30" fillId="8" borderId="32" xfId="0" applyFont="1" applyFill="1" applyBorder="1" applyAlignment="1">
      <alignment horizontal="center" vertical="center" wrapText="1"/>
    </xf>
    <xf numFmtId="0" fontId="30" fillId="8" borderId="31" xfId="0" applyFont="1" applyFill="1" applyBorder="1" applyAlignment="1">
      <alignment horizontal="center" vertical="center" wrapText="1"/>
    </xf>
    <xf numFmtId="9" fontId="23" fillId="4" borderId="32" xfId="12" applyFont="1" applyFill="1" applyBorder="1" applyAlignment="1">
      <alignment horizontal="center"/>
    </xf>
    <xf numFmtId="9" fontId="23" fillId="4" borderId="10" xfId="12" applyFont="1" applyFill="1" applyBorder="1" applyAlignment="1">
      <alignment horizontal="center"/>
    </xf>
    <xf numFmtId="9" fontId="23" fillId="4" borderId="31" xfId="12" applyFont="1" applyFill="1" applyBorder="1" applyAlignment="1">
      <alignment horizontal="center"/>
    </xf>
    <xf numFmtId="0" fontId="18" fillId="8" borderId="44" xfId="0" applyFont="1" applyFill="1" applyBorder="1" applyAlignment="1">
      <alignment horizontal="center" vertical="center" wrapText="1"/>
    </xf>
    <xf numFmtId="0" fontId="18" fillId="8" borderId="51" xfId="0" applyFont="1" applyFill="1" applyBorder="1" applyAlignment="1">
      <alignment horizontal="center" vertical="center" wrapText="1"/>
    </xf>
    <xf numFmtId="0" fontId="18" fillId="8" borderId="42" xfId="0" applyFont="1" applyFill="1" applyBorder="1" applyAlignment="1">
      <alignment horizontal="center" vertical="center" wrapText="1"/>
    </xf>
    <xf numFmtId="0" fontId="9" fillId="6" borderId="28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1" fontId="24" fillId="4" borderId="32" xfId="0" applyNumberFormat="1" applyFont="1" applyFill="1" applyBorder="1" applyAlignment="1">
      <alignment horizontal="center"/>
    </xf>
    <xf numFmtId="1" fontId="24" fillId="4" borderId="31" xfId="0" applyNumberFormat="1" applyFont="1" applyFill="1" applyBorder="1" applyAlignment="1">
      <alignment horizontal="center"/>
    </xf>
    <xf numFmtId="0" fontId="30" fillId="8" borderId="44" xfId="0" applyFont="1" applyFill="1" applyBorder="1" applyAlignment="1">
      <alignment horizontal="center" vertical="center" wrapText="1"/>
    </xf>
    <xf numFmtId="0" fontId="30" fillId="8" borderId="51" xfId="0" applyFont="1" applyFill="1" applyBorder="1" applyAlignment="1">
      <alignment horizontal="center" vertical="center" wrapText="1"/>
    </xf>
    <xf numFmtId="0" fontId="30" fillId="8" borderId="42" xfId="0" applyFont="1" applyFill="1" applyBorder="1" applyAlignment="1">
      <alignment horizontal="center" vertical="center" wrapText="1"/>
    </xf>
    <xf numFmtId="0" fontId="18" fillId="8" borderId="10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/>
    </xf>
    <xf numFmtId="0" fontId="17" fillId="8" borderId="21" xfId="0" applyFont="1" applyFill="1" applyBorder="1" applyAlignment="1">
      <alignment horizontal="center"/>
    </xf>
    <xf numFmtId="0" fontId="17" fillId="8" borderId="22" xfId="0" applyFont="1" applyFill="1" applyBorder="1" applyAlignment="1">
      <alignment horizontal="center"/>
    </xf>
    <xf numFmtId="0" fontId="17" fillId="8" borderId="37" xfId="0" applyFont="1" applyFill="1" applyBorder="1" applyAlignment="1">
      <alignment horizontal="center"/>
    </xf>
    <xf numFmtId="0" fontId="19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horizontal="center" vertical="center" wrapText="1"/>
    </xf>
    <xf numFmtId="9" fontId="24" fillId="4" borderId="10" xfId="0" applyNumberFormat="1" applyFont="1" applyFill="1" applyBorder="1" applyAlignment="1">
      <alignment horizontal="center"/>
    </xf>
    <xf numFmtId="0" fontId="30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hidden="1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168" fontId="21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25" fillId="4" borderId="7" xfId="0" applyFont="1" applyFill="1" applyBorder="1" applyAlignment="1">
      <alignment horizontal="right"/>
    </xf>
    <xf numFmtId="0" fontId="25" fillId="4" borderId="8" xfId="0" applyFont="1" applyFill="1" applyBorder="1" applyAlignment="1">
      <alignment horizontal="right"/>
    </xf>
    <xf numFmtId="0" fontId="25" fillId="4" borderId="33" xfId="0" applyFont="1" applyFill="1" applyBorder="1" applyAlignment="1">
      <alignment horizontal="right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168" fontId="33" fillId="4" borderId="17" xfId="0" applyNumberFormat="1" applyFont="1" applyFill="1" applyBorder="1" applyAlignment="1" applyProtection="1">
      <alignment horizontal="center" vertical="center"/>
      <protection hidden="1"/>
    </xf>
    <xf numFmtId="168" fontId="33" fillId="4" borderId="19" xfId="0" applyNumberFormat="1" applyFont="1" applyFill="1" applyBorder="1" applyAlignment="1" applyProtection="1">
      <alignment horizontal="center" vertical="center"/>
      <protection hidden="1"/>
    </xf>
    <xf numFmtId="0" fontId="30" fillId="8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/>
    </xf>
    <xf numFmtId="0" fontId="34" fillId="7" borderId="32" xfId="0" applyFont="1" applyFill="1" applyBorder="1" applyAlignment="1">
      <alignment horizontal="center" vertical="center" wrapText="1"/>
    </xf>
    <xf numFmtId="0" fontId="34" fillId="7" borderId="48" xfId="0" applyFont="1" applyFill="1" applyBorder="1" applyAlignment="1">
      <alignment horizontal="center" vertical="center" wrapText="1"/>
    </xf>
    <xf numFmtId="0" fontId="36" fillId="8" borderId="32" xfId="9" applyFont="1" applyFill="1" applyBorder="1" applyAlignment="1">
      <alignment horizontal="right" vertical="center"/>
    </xf>
    <xf numFmtId="0" fontId="36" fillId="8" borderId="10" xfId="9" applyFont="1" applyFill="1" applyBorder="1" applyAlignment="1">
      <alignment horizontal="right" vertical="center"/>
    </xf>
    <xf numFmtId="0" fontId="36" fillId="8" borderId="31" xfId="9" applyFont="1" applyFill="1" applyBorder="1" applyAlignment="1">
      <alignment horizontal="right" vertical="center"/>
    </xf>
    <xf numFmtId="0" fontId="36" fillId="0" borderId="53" xfId="9" applyFont="1" applyBorder="1" applyAlignment="1">
      <alignment horizontal="center" vertical="center"/>
    </xf>
    <xf numFmtId="0" fontId="36" fillId="0" borderId="54" xfId="9" applyFont="1" applyBorder="1" applyAlignment="1">
      <alignment horizontal="center" vertical="center"/>
    </xf>
    <xf numFmtId="0" fontId="36" fillId="0" borderId="55" xfId="9" applyFont="1" applyBorder="1" applyAlignment="1">
      <alignment horizontal="center" vertical="center"/>
    </xf>
    <xf numFmtId="0" fontId="36" fillId="0" borderId="0" xfId="9" applyFont="1" applyBorder="1" applyAlignment="1">
      <alignment horizontal="center" vertical="center"/>
    </xf>
    <xf numFmtId="0" fontId="36" fillId="0" borderId="56" xfId="9" applyFont="1" applyBorder="1" applyAlignment="1">
      <alignment horizontal="center" vertical="center"/>
    </xf>
    <xf numFmtId="0" fontId="36" fillId="0" borderId="52" xfId="9" applyFont="1" applyBorder="1" applyAlignment="1">
      <alignment horizontal="center" vertical="center"/>
    </xf>
    <xf numFmtId="175" fontId="52" fillId="14" borderId="53" xfId="15" applyNumberFormat="1" applyFont="1" applyFill="1" applyBorder="1" applyAlignment="1">
      <alignment horizontal="center" vertical="center" wrapText="1"/>
    </xf>
    <xf numFmtId="175" fontId="52" fillId="14" borderId="54" xfId="15" applyNumberFormat="1" applyFont="1" applyFill="1" applyBorder="1" applyAlignment="1">
      <alignment horizontal="center" vertical="center" wrapText="1"/>
    </xf>
    <xf numFmtId="175" fontId="52" fillId="14" borderId="57" xfId="1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4" fillId="7" borderId="1" xfId="0" applyFont="1" applyFill="1" applyBorder="1" applyAlignment="1">
      <alignment horizontal="center" vertical="center" wrapText="1"/>
    </xf>
    <xf numFmtId="0" fontId="22" fillId="8" borderId="1" xfId="4" applyFont="1" applyFill="1" applyBorder="1" applyAlignment="1" applyProtection="1">
      <alignment horizontal="center" vertical="center" wrapText="1"/>
      <protection hidden="1"/>
    </xf>
    <xf numFmtId="4" fontId="22" fillId="8" borderId="1" xfId="4" applyNumberFormat="1" applyFont="1" applyFill="1" applyBorder="1" applyAlignment="1" applyProtection="1">
      <alignment horizontal="center" vertical="center" wrapText="1"/>
      <protection hidden="1"/>
    </xf>
    <xf numFmtId="0" fontId="41" fillId="11" borderId="0" xfId="0" applyFont="1" applyFill="1" applyAlignment="1">
      <alignment horizontal="left" vertical="top" wrapText="1"/>
    </xf>
    <xf numFmtId="0" fontId="41" fillId="11" borderId="0" xfId="0" applyFont="1" applyFill="1" applyAlignment="1">
      <alignment horizontal="left"/>
    </xf>
    <xf numFmtId="0" fontId="43" fillId="11" borderId="0" xfId="0" applyFont="1" applyFill="1" applyAlignment="1">
      <alignment horizontal="center"/>
    </xf>
    <xf numFmtId="0" fontId="34" fillId="11" borderId="0" xfId="0" applyFont="1" applyFill="1" applyAlignment="1">
      <alignment horizontal="center"/>
    </xf>
    <xf numFmtId="0" fontId="22" fillId="12" borderId="1" xfId="4" applyFont="1" applyFill="1" applyBorder="1" applyAlignment="1" applyProtection="1">
      <alignment horizontal="left" vertical="center" wrapText="1"/>
      <protection hidden="1"/>
    </xf>
    <xf numFmtId="0" fontId="36" fillId="0" borderId="32" xfId="9" applyFont="1" applyBorder="1" applyAlignment="1">
      <alignment horizontal="right" vertical="center"/>
    </xf>
    <xf numFmtId="0" fontId="36" fillId="0" borderId="10" xfId="9" applyFont="1" applyBorder="1" applyAlignment="1">
      <alignment horizontal="right" vertical="center"/>
    </xf>
    <xf numFmtId="0" fontId="36" fillId="0" borderId="31" xfId="9" applyFont="1" applyBorder="1" applyAlignment="1">
      <alignment horizontal="right" vertical="center"/>
    </xf>
    <xf numFmtId="0" fontId="36" fillId="0" borderId="32" xfId="9" applyFont="1" applyBorder="1" applyAlignment="1">
      <alignment horizontal="right" vertical="center" wrapText="1"/>
    </xf>
    <xf numFmtId="0" fontId="36" fillId="0" borderId="10" xfId="9" applyFont="1" applyBorder="1" applyAlignment="1">
      <alignment horizontal="right" vertical="center" wrapText="1"/>
    </xf>
    <xf numFmtId="0" fontId="36" fillId="0" borderId="31" xfId="9" applyFont="1" applyBorder="1" applyAlignment="1">
      <alignment horizontal="right" vertical="center" wrapText="1"/>
    </xf>
    <xf numFmtId="0" fontId="12" fillId="4" borderId="1" xfId="0" applyFont="1" applyFill="1" applyBorder="1" applyAlignment="1" applyProtection="1">
      <alignment horizontal="center" vertical="center" wrapText="1"/>
      <protection hidden="1"/>
    </xf>
    <xf numFmtId="0" fontId="30" fillId="4" borderId="1" xfId="0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0" fillId="0" borderId="25" xfId="0" applyBorder="1" applyAlignment="1">
      <alignment horizontal="center"/>
    </xf>
    <xf numFmtId="0" fontId="0" fillId="0" borderId="43" xfId="0" applyBorder="1" applyAlignment="1">
      <alignment horizontal="center"/>
    </xf>
    <xf numFmtId="0" fontId="35" fillId="4" borderId="12" xfId="0" applyFont="1" applyFill="1" applyBorder="1" applyAlignment="1">
      <alignment horizontal="left" vertical="center" wrapText="1"/>
    </xf>
    <xf numFmtId="0" fontId="35" fillId="4" borderId="11" xfId="0" applyFont="1" applyFill="1" applyBorder="1" applyAlignment="1">
      <alignment horizontal="left" vertical="center" wrapText="1"/>
    </xf>
    <xf numFmtId="0" fontId="35" fillId="4" borderId="41" xfId="0" applyFont="1" applyFill="1" applyBorder="1" applyAlignment="1">
      <alignment horizontal="left" vertical="center" wrapText="1"/>
    </xf>
    <xf numFmtId="0" fontId="34" fillId="4" borderId="40" xfId="0" applyFont="1" applyFill="1" applyBorder="1" applyAlignment="1">
      <alignment vertical="center" wrapText="1"/>
    </xf>
    <xf numFmtId="0" fontId="34" fillId="4" borderId="38" xfId="0" applyFont="1" applyFill="1" applyBorder="1" applyAlignment="1">
      <alignment vertical="center" wrapText="1"/>
    </xf>
    <xf numFmtId="0" fontId="34" fillId="4" borderId="36" xfId="0" applyFont="1" applyFill="1" applyBorder="1" applyAlignment="1">
      <alignment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45" fillId="8" borderId="2" xfId="0" applyFont="1" applyFill="1" applyBorder="1" applyAlignment="1">
      <alignment horizontal="center" vertical="center" wrapText="1"/>
    </xf>
    <xf numFmtId="0" fontId="45" fillId="8" borderId="3" xfId="0" applyFont="1" applyFill="1" applyBorder="1" applyAlignment="1">
      <alignment horizontal="center" vertical="center" wrapText="1"/>
    </xf>
    <xf numFmtId="0" fontId="45" fillId="8" borderId="13" xfId="0" applyFont="1" applyFill="1" applyBorder="1" applyAlignment="1">
      <alignment horizontal="center" vertical="center" wrapText="1"/>
    </xf>
    <xf numFmtId="0" fontId="45" fillId="8" borderId="14" xfId="0" applyFont="1" applyFill="1" applyBorder="1" applyAlignment="1">
      <alignment horizontal="center" vertical="center" wrapText="1"/>
    </xf>
    <xf numFmtId="0" fontId="45" fillId="8" borderId="15" xfId="0" applyFont="1" applyFill="1" applyBorder="1" applyAlignment="1">
      <alignment horizontal="center" vertical="center" wrapText="1"/>
    </xf>
    <xf numFmtId="0" fontId="45" fillId="8" borderId="16" xfId="0" applyFont="1" applyFill="1" applyBorder="1" applyAlignment="1">
      <alignment horizontal="center" vertical="center" wrapText="1"/>
    </xf>
    <xf numFmtId="0" fontId="46" fillId="13" borderId="28" xfId="0" applyFont="1" applyFill="1" applyBorder="1" applyAlignment="1">
      <alignment horizontal="center" vertical="center" wrapText="1"/>
    </xf>
    <xf numFmtId="0" fontId="46" fillId="13" borderId="29" xfId="0" applyFont="1" applyFill="1" applyBorder="1" applyAlignment="1">
      <alignment horizontal="center" vertical="center" wrapText="1"/>
    </xf>
    <xf numFmtId="0" fontId="46" fillId="13" borderId="30" xfId="0" applyFont="1" applyFill="1" applyBorder="1" applyAlignment="1">
      <alignment horizontal="center" vertical="center" wrapText="1"/>
    </xf>
    <xf numFmtId="0" fontId="49" fillId="0" borderId="20" xfId="0" applyNumberFormat="1" applyFont="1" applyBorder="1" applyAlignment="1" applyProtection="1">
      <alignment horizontal="center" vertical="center"/>
      <protection hidden="1"/>
    </xf>
    <xf numFmtId="42" fontId="50" fillId="0" borderId="20" xfId="2" applyFont="1" applyBorder="1" applyAlignment="1" applyProtection="1">
      <alignment horizontal="center" vertical="center"/>
      <protection hidden="1"/>
    </xf>
    <xf numFmtId="0" fontId="35" fillId="4" borderId="28" xfId="0" applyFont="1" applyFill="1" applyBorder="1" applyAlignment="1">
      <alignment horizontal="left" vertical="center" wrapText="1"/>
    </xf>
    <xf numFmtId="0" fontId="35" fillId="4" borderId="29" xfId="0" applyFont="1" applyFill="1" applyBorder="1" applyAlignment="1">
      <alignment horizontal="left" vertical="center" wrapText="1"/>
    </xf>
    <xf numFmtId="0" fontId="35" fillId="4" borderId="30" xfId="0" applyFont="1" applyFill="1" applyBorder="1" applyAlignment="1">
      <alignment horizontal="left" vertical="center" wrapText="1"/>
    </xf>
    <xf numFmtId="169" fontId="49" fillId="0" borderId="34" xfId="0" applyNumberFormat="1" applyFont="1" applyBorder="1" applyAlignment="1" applyProtection="1">
      <alignment horizontal="center" vertical="center" wrapText="1"/>
      <protection hidden="1"/>
    </xf>
  </cellXfs>
  <cellStyles count="16">
    <cellStyle name="Hipervínculo" xfId="1" builtinId="8"/>
    <cellStyle name="Millares 2" xfId="6" xr:uid="{00000000-0005-0000-0000-000001000000}"/>
    <cellStyle name="Millares_FORMULARIO 4 - M-OFERENTE PPTA ECONOMICA" xfId="15" xr:uid="{00000000-0005-0000-0000-000002000000}"/>
    <cellStyle name="Moneda [0]" xfId="2" builtinId="7"/>
    <cellStyle name="Moneda 2" xfId="7" xr:uid="{00000000-0005-0000-0000-000004000000}"/>
    <cellStyle name="Moneda 2 2 2 2 2" xfId="10" xr:uid="{00000000-0005-0000-0000-000005000000}"/>
    <cellStyle name="Normal" xfId="0" builtinId="0"/>
    <cellStyle name="Normal 2" xfId="4" xr:uid="{00000000-0005-0000-0000-000007000000}"/>
    <cellStyle name="Normal 2 10 2 2" xfId="8" xr:uid="{00000000-0005-0000-0000-000008000000}"/>
    <cellStyle name="Normal 2 10 3" xfId="5" xr:uid="{00000000-0005-0000-0000-000009000000}"/>
    <cellStyle name="Normal 2 2" xfId="13" xr:uid="{00000000-0005-0000-0000-00000A000000}"/>
    <cellStyle name="Normal 3" xfId="3" xr:uid="{00000000-0005-0000-0000-00000B000000}"/>
    <cellStyle name="Normal 3 11" xfId="14" xr:uid="{00000000-0005-0000-0000-00000C000000}"/>
    <cellStyle name="Normal 3 2 2" xfId="9" xr:uid="{00000000-0005-0000-0000-00000D000000}"/>
    <cellStyle name="Porcentaje" xfId="12" builtinId="5"/>
    <cellStyle name="Porcentual 2" xfId="11" xr:uid="{00000000-0005-0000-0000-00000F000000}"/>
  </cellStyles>
  <dxfs count="127"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66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6600"/>
        </patternFill>
      </fill>
    </dxf>
    <dxf>
      <font>
        <b/>
        <i val="0"/>
        <color rgb="FFFF0000"/>
      </font>
      <fill>
        <patternFill>
          <bgColor rgb="FFFFFF66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6600"/>
      <color rgb="FFC7A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1127760</xdr:colOff>
      <xdr:row>0</xdr:row>
      <xdr:rowOff>1036320</xdr:rowOff>
    </xdr:from>
    <xdr:to>
      <xdr:col>26</xdr:col>
      <xdr:colOff>656589</xdr:colOff>
      <xdr:row>11</xdr:row>
      <xdr:rowOff>122634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24360" y="1036320"/>
          <a:ext cx="14631669" cy="82303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laneacion\Downloads\MATRIZ%20LP-DO-SRN-041-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HAB.GEN."/>
      <sheetName val="LISTAS"/>
      <sheetName val="SMLM"/>
      <sheetName val="MATRIZ LP-DO-SRN-041-2021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E4" t="str">
            <v>NA</v>
          </cell>
        </row>
        <row r="5">
          <cell r="E5">
            <v>0</v>
          </cell>
        </row>
      </sheetData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AV242"/>
  <sheetViews>
    <sheetView tabSelected="1" topLeftCell="A228" zoomScale="50" zoomScaleNormal="50" workbookViewId="0">
      <selection activeCell="C252" sqref="C252"/>
    </sheetView>
  </sheetViews>
  <sheetFormatPr baseColWidth="10" defaultRowHeight="15" x14ac:dyDescent="0.25"/>
  <cols>
    <col min="1" max="1" width="1.7109375" customWidth="1"/>
    <col min="2" max="2" width="40.85546875" customWidth="1"/>
    <col min="3" max="3" width="41.7109375" customWidth="1"/>
    <col min="4" max="4" width="30.7109375" customWidth="1"/>
    <col min="5" max="5" width="20.7109375" customWidth="1"/>
    <col min="6" max="6" width="19" customWidth="1"/>
    <col min="7" max="7" width="16.42578125" customWidth="1"/>
    <col min="8" max="8" width="24" customWidth="1"/>
    <col min="9" max="9" width="27.140625" customWidth="1"/>
    <col min="10" max="10" width="128.140625" customWidth="1"/>
    <col min="11" max="11" width="41.28515625" customWidth="1"/>
    <col min="12" max="12" width="36.7109375" customWidth="1"/>
    <col min="13" max="13" width="11.5703125" customWidth="1"/>
    <col min="14" max="14" width="23" customWidth="1"/>
    <col min="15" max="15" width="29.28515625" customWidth="1"/>
    <col min="16" max="16" width="19.140625" customWidth="1"/>
    <col min="17" max="17" width="25" customWidth="1"/>
    <col min="18" max="18" width="23.42578125" customWidth="1"/>
    <col min="19" max="19" width="128.7109375" customWidth="1"/>
    <col min="20" max="20" width="35.28515625" customWidth="1"/>
    <col min="21" max="21" width="44.140625" customWidth="1"/>
    <col min="22" max="22" width="11.5703125" customWidth="1"/>
    <col min="23" max="23" width="20.140625" customWidth="1"/>
    <col min="24" max="24" width="24.140625" customWidth="1"/>
    <col min="25" max="25" width="11.5703125" customWidth="1"/>
    <col min="26" max="26" width="34.28515625" customWidth="1"/>
    <col min="27" max="27" width="26.85546875" customWidth="1"/>
    <col min="28" max="28" width="96.42578125" customWidth="1"/>
    <col min="29" max="29" width="12.140625" customWidth="1"/>
    <col min="30" max="30" width="11.5703125" style="13" hidden="1" customWidth="1"/>
    <col min="31" max="31" width="15.28515625" style="13" hidden="1" customWidth="1"/>
    <col min="32" max="35" width="11.5703125" style="13" hidden="1" customWidth="1"/>
    <col min="36" max="44" width="0" style="13" hidden="1" customWidth="1"/>
    <col min="45" max="45" width="8.5703125" style="13" customWidth="1"/>
    <col min="46" max="47" width="11.5703125" style="13"/>
  </cols>
  <sheetData>
    <row r="1" spans="2:38" x14ac:dyDescent="0.25">
      <c r="B1" s="276" t="s">
        <v>103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8"/>
    </row>
    <row r="2" spans="2:38" ht="84" customHeight="1" x14ac:dyDescent="0.25">
      <c r="B2" s="279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</row>
    <row r="3" spans="2:38" ht="111.6" customHeight="1" x14ac:dyDescent="0.25">
      <c r="B3" s="279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1"/>
    </row>
    <row r="4" spans="2:38" ht="15.75" thickBot="1" x14ac:dyDescent="0.3">
      <c r="B4" s="282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3"/>
      <c r="Y4" s="283"/>
      <c r="Z4" s="283"/>
      <c r="AA4" s="283"/>
      <c r="AB4" s="284"/>
    </row>
    <row r="5" spans="2:38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38" ht="93" thickBot="1" x14ac:dyDescent="0.3">
      <c r="B6" s="285" t="s">
        <v>13</v>
      </c>
      <c r="C6" s="286"/>
      <c r="D6" s="286"/>
      <c r="E6" s="286"/>
      <c r="F6" s="286"/>
      <c r="G6" s="286"/>
      <c r="H6" s="286"/>
      <c r="I6" s="287"/>
      <c r="J6" s="288">
        <v>247227380</v>
      </c>
      <c r="K6" s="289"/>
      <c r="L6" s="290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D6" s="14"/>
      <c r="AE6" s="14"/>
      <c r="AF6" s="14"/>
      <c r="AG6" s="14"/>
      <c r="AH6" s="14"/>
      <c r="AI6" s="14"/>
      <c r="AJ6" s="14"/>
      <c r="AK6" s="14"/>
      <c r="AL6" s="14"/>
    </row>
    <row r="7" spans="2:38" ht="15.75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D7" s="14"/>
      <c r="AE7" s="14"/>
      <c r="AF7" s="14"/>
      <c r="AG7" s="294" t="s">
        <v>18</v>
      </c>
      <c r="AH7" s="294"/>
      <c r="AI7" s="294"/>
      <c r="AJ7" s="14"/>
      <c r="AK7" s="14"/>
      <c r="AL7" s="14"/>
    </row>
    <row r="8" spans="2:38" ht="15.75" hidden="1" thickBot="1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D8" s="14"/>
      <c r="AE8" s="14"/>
      <c r="AF8" s="14"/>
      <c r="AG8" s="14"/>
      <c r="AH8" s="14"/>
      <c r="AI8" s="14"/>
      <c r="AJ8" s="14"/>
      <c r="AK8" s="14"/>
      <c r="AL8" s="14"/>
    </row>
    <row r="9" spans="2:38" ht="175.9" hidden="1" customHeight="1" thickBot="1" x14ac:dyDescent="1.1000000000000001">
      <c r="B9" s="297" t="s">
        <v>61</v>
      </c>
      <c r="C9" s="298"/>
      <c r="D9" s="298"/>
      <c r="E9" s="298"/>
      <c r="F9" s="298"/>
      <c r="G9" s="298"/>
      <c r="H9" s="298"/>
      <c r="I9" s="298"/>
      <c r="J9" s="298"/>
      <c r="K9" s="298"/>
      <c r="L9" s="298"/>
      <c r="M9" s="298"/>
      <c r="N9" s="298"/>
      <c r="O9" s="298"/>
      <c r="P9" s="298"/>
      <c r="Q9" s="298"/>
      <c r="R9" s="298"/>
      <c r="S9" s="298"/>
      <c r="T9" s="298"/>
      <c r="U9" s="298"/>
      <c r="V9" s="299"/>
      <c r="W9" s="246" t="s">
        <v>12</v>
      </c>
      <c r="X9" s="247"/>
      <c r="Y9" s="247"/>
      <c r="Z9" s="248"/>
      <c r="AA9" s="249">
        <v>1</v>
      </c>
      <c r="AB9" s="250"/>
      <c r="AD9" s="294" t="s">
        <v>17</v>
      </c>
      <c r="AE9" s="294"/>
      <c r="AF9" s="294"/>
      <c r="AG9" s="15" t="s">
        <v>14</v>
      </c>
      <c r="AH9" s="15" t="s">
        <v>15</v>
      </c>
      <c r="AI9" s="15" t="s">
        <v>8</v>
      </c>
      <c r="AJ9" s="294" t="s">
        <v>21</v>
      </c>
      <c r="AK9" s="294"/>
      <c r="AL9" s="294"/>
    </row>
    <row r="10" spans="2:38" ht="32.25" hidden="1" x14ac:dyDescent="0.4">
      <c r="B10" s="231" t="s">
        <v>61</v>
      </c>
      <c r="C10" s="232"/>
      <c r="D10" s="232"/>
      <c r="E10" s="232"/>
      <c r="F10" s="232"/>
      <c r="G10" s="232"/>
      <c r="H10" s="232"/>
      <c r="I10" s="232"/>
      <c r="J10" s="233"/>
      <c r="K10" s="231"/>
      <c r="L10" s="232"/>
      <c r="M10" s="232"/>
      <c r="N10" s="232"/>
      <c r="O10" s="232"/>
      <c r="P10" s="232"/>
      <c r="Q10" s="232"/>
      <c r="R10" s="232"/>
      <c r="S10" s="233"/>
      <c r="T10" s="231"/>
      <c r="U10" s="232"/>
      <c r="V10" s="232"/>
      <c r="W10" s="232"/>
      <c r="X10" s="232"/>
      <c r="Y10" s="232"/>
      <c r="Z10" s="232"/>
      <c r="AA10" s="232"/>
      <c r="AB10" s="233"/>
      <c r="AD10" s="16" t="s">
        <v>14</v>
      </c>
      <c r="AE10" s="16" t="s">
        <v>15</v>
      </c>
      <c r="AF10" s="16" t="s">
        <v>8</v>
      </c>
      <c r="AG10" s="17">
        <v>0</v>
      </c>
      <c r="AH10" s="17">
        <v>0.5</v>
      </c>
      <c r="AI10" s="17">
        <v>20</v>
      </c>
      <c r="AJ10" s="18" t="s">
        <v>19</v>
      </c>
      <c r="AK10" s="18" t="s">
        <v>20</v>
      </c>
      <c r="AL10" s="18" t="s">
        <v>8</v>
      </c>
    </row>
    <row r="11" spans="2:38" ht="58.15" hidden="1" customHeight="1" x14ac:dyDescent="0.25">
      <c r="B11" s="21" t="s">
        <v>3</v>
      </c>
      <c r="C11" s="225" t="s">
        <v>4</v>
      </c>
      <c r="D11" s="226"/>
      <c r="E11" s="227"/>
      <c r="F11" s="223" t="s">
        <v>5</v>
      </c>
      <c r="G11" s="224"/>
      <c r="H11" s="223" t="s">
        <v>6</v>
      </c>
      <c r="I11" s="224"/>
      <c r="J11" s="228" t="s">
        <v>0</v>
      </c>
      <c r="K11" s="21" t="s">
        <v>3</v>
      </c>
      <c r="L11" s="225" t="s">
        <v>4</v>
      </c>
      <c r="M11" s="226"/>
      <c r="N11" s="227"/>
      <c r="O11" s="223" t="s">
        <v>5</v>
      </c>
      <c r="P11" s="224"/>
      <c r="Q11" s="223" t="s">
        <v>6</v>
      </c>
      <c r="R11" s="224"/>
      <c r="S11" s="228" t="s">
        <v>0</v>
      </c>
      <c r="T11" s="21" t="s">
        <v>3</v>
      </c>
      <c r="U11" s="225" t="s">
        <v>4</v>
      </c>
      <c r="V11" s="226"/>
      <c r="W11" s="227"/>
      <c r="X11" s="223" t="s">
        <v>5</v>
      </c>
      <c r="Y11" s="224"/>
      <c r="Z11" s="223" t="s">
        <v>6</v>
      </c>
      <c r="AA11" s="224"/>
      <c r="AB11" s="228" t="s">
        <v>0</v>
      </c>
      <c r="AD11" s="19">
        <v>0</v>
      </c>
      <c r="AE11" s="19">
        <v>3</v>
      </c>
      <c r="AF11" s="19">
        <v>60</v>
      </c>
      <c r="AG11" s="17">
        <v>0.5</v>
      </c>
      <c r="AH11" s="17">
        <v>0.75</v>
      </c>
      <c r="AI11" s="17">
        <v>25</v>
      </c>
      <c r="AJ11" s="20">
        <v>1</v>
      </c>
      <c r="AK11" s="20">
        <v>5</v>
      </c>
      <c r="AL11" s="20">
        <v>20</v>
      </c>
    </row>
    <row r="12" spans="2:38" ht="36" hidden="1" x14ac:dyDescent="0.25">
      <c r="B12" s="45" t="s">
        <v>3</v>
      </c>
      <c r="C12" s="46" t="s">
        <v>4</v>
      </c>
      <c r="D12" s="322" t="s">
        <v>8</v>
      </c>
      <c r="E12" s="323"/>
      <c r="F12" s="46" t="s">
        <v>10</v>
      </c>
      <c r="G12" s="46" t="s">
        <v>8</v>
      </c>
      <c r="H12" s="46" t="s">
        <v>9</v>
      </c>
      <c r="I12" s="46" t="s">
        <v>8</v>
      </c>
      <c r="J12" s="229"/>
      <c r="K12" s="12" t="s">
        <v>3</v>
      </c>
      <c r="L12" s="37" t="s">
        <v>4</v>
      </c>
      <c r="M12" s="320" t="s">
        <v>8</v>
      </c>
      <c r="N12" s="321"/>
      <c r="O12" s="44" t="s">
        <v>10</v>
      </c>
      <c r="P12" s="37" t="s">
        <v>8</v>
      </c>
      <c r="Q12" s="37" t="s">
        <v>9</v>
      </c>
      <c r="R12" s="37" t="s">
        <v>8</v>
      </c>
      <c r="S12" s="229"/>
      <c r="T12" s="45" t="s">
        <v>3</v>
      </c>
      <c r="U12" s="39" t="s">
        <v>4</v>
      </c>
      <c r="V12" s="295" t="s">
        <v>8</v>
      </c>
      <c r="W12" s="296"/>
      <c r="X12" s="46" t="s">
        <v>10</v>
      </c>
      <c r="Y12" s="39" t="s">
        <v>8</v>
      </c>
      <c r="Z12" s="39" t="s">
        <v>9</v>
      </c>
      <c r="AA12" s="39" t="s">
        <v>8</v>
      </c>
      <c r="AB12" s="229"/>
      <c r="AD12" s="19">
        <v>3</v>
      </c>
      <c r="AE12" s="19">
        <v>6</v>
      </c>
      <c r="AF12" s="19">
        <v>80</v>
      </c>
      <c r="AG12" s="17">
        <v>0.75</v>
      </c>
      <c r="AH12" s="17">
        <v>1</v>
      </c>
      <c r="AI12" s="17">
        <v>30</v>
      </c>
      <c r="AJ12" s="20">
        <v>6</v>
      </c>
      <c r="AK12" s="20">
        <v>10</v>
      </c>
      <c r="AL12" s="20">
        <v>30</v>
      </c>
    </row>
    <row r="13" spans="2:38" ht="45" hidden="1" customHeight="1" x14ac:dyDescent="0.25">
      <c r="B13" s="40">
        <v>14786895892</v>
      </c>
      <c r="C13" s="114">
        <f>274000000
/J6</f>
        <v>1.1082914845434999</v>
      </c>
      <c r="D13" s="318">
        <f>IF(AND(C13&gt;0,C13&lt;=$AE$11),$AF$11,IF(AND(C13&gt;$AD$12,C13&lt;=$AE$12),$AF$12,IF(AND(C13&gt;$AD$13,C13&lt;=$AE$13),$AF$13,IF(AND(C13&gt;$AD$14),$AF$14))))</f>
        <v>60</v>
      </c>
      <c r="E13" s="319"/>
      <c r="F13" s="39">
        <v>3.81</v>
      </c>
      <c r="G13" s="66">
        <f>IF(AND(F13&gt;$AG$10,F13&lt;=$AH$10),$AI$10,IF(AND(F13&gt;$AG$11,F13&lt;=$AH$11),$AI$11,IF(AND(F13&gt;$AG$12,F13&lt;=$AH$12),$AI$12,IF(AND(F13&gt;$AG$13,F13&lt;=$AH$13),$AI$13,IF(AND(F13&gt;$AG$14),$AI$14)))))</f>
        <v>40</v>
      </c>
      <c r="H13" s="39">
        <v>3</v>
      </c>
      <c r="I13" s="66">
        <f>IF(AND(H13&gt;0,H13&lt;=$AK$11),$AL$11,IF(AND(H13&gt;$AK$11,H13&lt;=$AK$12),$AL$12,IF(AND(H13&gt;$AK$12),$AL$13)))</f>
        <v>20</v>
      </c>
      <c r="J13" s="230"/>
      <c r="K13" s="38">
        <v>0</v>
      </c>
      <c r="L13" s="67">
        <f>0/(J6*45%)</f>
        <v>0</v>
      </c>
      <c r="M13" s="318" t="b">
        <f>IF(AND(L13&gt;0,L13&lt;=$AE$11),$AF$11,IF(AND(L13&gt;$AD$12,L13&lt;=$AE$12),$AF$12,IF(AND(L13&gt;$AD$13,L13&lt;=$AE$13),$AF$13,IF(AND(L13&gt;$AD$14),$AF$14))))</f>
        <v>0</v>
      </c>
      <c r="N13" s="319"/>
      <c r="O13" s="39">
        <v>0</v>
      </c>
      <c r="P13" s="66" t="b">
        <f>IF(AND(O13&gt;$AG$10,O13&lt;=$AH$10),$AI$10,IF(AND(O13&gt;$AG$11,O13&lt;=$AH$11),$AI$11,IF(AND(O13&gt;$AG$12,O13&lt;=$AH$12),$AI$12,IF(AND(O13&gt;$AG$13,O13&lt;=$AH$13),$AI$13,IF(AND(O13&gt;$AG$14),$AI$14)))))</f>
        <v>0</v>
      </c>
      <c r="Q13" s="39">
        <v>0</v>
      </c>
      <c r="R13" s="113" t="b">
        <f>IF(AND(Q13&gt;0,Q13&lt;=$AK$11),$AL$11,IF(AND(Q13&gt;$AK$11,Q13&lt;=$AK$12),$AL$12,IF(AND(Q13&gt;$AK$12),$AL$13)))</f>
        <v>0</v>
      </c>
      <c r="S13" s="230"/>
      <c r="T13" s="38">
        <v>0</v>
      </c>
      <c r="U13" s="67">
        <f>0/(J6*50%)</f>
        <v>0</v>
      </c>
      <c r="V13" s="318" t="b">
        <f>IF(AND(U13&gt;0,U13&lt;=$AE$11),$AF$11,IF(AND(U13&gt;$AD$12,U13&lt;=$AE$12),$AF$12,IF(AND(U13&gt;$AD$13,U13&lt;=$AE$13),$AF$13,IF(AND(U13&gt;$AD$14),$AF$14))))</f>
        <v>0</v>
      </c>
      <c r="W13" s="319"/>
      <c r="X13" s="39">
        <v>0</v>
      </c>
      <c r="Y13" s="66" t="b">
        <f>IF(AND(X13&gt;$AG$10,X13&lt;=$AH$10),$AI$10,IF(AND(X13&gt;$AG$11,X13&lt;=$AH$11),$AI$11,IF(AND(X13&gt;$AG$12,X13&lt;=$AH$12),$AI$12,IF(AND(X13&gt;$AG$13,X13&lt;=$AH$13),$AI$13,IF(AND(X13&gt;$AG$14),$AI$14)))))</f>
        <v>0</v>
      </c>
      <c r="Z13" s="39">
        <v>0</v>
      </c>
      <c r="AA13" s="66" t="b">
        <f>IF(AND(Z13&gt;0,Z13&lt;=$AK$11),$AL$11,IF(AND(Z13&gt;$AK$11,Z13&lt;=$AK$12),$AL$12,IF(AND(Z13&gt;$AK$12),$AL$13)))</f>
        <v>0</v>
      </c>
      <c r="AB13" s="230"/>
      <c r="AD13" s="19">
        <v>6</v>
      </c>
      <c r="AE13" s="19">
        <v>10</v>
      </c>
      <c r="AF13" s="19">
        <v>100</v>
      </c>
      <c r="AG13" s="17">
        <v>1</v>
      </c>
      <c r="AH13" s="17">
        <v>1.5</v>
      </c>
      <c r="AI13" s="17">
        <v>35</v>
      </c>
      <c r="AJ13" s="20">
        <v>11</v>
      </c>
      <c r="AK13" s="20" t="s">
        <v>16</v>
      </c>
      <c r="AL13" s="20">
        <v>40</v>
      </c>
    </row>
    <row r="14" spans="2:38" ht="157.15" hidden="1" customHeight="1" thickBot="1" x14ac:dyDescent="0.3">
      <c r="B14" s="22" t="s">
        <v>11</v>
      </c>
      <c r="C14" s="68">
        <f>B13*((D13+I13+G13)/100)-J30</f>
        <v>17677518695.999996</v>
      </c>
      <c r="D14" s="315" t="str">
        <f>IF(C14&gt;=$J$6,"CUMPLE","NO CUMPLE")</f>
        <v>CUMPLE</v>
      </c>
      <c r="E14" s="316"/>
      <c r="F14" s="316"/>
      <c r="G14" s="316"/>
      <c r="H14" s="316"/>
      <c r="I14" s="317"/>
      <c r="J14" s="42" t="s">
        <v>63</v>
      </c>
      <c r="K14" s="22" t="s">
        <v>11</v>
      </c>
      <c r="L14" s="68">
        <f>K13*((M13+R13+P13)/100)-S30</f>
        <v>0</v>
      </c>
      <c r="M14" s="312" t="str">
        <f>IF(L14&gt;=$J$6,"CUMPLE",IF(AND(L14&lt;$J$6,L14&gt;0),"NO CUMPLE",IF(L14=0,"NO APLICA")))</f>
        <v>NO APLICA</v>
      </c>
      <c r="N14" s="313"/>
      <c r="O14" s="313"/>
      <c r="P14" s="313"/>
      <c r="Q14" s="313"/>
      <c r="R14" s="314"/>
      <c r="S14" s="82"/>
      <c r="T14" s="24" t="s">
        <v>11</v>
      </c>
      <c r="U14" s="69">
        <f>T13*((V13+AA13+Y13)/100)-AB30</f>
        <v>0</v>
      </c>
      <c r="V14" s="312" t="str">
        <f>IF(U14&gt;=$J$6,"CUMPLE",IF(AND(U14&lt;$J$6,U14&gt;0),"NO CUMPLE",IF(U14=0,"NO APLICA")))</f>
        <v>NO APLICA</v>
      </c>
      <c r="W14" s="313"/>
      <c r="X14" s="313"/>
      <c r="Y14" s="313"/>
      <c r="Z14" s="313"/>
      <c r="AA14" s="314"/>
      <c r="AB14" s="43"/>
      <c r="AD14" s="19">
        <v>10</v>
      </c>
      <c r="AE14" s="19" t="s">
        <v>16</v>
      </c>
      <c r="AF14" s="19">
        <v>120</v>
      </c>
      <c r="AG14" s="17">
        <v>1.5</v>
      </c>
      <c r="AH14" s="17" t="s">
        <v>16</v>
      </c>
      <c r="AI14" s="17">
        <v>40</v>
      </c>
      <c r="AJ14" s="14"/>
      <c r="AK14" s="14"/>
      <c r="AL14" s="14"/>
    </row>
    <row r="15" spans="2:38" ht="3.6" hidden="1" customHeight="1" x14ac:dyDescent="0.25">
      <c r="B15" s="1"/>
      <c r="C15" s="2"/>
      <c r="D15" s="2"/>
      <c r="E15" s="1"/>
      <c r="F15" s="1"/>
      <c r="G15" s="2"/>
      <c r="H15" s="2"/>
      <c r="I15" s="2"/>
      <c r="J15" s="1"/>
      <c r="T15" s="4"/>
      <c r="U15" s="5"/>
      <c r="V15" s="5"/>
      <c r="W15" s="5"/>
      <c r="X15" s="5"/>
      <c r="Y15" s="5"/>
      <c r="Z15" s="5"/>
      <c r="AA15" s="5"/>
      <c r="AB15" s="6"/>
      <c r="AD15" s="14"/>
      <c r="AE15" s="14"/>
      <c r="AF15" s="14"/>
      <c r="AG15" s="14"/>
      <c r="AH15" s="14"/>
      <c r="AI15" s="14"/>
      <c r="AJ15" s="14"/>
      <c r="AK15" s="14"/>
      <c r="AL15" s="14"/>
    </row>
    <row r="16" spans="2:38" ht="7.9" hidden="1" customHeight="1" thickBot="1" x14ac:dyDescent="0.3">
      <c r="B16" s="1"/>
      <c r="C16" s="3"/>
      <c r="D16" s="3"/>
      <c r="E16" s="1"/>
      <c r="F16" s="1"/>
      <c r="G16" s="2"/>
      <c r="H16" s="2"/>
      <c r="I16" s="2"/>
      <c r="J16" s="1"/>
      <c r="T16" s="7"/>
      <c r="U16" s="8"/>
      <c r="V16" s="8"/>
      <c r="W16" s="8"/>
      <c r="X16" s="8"/>
      <c r="Y16" s="8"/>
      <c r="Z16" s="8"/>
      <c r="AA16" s="8"/>
      <c r="AB16" s="9"/>
      <c r="AD16" s="14"/>
      <c r="AE16" s="14"/>
      <c r="AF16" s="14"/>
      <c r="AG16" s="14"/>
      <c r="AH16" s="14"/>
      <c r="AI16" s="14"/>
      <c r="AJ16" s="14"/>
      <c r="AK16" s="14"/>
      <c r="AL16" s="14"/>
    </row>
    <row r="17" spans="2:38" ht="92.45" hidden="1" customHeight="1" thickBot="1" x14ac:dyDescent="0.3">
      <c r="B17" s="309" t="s">
        <v>7</v>
      </c>
      <c r="C17" s="310"/>
      <c r="D17" s="310"/>
      <c r="E17" s="310"/>
      <c r="F17" s="310"/>
      <c r="G17" s="310"/>
      <c r="H17" s="311"/>
      <c r="I17" s="307">
        <f>C14+L14+U14</f>
        <v>17677518695.999996</v>
      </c>
      <c r="J17" s="308"/>
      <c r="K17" s="304" t="str">
        <f>IF(I17&gt;=$J$6,"CUMPLE","NO CUMPLE")</f>
        <v>CUMPLE</v>
      </c>
      <c r="L17" s="305"/>
      <c r="M17" s="305"/>
      <c r="N17" s="305"/>
      <c r="O17" s="305"/>
      <c r="P17" s="305"/>
      <c r="Q17" s="305"/>
      <c r="R17" s="305"/>
      <c r="S17" s="305"/>
      <c r="T17" s="305"/>
      <c r="U17" s="305"/>
      <c r="V17" s="305"/>
      <c r="W17" s="305"/>
      <c r="X17" s="305"/>
      <c r="Y17" s="305"/>
      <c r="Z17" s="305"/>
      <c r="AA17" s="305"/>
      <c r="AB17" s="306"/>
      <c r="AD17" s="14"/>
      <c r="AE17" s="14"/>
      <c r="AF17" s="14"/>
      <c r="AG17" s="14"/>
      <c r="AH17" s="14"/>
      <c r="AI17" s="14"/>
      <c r="AJ17" s="14"/>
      <c r="AK17" s="14"/>
      <c r="AL17" s="14"/>
    </row>
    <row r="18" spans="2:38" ht="39.6" hidden="1" customHeight="1" thickBot="1" x14ac:dyDescent="0.3">
      <c r="B18" s="301" t="s">
        <v>22</v>
      </c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  <c r="O18" s="302"/>
      <c r="P18" s="302"/>
      <c r="Q18" s="302"/>
      <c r="R18" s="302"/>
      <c r="S18" s="302"/>
      <c r="T18" s="302"/>
      <c r="U18" s="302"/>
      <c r="V18" s="302"/>
      <c r="W18" s="302"/>
      <c r="X18" s="302"/>
      <c r="Y18" s="302"/>
      <c r="Z18" s="302"/>
      <c r="AA18" s="302"/>
      <c r="AB18" s="303"/>
    </row>
    <row r="19" spans="2:38" ht="76.900000000000006" hidden="1" customHeight="1" x14ac:dyDescent="0.25">
      <c r="B19" s="30" t="s">
        <v>1</v>
      </c>
      <c r="C19" s="31" t="s">
        <v>23</v>
      </c>
      <c r="D19" s="31" t="s">
        <v>62</v>
      </c>
      <c r="E19" s="31" t="s">
        <v>25</v>
      </c>
      <c r="F19" s="257" t="s">
        <v>28</v>
      </c>
      <c r="G19" s="300"/>
      <c r="H19" s="258"/>
      <c r="I19" s="31" t="s">
        <v>26</v>
      </c>
      <c r="J19" s="33" t="s">
        <v>27</v>
      </c>
      <c r="K19" s="30" t="s">
        <v>1</v>
      </c>
      <c r="L19" s="31" t="s">
        <v>23</v>
      </c>
      <c r="M19" s="31" t="s">
        <v>24</v>
      </c>
      <c r="N19" s="31" t="s">
        <v>25</v>
      </c>
      <c r="O19" s="257" t="s">
        <v>28</v>
      </c>
      <c r="P19" s="300"/>
      <c r="Q19" s="258"/>
      <c r="R19" s="31" t="s">
        <v>26</v>
      </c>
      <c r="S19" s="33" t="s">
        <v>27</v>
      </c>
      <c r="T19" s="30" t="s">
        <v>1</v>
      </c>
      <c r="U19" s="31" t="s">
        <v>23</v>
      </c>
      <c r="V19" s="31" t="s">
        <v>24</v>
      </c>
      <c r="W19" s="63" t="s">
        <v>25</v>
      </c>
      <c r="X19" s="257" t="s">
        <v>28</v>
      </c>
      <c r="Y19" s="300"/>
      <c r="Z19" s="258"/>
      <c r="AA19" s="31" t="s">
        <v>26</v>
      </c>
      <c r="AB19" s="33" t="s">
        <v>27</v>
      </c>
    </row>
    <row r="20" spans="2:38" ht="19.5" hidden="1" x14ac:dyDescent="0.25">
      <c r="B20" s="34">
        <v>1</v>
      </c>
      <c r="C20" s="166">
        <v>125168202</v>
      </c>
      <c r="D20" s="167">
        <v>2</v>
      </c>
      <c r="E20" s="167">
        <v>32</v>
      </c>
      <c r="F20" s="324">
        <v>1</v>
      </c>
      <c r="G20" s="325"/>
      <c r="H20" s="326"/>
      <c r="I20" s="168">
        <f>C20/60</f>
        <v>2086136.7</v>
      </c>
      <c r="J20" s="169">
        <f>I20*F20*E20</f>
        <v>66756374.399999999</v>
      </c>
      <c r="K20" s="34">
        <v>1</v>
      </c>
      <c r="L20" s="35"/>
      <c r="M20" s="35"/>
      <c r="N20" s="35"/>
      <c r="O20" s="234"/>
      <c r="P20" s="235"/>
      <c r="Q20" s="236"/>
      <c r="R20" s="35"/>
      <c r="S20" s="36"/>
      <c r="T20" s="34">
        <v>1</v>
      </c>
      <c r="U20" s="35"/>
      <c r="V20" s="35"/>
      <c r="W20" s="35"/>
      <c r="X20" s="234"/>
      <c r="Y20" s="235"/>
      <c r="Z20" s="236"/>
      <c r="AA20" s="35"/>
      <c r="AB20" s="36"/>
    </row>
    <row r="21" spans="2:38" ht="19.5" hidden="1" x14ac:dyDescent="0.25">
      <c r="B21" s="34">
        <v>2</v>
      </c>
      <c r="C21" s="35"/>
      <c r="D21" s="35"/>
      <c r="E21" s="35"/>
      <c r="F21" s="234"/>
      <c r="G21" s="235"/>
      <c r="H21" s="236"/>
      <c r="I21" s="35"/>
      <c r="J21" s="36"/>
      <c r="K21" s="34">
        <v>2</v>
      </c>
      <c r="L21" s="35"/>
      <c r="M21" s="35"/>
      <c r="N21" s="35"/>
      <c r="O21" s="234"/>
      <c r="P21" s="235"/>
      <c r="Q21" s="236"/>
      <c r="R21" s="35"/>
      <c r="S21" s="36"/>
      <c r="T21" s="34">
        <v>2</v>
      </c>
      <c r="U21" s="35"/>
      <c r="V21" s="35"/>
      <c r="W21" s="35"/>
      <c r="X21" s="234"/>
      <c r="Y21" s="235"/>
      <c r="Z21" s="236"/>
      <c r="AA21" s="35"/>
      <c r="AB21" s="36"/>
    </row>
    <row r="22" spans="2:38" ht="19.5" hidden="1" x14ac:dyDescent="0.25">
      <c r="B22" s="34">
        <v>3</v>
      </c>
      <c r="C22" s="35"/>
      <c r="D22" s="35"/>
      <c r="E22" s="35"/>
      <c r="F22" s="234"/>
      <c r="G22" s="235"/>
      <c r="H22" s="236"/>
      <c r="I22" s="35"/>
      <c r="J22" s="36"/>
      <c r="K22" s="34">
        <v>3</v>
      </c>
      <c r="L22" s="35"/>
      <c r="M22" s="35"/>
      <c r="N22" s="35"/>
      <c r="O22" s="234"/>
      <c r="P22" s="235"/>
      <c r="Q22" s="236"/>
      <c r="R22" s="35"/>
      <c r="S22" s="36"/>
      <c r="T22" s="34">
        <v>3</v>
      </c>
      <c r="U22" s="35"/>
      <c r="V22" s="35"/>
      <c r="W22" s="35"/>
      <c r="X22" s="234"/>
      <c r="Y22" s="235"/>
      <c r="Z22" s="236"/>
      <c r="AA22" s="35"/>
      <c r="AB22" s="36"/>
    </row>
    <row r="23" spans="2:38" ht="19.5" hidden="1" x14ac:dyDescent="0.25">
      <c r="B23" s="34">
        <v>4</v>
      </c>
      <c r="C23" s="35"/>
      <c r="D23" s="35"/>
      <c r="E23" s="35"/>
      <c r="F23" s="234"/>
      <c r="G23" s="235"/>
      <c r="H23" s="236"/>
      <c r="I23" s="35"/>
      <c r="J23" s="64"/>
      <c r="K23" s="34">
        <v>4</v>
      </c>
      <c r="L23" s="35"/>
      <c r="M23" s="35"/>
      <c r="N23" s="35"/>
      <c r="O23" s="234"/>
      <c r="P23" s="235"/>
      <c r="Q23" s="236"/>
      <c r="R23" s="35"/>
      <c r="S23" s="36"/>
      <c r="T23" s="34">
        <v>4</v>
      </c>
      <c r="U23" s="35"/>
      <c r="V23" s="35"/>
      <c r="W23" s="35"/>
      <c r="X23" s="234"/>
      <c r="Y23" s="235"/>
      <c r="Z23" s="236"/>
      <c r="AA23" s="35"/>
      <c r="AB23" s="36"/>
    </row>
    <row r="24" spans="2:38" ht="19.5" hidden="1" x14ac:dyDescent="0.25">
      <c r="B24" s="34">
        <v>5</v>
      </c>
      <c r="C24" s="35"/>
      <c r="D24" s="35"/>
      <c r="E24" s="35"/>
      <c r="F24" s="234"/>
      <c r="G24" s="235"/>
      <c r="H24" s="236"/>
      <c r="I24" s="35"/>
      <c r="J24" s="36"/>
      <c r="K24" s="34">
        <v>5</v>
      </c>
      <c r="L24" s="35"/>
      <c r="M24" s="35"/>
      <c r="N24" s="35"/>
      <c r="O24" s="234"/>
      <c r="P24" s="235"/>
      <c r="Q24" s="236"/>
      <c r="R24" s="35"/>
      <c r="S24" s="36"/>
      <c r="T24" s="34">
        <v>5</v>
      </c>
      <c r="U24" s="35"/>
      <c r="V24" s="35"/>
      <c r="W24" s="35"/>
      <c r="X24" s="234"/>
      <c r="Y24" s="235"/>
      <c r="Z24" s="236"/>
      <c r="AA24" s="35"/>
      <c r="AB24" s="36"/>
    </row>
    <row r="25" spans="2:38" ht="19.5" hidden="1" x14ac:dyDescent="0.25">
      <c r="B25" s="34">
        <v>6</v>
      </c>
      <c r="C25" s="35"/>
      <c r="D25" s="35"/>
      <c r="E25" s="35"/>
      <c r="F25" s="234"/>
      <c r="G25" s="235"/>
      <c r="H25" s="236"/>
      <c r="I25" s="35"/>
      <c r="J25" s="36"/>
      <c r="K25" s="34">
        <v>6</v>
      </c>
      <c r="L25" s="35"/>
      <c r="M25" s="35"/>
      <c r="N25" s="35"/>
      <c r="O25" s="234"/>
      <c r="P25" s="235"/>
      <c r="Q25" s="236"/>
      <c r="R25" s="35"/>
      <c r="S25" s="36"/>
      <c r="T25" s="34">
        <v>6</v>
      </c>
      <c r="U25" s="35"/>
      <c r="V25" s="35"/>
      <c r="W25" s="35"/>
      <c r="X25" s="234"/>
      <c r="Y25" s="235"/>
      <c r="Z25" s="236"/>
      <c r="AA25" s="35"/>
      <c r="AB25" s="36"/>
    </row>
    <row r="26" spans="2:38" ht="19.5" hidden="1" x14ac:dyDescent="0.25">
      <c r="B26" s="34">
        <v>7</v>
      </c>
      <c r="C26" s="35"/>
      <c r="D26" s="35"/>
      <c r="E26" s="35"/>
      <c r="F26" s="234"/>
      <c r="G26" s="235"/>
      <c r="H26" s="236"/>
      <c r="I26" s="35"/>
      <c r="J26" s="36"/>
      <c r="K26" s="34">
        <v>7</v>
      </c>
      <c r="L26" s="35"/>
      <c r="M26" s="35"/>
      <c r="N26" s="35"/>
      <c r="O26" s="234"/>
      <c r="P26" s="235"/>
      <c r="Q26" s="236"/>
      <c r="R26" s="35"/>
      <c r="S26" s="36"/>
      <c r="T26" s="34">
        <v>7</v>
      </c>
      <c r="U26" s="35"/>
      <c r="V26" s="35"/>
      <c r="W26" s="35"/>
      <c r="X26" s="234"/>
      <c r="Y26" s="235"/>
      <c r="Z26" s="236"/>
      <c r="AA26" s="35"/>
      <c r="AB26" s="36"/>
    </row>
    <row r="27" spans="2:38" ht="19.5" hidden="1" x14ac:dyDescent="0.25">
      <c r="B27" s="34">
        <v>8</v>
      </c>
      <c r="C27" s="35"/>
      <c r="D27" s="35"/>
      <c r="E27" s="35"/>
      <c r="F27" s="234"/>
      <c r="G27" s="235"/>
      <c r="H27" s="236"/>
      <c r="I27" s="35"/>
      <c r="J27" s="36"/>
      <c r="K27" s="34">
        <v>8</v>
      </c>
      <c r="L27" s="35"/>
      <c r="M27" s="35"/>
      <c r="N27" s="35"/>
      <c r="O27" s="234"/>
      <c r="P27" s="235"/>
      <c r="Q27" s="236"/>
      <c r="R27" s="35"/>
      <c r="S27" s="36"/>
      <c r="T27" s="34">
        <v>8</v>
      </c>
      <c r="U27" s="35"/>
      <c r="V27" s="35"/>
      <c r="W27" s="35"/>
      <c r="X27" s="234"/>
      <c r="Y27" s="235"/>
      <c r="Z27" s="236"/>
      <c r="AA27" s="35"/>
      <c r="AB27" s="36"/>
    </row>
    <row r="28" spans="2:38" ht="19.5" hidden="1" x14ac:dyDescent="0.25">
      <c r="B28" s="34">
        <v>9</v>
      </c>
      <c r="C28" s="35"/>
      <c r="D28" s="35"/>
      <c r="E28" s="35"/>
      <c r="F28" s="234"/>
      <c r="G28" s="235"/>
      <c r="H28" s="236"/>
      <c r="I28" s="35"/>
      <c r="J28" s="36"/>
      <c r="K28" s="34">
        <v>9</v>
      </c>
      <c r="L28" s="35"/>
      <c r="M28" s="35"/>
      <c r="N28" s="35"/>
      <c r="O28" s="234"/>
      <c r="P28" s="235"/>
      <c r="Q28" s="236"/>
      <c r="R28" s="35"/>
      <c r="S28" s="36"/>
      <c r="T28" s="34">
        <v>9</v>
      </c>
      <c r="U28" s="35"/>
      <c r="V28" s="35"/>
      <c r="W28" s="35"/>
      <c r="X28" s="234"/>
      <c r="Y28" s="235"/>
      <c r="Z28" s="236"/>
      <c r="AA28" s="35"/>
      <c r="AB28" s="36"/>
    </row>
    <row r="29" spans="2:38" ht="20.25" hidden="1" thickBot="1" x14ac:dyDescent="0.3">
      <c r="B29" s="34">
        <v>10</v>
      </c>
      <c r="C29" s="35"/>
      <c r="D29" s="35"/>
      <c r="E29" s="35"/>
      <c r="F29" s="234"/>
      <c r="G29" s="235"/>
      <c r="H29" s="236"/>
      <c r="I29" s="35"/>
      <c r="J29" s="36"/>
      <c r="K29" s="34">
        <v>10</v>
      </c>
      <c r="L29" s="35"/>
      <c r="M29" s="35"/>
      <c r="N29" s="35"/>
      <c r="O29" s="234"/>
      <c r="P29" s="235"/>
      <c r="Q29" s="236"/>
      <c r="R29" s="35"/>
      <c r="S29" s="36"/>
      <c r="T29" s="34">
        <v>10</v>
      </c>
      <c r="U29" s="35"/>
      <c r="V29" s="35"/>
      <c r="W29" s="35"/>
      <c r="X29" s="234"/>
      <c r="Y29" s="235"/>
      <c r="Z29" s="236"/>
      <c r="AA29" s="35"/>
      <c r="AB29" s="36"/>
    </row>
    <row r="30" spans="2:38" ht="23.25" hidden="1" thickBot="1" x14ac:dyDescent="0.35">
      <c r="B30" s="254" t="s">
        <v>29</v>
      </c>
      <c r="C30" s="255"/>
      <c r="D30" s="255"/>
      <c r="E30" s="255"/>
      <c r="F30" s="255"/>
      <c r="G30" s="255"/>
      <c r="H30" s="255"/>
      <c r="I30" s="256"/>
      <c r="J30" s="70">
        <f>SUM(J20:J29)</f>
        <v>66756374.399999999</v>
      </c>
      <c r="K30" s="254" t="s">
        <v>29</v>
      </c>
      <c r="L30" s="255"/>
      <c r="M30" s="255"/>
      <c r="N30" s="255"/>
      <c r="O30" s="255"/>
      <c r="P30" s="255"/>
      <c r="Q30" s="255"/>
      <c r="R30" s="256"/>
      <c r="S30" s="70">
        <f>SUM(S20:S29)</f>
        <v>0</v>
      </c>
      <c r="T30" s="254" t="s">
        <v>29</v>
      </c>
      <c r="U30" s="255"/>
      <c r="V30" s="255"/>
      <c r="W30" s="255"/>
      <c r="X30" s="255"/>
      <c r="Y30" s="255"/>
      <c r="Z30" s="255"/>
      <c r="AA30" s="256"/>
      <c r="AB30" s="70">
        <f>SUM(AB20:AB29)</f>
        <v>0</v>
      </c>
    </row>
    <row r="31" spans="2:38" ht="54.6" hidden="1" customHeight="1" thickBot="1" x14ac:dyDescent="0.3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2:38" ht="88.15" hidden="1" customHeight="1" thickBot="1" x14ac:dyDescent="1.1000000000000001">
      <c r="B32" s="246" t="s">
        <v>64</v>
      </c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8"/>
      <c r="W32" s="246" t="s">
        <v>12</v>
      </c>
      <c r="X32" s="247"/>
      <c r="Y32" s="247"/>
      <c r="Z32" s="248"/>
      <c r="AA32" s="249">
        <v>2</v>
      </c>
      <c r="AB32" s="250"/>
    </row>
    <row r="33" spans="2:48" ht="31.9" hidden="1" customHeight="1" x14ac:dyDescent="0.4">
      <c r="B33" s="231" t="s">
        <v>65</v>
      </c>
      <c r="C33" s="232"/>
      <c r="D33" s="232"/>
      <c r="E33" s="232"/>
      <c r="F33" s="232"/>
      <c r="G33" s="232"/>
      <c r="H33" s="232"/>
      <c r="I33" s="232"/>
      <c r="J33" s="233"/>
      <c r="K33" s="251" t="s">
        <v>66</v>
      </c>
      <c r="L33" s="252"/>
      <c r="M33" s="252"/>
      <c r="N33" s="252"/>
      <c r="O33" s="252"/>
      <c r="P33" s="252"/>
      <c r="Q33" s="252"/>
      <c r="R33" s="252"/>
      <c r="S33" s="253"/>
      <c r="T33" s="231"/>
      <c r="U33" s="232"/>
      <c r="V33" s="232"/>
      <c r="W33" s="232"/>
      <c r="X33" s="232"/>
      <c r="Y33" s="232"/>
      <c r="Z33" s="232"/>
      <c r="AA33" s="232"/>
      <c r="AB33" s="233"/>
    </row>
    <row r="34" spans="2:48" ht="61.15" hidden="1" customHeight="1" x14ac:dyDescent="0.25">
      <c r="B34" s="21" t="s">
        <v>3</v>
      </c>
      <c r="C34" s="225" t="s">
        <v>4</v>
      </c>
      <c r="D34" s="226"/>
      <c r="E34" s="227"/>
      <c r="F34" s="223" t="s">
        <v>5</v>
      </c>
      <c r="G34" s="224"/>
      <c r="H34" s="223" t="s">
        <v>6</v>
      </c>
      <c r="I34" s="224"/>
      <c r="J34" s="327" t="s">
        <v>0</v>
      </c>
      <c r="K34" s="21" t="s">
        <v>3</v>
      </c>
      <c r="L34" s="225" t="s">
        <v>4</v>
      </c>
      <c r="M34" s="226"/>
      <c r="N34" s="227"/>
      <c r="O34" s="223" t="s">
        <v>5</v>
      </c>
      <c r="P34" s="224"/>
      <c r="Q34" s="223" t="s">
        <v>6</v>
      </c>
      <c r="R34" s="224"/>
      <c r="S34" s="327" t="s">
        <v>0</v>
      </c>
      <c r="T34" s="21" t="s">
        <v>3</v>
      </c>
      <c r="U34" s="225" t="s">
        <v>4</v>
      </c>
      <c r="V34" s="226"/>
      <c r="W34" s="227"/>
      <c r="X34" s="223" t="s">
        <v>5</v>
      </c>
      <c r="Y34" s="224"/>
      <c r="Z34" s="223" t="s">
        <v>6</v>
      </c>
      <c r="AA34" s="224"/>
      <c r="AB34" s="291" t="s">
        <v>0</v>
      </c>
    </row>
    <row r="35" spans="2:48" ht="39" hidden="1" x14ac:dyDescent="0.25">
      <c r="B35" s="53" t="s">
        <v>3</v>
      </c>
      <c r="C35" s="129" t="s">
        <v>4</v>
      </c>
      <c r="D35" s="261" t="s">
        <v>8</v>
      </c>
      <c r="E35" s="262"/>
      <c r="F35" s="120" t="s">
        <v>10</v>
      </c>
      <c r="G35" s="129" t="s">
        <v>8</v>
      </c>
      <c r="H35" s="120" t="s">
        <v>9</v>
      </c>
      <c r="I35" s="129" t="s">
        <v>8</v>
      </c>
      <c r="J35" s="328"/>
      <c r="K35" s="53" t="s">
        <v>3</v>
      </c>
      <c r="L35" s="129" t="s">
        <v>4</v>
      </c>
      <c r="M35" s="261" t="s">
        <v>8</v>
      </c>
      <c r="N35" s="262"/>
      <c r="O35" s="120" t="s">
        <v>10</v>
      </c>
      <c r="P35" s="120" t="s">
        <v>8</v>
      </c>
      <c r="Q35" s="129" t="s">
        <v>9</v>
      </c>
      <c r="R35" s="129" t="s">
        <v>8</v>
      </c>
      <c r="S35" s="328"/>
      <c r="T35" s="12" t="s">
        <v>3</v>
      </c>
      <c r="U35" s="121" t="s">
        <v>4</v>
      </c>
      <c r="V35" s="242" t="s">
        <v>8</v>
      </c>
      <c r="W35" s="243"/>
      <c r="X35" s="11" t="s">
        <v>10</v>
      </c>
      <c r="Y35" s="121" t="s">
        <v>8</v>
      </c>
      <c r="Z35" s="121" t="s">
        <v>9</v>
      </c>
      <c r="AA35" s="121" t="s">
        <v>8</v>
      </c>
      <c r="AB35" s="292"/>
    </row>
    <row r="36" spans="2:48" ht="19.149999999999999" hidden="1" customHeight="1" x14ac:dyDescent="0.25">
      <c r="B36" s="40">
        <v>2015112977</v>
      </c>
      <c r="C36" s="65">
        <f>6321103600/($J$6*95%)</f>
        <v>26.913658443324096</v>
      </c>
      <c r="D36" s="266">
        <f>IF(AND(C36&gt;0,C36&lt;=$AE$11),$AF$11,IF(AND(C36&gt;$AD$12,C36&lt;=$AE$12),$AF$12,IF(AND(C36&gt;$AD$13,C36&lt;=$AE$13),$AF$13,IF(AND(C36&gt;$AD$14),$AF$14))))</f>
        <v>120</v>
      </c>
      <c r="E36" s="267"/>
      <c r="F36" s="129">
        <v>22.5</v>
      </c>
      <c r="G36" s="130">
        <f>IF(AND(F36&gt;$AG$10,F36&lt;=$AH$10),$AI$10,IF(AND(F36&gt;$AG$11,F36&lt;=$AH$11),$AI$11,IF(AND(F36&gt;$AG$12,F36&lt;=$AH$12),$AI$12,IF(AND(F36&gt;$AG$13,F36&lt;=$AH$13),$AI$13,IF(AND(F36&gt;$AG$14),$AI$14)))))</f>
        <v>40</v>
      </c>
      <c r="H36" s="129">
        <v>1</v>
      </c>
      <c r="I36" s="130">
        <f>IF(AND(H36&gt;0,H36&lt;=$AK$11),$AL$11,IF(AND(H36&gt;$AK$11,H36&lt;=$AK$12),$AL$12,IF(AND(H36&gt;$AK$12),$AL$13)))</f>
        <v>20</v>
      </c>
      <c r="J36" s="329"/>
      <c r="K36" s="40">
        <v>518206123</v>
      </c>
      <c r="L36" s="65">
        <f>3706379000/($J$6*5%)</f>
        <v>299.83564118181408</v>
      </c>
      <c r="M36" s="266">
        <f>IF(AND(L36&gt;0,L36&lt;=$AE$11),$AF$11,IF(AND(L36&gt;$AD$12,L36&lt;=$AE$12),$AF$12,IF(AND(L36&gt;$AD$13,L36&lt;=$AE$13),$AF$13,IF(AND(L36&gt;$AD$14),$AF$14))))</f>
        <v>120</v>
      </c>
      <c r="N36" s="267"/>
      <c r="O36" s="129">
        <v>2.68</v>
      </c>
      <c r="P36" s="130">
        <f>IF(AND(O36&gt;$AG$10,O36&lt;=$AH$10),$AI$10,IF(AND(O36&gt;$AG$11,O36&lt;=$AH$11),$AI$11,IF(AND(O36&gt;$AG$12,O36&lt;=$AH$12),$AI$12,IF(AND(O36&gt;$AG$13,O36&lt;=$AH$13),$AI$13,IF(AND(O36&gt;$AG$14),$AI$14)))))</f>
        <v>40</v>
      </c>
      <c r="Q36" s="129">
        <v>1</v>
      </c>
      <c r="R36" s="130">
        <f>IF(AND(Q36&gt;0,Q36&lt;=$AK$11),$AL$11,IF(AND(Q36&gt;$AK$11,Q36&lt;=$AK$12),$AL$12,IF(AND(Q36&gt;$AK$12),$AL$13)))</f>
        <v>20</v>
      </c>
      <c r="S36" s="329"/>
      <c r="T36" s="26">
        <v>0</v>
      </c>
      <c r="U36" s="27">
        <v>0</v>
      </c>
      <c r="V36" s="244" t="b">
        <f>IF(AND(U36&gt;0,U36&lt;=$AE$11),$AF$11,IF(AND(U36&gt;$AD$12,U36&lt;=$AE$12),$AF$12,IF(AND(U36&gt;$AD$13,U36&lt;=$AE$13),$AF$13,IF(AND(U36&gt;$AD$14),$AF$14))))</f>
        <v>0</v>
      </c>
      <c r="W36" s="245"/>
      <c r="X36" s="121">
        <v>0</v>
      </c>
      <c r="Y36" s="122" t="b">
        <f>IF(AND(X36&gt;$AG$10,X36&lt;=$AH$10),$AI$10,IF(AND(X36&gt;$AG$11,X36&lt;=$AH$11),$AI$11,IF(AND(X36&gt;$AG$12,X36&lt;=$AH$12),$AI$12,IF(AND(X36&gt;$AG$13,X36&lt;=$AH$13),$AI$13,IF(AND(X36&gt;$AG$14),$AI$14)))))</f>
        <v>0</v>
      </c>
      <c r="Z36" s="121">
        <v>0</v>
      </c>
      <c r="AA36" s="122" t="b">
        <f>IF(AND(Z36&gt;0,Z36&lt;=$AK$11),$AL$11,IF(AND(Z36&gt;$AK$11,Z36&lt;=$AK$12),$AL$12,IF(AND(Z36&gt;$AK$12),$AL$13)))</f>
        <v>0</v>
      </c>
      <c r="AB36" s="293"/>
    </row>
    <row r="37" spans="2:48" ht="147.6" hidden="1" customHeight="1" thickBot="1" x14ac:dyDescent="0.3">
      <c r="B37" s="22" t="s">
        <v>11</v>
      </c>
      <c r="C37" s="68">
        <f>B36*((D36+I36+G36)/100)-J53</f>
        <v>3387888467.5999999</v>
      </c>
      <c r="D37" s="315" t="str">
        <f>IF(C37&gt;=$J$6,"CUMPLE","NO CUMPLE")</f>
        <v>CUMPLE</v>
      </c>
      <c r="E37" s="316"/>
      <c r="F37" s="316"/>
      <c r="G37" s="316"/>
      <c r="H37" s="316"/>
      <c r="I37" s="317"/>
      <c r="J37" s="23" t="s">
        <v>76</v>
      </c>
      <c r="K37" s="22" t="s">
        <v>11</v>
      </c>
      <c r="L37" s="68">
        <f>K36*((M36+R36+P36)/100)-S53</f>
        <v>890958521.39999998</v>
      </c>
      <c r="M37" s="315" t="str">
        <f>IF(L37&gt;=$J$6,"CUMPLE","NO CUMPLE")</f>
        <v>CUMPLE</v>
      </c>
      <c r="N37" s="316"/>
      <c r="O37" s="316"/>
      <c r="P37" s="316"/>
      <c r="Q37" s="316"/>
      <c r="R37" s="317"/>
      <c r="S37" s="23" t="s">
        <v>76</v>
      </c>
      <c r="T37" s="24" t="s">
        <v>11</v>
      </c>
      <c r="U37" s="76">
        <f>T36*((V36+AB36+Y36)/100)</f>
        <v>0</v>
      </c>
      <c r="V37" s="312" t="str">
        <f>IF(U37&gt;=$J$6,"CUMPLE",IF(AND(U37&lt;$J$6,U37&gt;0),"NO CUMPLE",IF(U37=0,"NO APLICA")))</f>
        <v>NO APLICA</v>
      </c>
      <c r="W37" s="313"/>
      <c r="X37" s="313"/>
      <c r="Y37" s="313"/>
      <c r="Z37" s="313"/>
      <c r="AA37" s="314"/>
      <c r="AB37" s="25"/>
    </row>
    <row r="38" spans="2:48" hidden="1" x14ac:dyDescent="0.25">
      <c r="B38" s="1"/>
      <c r="C38" s="2"/>
      <c r="D38" s="2"/>
      <c r="E38" s="1"/>
      <c r="F38" s="1"/>
      <c r="G38" s="2"/>
      <c r="H38" s="2"/>
      <c r="I38" s="2"/>
      <c r="J38" s="1"/>
      <c r="T38" s="4"/>
      <c r="U38" s="5"/>
      <c r="V38" s="5"/>
      <c r="W38" s="5"/>
      <c r="X38" s="5"/>
      <c r="Y38" s="5"/>
      <c r="Z38" s="5"/>
      <c r="AA38" s="5"/>
      <c r="AB38" s="6"/>
    </row>
    <row r="39" spans="2:48" ht="15.75" hidden="1" thickBot="1" x14ac:dyDescent="0.3">
      <c r="B39" s="1"/>
      <c r="C39" s="3"/>
      <c r="D39" s="3"/>
      <c r="E39" s="1"/>
      <c r="F39" s="1"/>
      <c r="G39" s="2"/>
      <c r="H39" s="2"/>
      <c r="I39" s="2"/>
      <c r="J39" s="1"/>
      <c r="T39" s="7"/>
      <c r="U39" s="8"/>
      <c r="V39" s="8"/>
      <c r="W39" s="8"/>
      <c r="X39" s="8"/>
      <c r="Y39" s="8"/>
      <c r="Z39" s="8"/>
      <c r="AA39" s="8"/>
      <c r="AB39" s="9"/>
    </row>
    <row r="40" spans="2:48" ht="92.45" hidden="1" customHeight="1" thickBot="1" x14ac:dyDescent="0.3">
      <c r="B40" s="330" t="s">
        <v>7</v>
      </c>
      <c r="C40" s="331"/>
      <c r="D40" s="331"/>
      <c r="E40" s="331"/>
      <c r="F40" s="331"/>
      <c r="G40" s="331"/>
      <c r="H40" s="332"/>
      <c r="I40" s="307">
        <f>C37+L37</f>
        <v>4278846989</v>
      </c>
      <c r="J40" s="308"/>
      <c r="K40" s="304" t="str">
        <f>IF(I40&gt;=$J$6,"CUMPLE","NO CUMPLE")</f>
        <v>CUMPLE</v>
      </c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6"/>
    </row>
    <row r="41" spans="2:48" ht="30.75" hidden="1" thickBot="1" x14ac:dyDescent="0.3">
      <c r="B41" s="271" t="s">
        <v>22</v>
      </c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3"/>
    </row>
    <row r="42" spans="2:48" ht="78" hidden="1" customHeight="1" x14ac:dyDescent="0.35">
      <c r="B42" s="30" t="s">
        <v>1</v>
      </c>
      <c r="C42" s="127" t="s">
        <v>23</v>
      </c>
      <c r="D42" s="127" t="s">
        <v>24</v>
      </c>
      <c r="E42" s="52" t="s">
        <v>31</v>
      </c>
      <c r="F42" s="127" t="s">
        <v>25</v>
      </c>
      <c r="G42" s="257" t="s">
        <v>28</v>
      </c>
      <c r="H42" s="258"/>
      <c r="I42" s="127" t="s">
        <v>26</v>
      </c>
      <c r="J42" s="33" t="s">
        <v>27</v>
      </c>
      <c r="K42" s="54" t="s">
        <v>1</v>
      </c>
      <c r="L42" s="54" t="s">
        <v>23</v>
      </c>
      <c r="M42" s="54" t="s">
        <v>24</v>
      </c>
      <c r="N42" s="54" t="s">
        <v>67</v>
      </c>
      <c r="O42" s="54" t="s">
        <v>32</v>
      </c>
      <c r="P42" s="333" t="s">
        <v>28</v>
      </c>
      <c r="Q42" s="334"/>
      <c r="R42" s="54" t="s">
        <v>26</v>
      </c>
      <c r="S42" s="33" t="s">
        <v>27</v>
      </c>
      <c r="T42" s="30" t="s">
        <v>1</v>
      </c>
      <c r="U42" s="127" t="s">
        <v>23</v>
      </c>
      <c r="V42" s="127" t="s">
        <v>24</v>
      </c>
      <c r="W42" s="127" t="s">
        <v>25</v>
      </c>
      <c r="X42" s="257" t="s">
        <v>28</v>
      </c>
      <c r="Y42" s="300"/>
      <c r="Z42" s="258"/>
      <c r="AA42" s="127" t="s">
        <v>26</v>
      </c>
      <c r="AB42" s="33" t="s">
        <v>27</v>
      </c>
    </row>
    <row r="43" spans="2:48" ht="19.5" hidden="1" x14ac:dyDescent="0.25">
      <c r="B43" s="34">
        <v>1</v>
      </c>
      <c r="C43" s="47">
        <v>125769018</v>
      </c>
      <c r="D43" s="172">
        <v>1.833334</v>
      </c>
      <c r="E43" s="170">
        <f>D43*30</f>
        <v>55.000019999999999</v>
      </c>
      <c r="F43" s="173">
        <f>E43</f>
        <v>55.000019999999999</v>
      </c>
      <c r="G43" s="259">
        <v>1</v>
      </c>
      <c r="H43" s="260"/>
      <c r="I43" s="71">
        <f>C43/F43</f>
        <v>2286708.586651423</v>
      </c>
      <c r="J43" s="72">
        <f>I43*G43*F43</f>
        <v>125769018</v>
      </c>
      <c r="K43" s="34">
        <v>1</v>
      </c>
      <c r="L43" s="147">
        <v>45000000</v>
      </c>
      <c r="M43" s="58">
        <v>8</v>
      </c>
      <c r="N43" s="77">
        <f>M43*30</f>
        <v>240</v>
      </c>
      <c r="O43" s="78">
        <v>223</v>
      </c>
      <c r="P43" s="259">
        <v>1</v>
      </c>
      <c r="Q43" s="260"/>
      <c r="R43" s="71">
        <f>L43/N43</f>
        <v>187500</v>
      </c>
      <c r="S43" s="72">
        <f>R43*P43*O43</f>
        <v>41812500</v>
      </c>
      <c r="T43" s="34">
        <v>11</v>
      </c>
      <c r="U43" s="35"/>
      <c r="V43" s="35"/>
      <c r="W43" s="35"/>
      <c r="X43" s="234"/>
      <c r="Y43" s="235"/>
      <c r="Z43" s="236"/>
      <c r="AA43" s="35"/>
      <c r="AB43" s="36"/>
    </row>
    <row r="44" spans="2:48" ht="19.5" hidden="1" x14ac:dyDescent="0.25">
      <c r="B44" s="34">
        <v>2</v>
      </c>
      <c r="C44" s="47">
        <v>113545873</v>
      </c>
      <c r="D44" s="172">
        <v>2.37</v>
      </c>
      <c r="E44" s="171">
        <f>D44*30</f>
        <v>71.100000000000009</v>
      </c>
      <c r="F44" s="174">
        <f>E44</f>
        <v>71.100000000000009</v>
      </c>
      <c r="G44" s="259">
        <v>1</v>
      </c>
      <c r="H44" s="260"/>
      <c r="I44" s="71">
        <f>C44/F44</f>
        <v>1596988.3684950771</v>
      </c>
      <c r="J44" s="72">
        <f>I44*G44*F44</f>
        <v>113545873</v>
      </c>
      <c r="K44" s="34">
        <v>2</v>
      </c>
      <c r="L44" s="47"/>
      <c r="M44" s="172"/>
      <c r="N44" s="171"/>
      <c r="O44" s="174"/>
      <c r="P44" s="259"/>
      <c r="Q44" s="260"/>
      <c r="R44" s="71"/>
      <c r="S44" s="72"/>
      <c r="T44" s="34">
        <v>12</v>
      </c>
      <c r="U44" s="35"/>
      <c r="V44" s="35"/>
      <c r="W44" s="35"/>
      <c r="X44" s="234"/>
      <c r="Y44" s="235"/>
      <c r="Z44" s="236"/>
      <c r="AA44" s="35"/>
      <c r="AB44" s="36"/>
      <c r="AV44" t="s">
        <v>30</v>
      </c>
    </row>
    <row r="45" spans="2:48" ht="19.5" hidden="1" x14ac:dyDescent="0.25">
      <c r="B45" s="34">
        <v>3</v>
      </c>
      <c r="C45" s="47"/>
      <c r="D45" s="48"/>
      <c r="E45" s="48"/>
      <c r="F45" s="51"/>
      <c r="G45" s="259"/>
      <c r="H45" s="260"/>
      <c r="I45" s="47"/>
      <c r="J45" s="49"/>
      <c r="K45" s="34">
        <v>3</v>
      </c>
      <c r="L45" s="147"/>
      <c r="M45" s="58"/>
      <c r="N45" s="77"/>
      <c r="O45" s="78"/>
      <c r="P45" s="259"/>
      <c r="Q45" s="260"/>
      <c r="R45" s="71"/>
      <c r="S45" s="72"/>
      <c r="T45" s="34">
        <v>13</v>
      </c>
      <c r="U45" s="35"/>
      <c r="V45" s="35"/>
      <c r="W45" s="35"/>
      <c r="X45" s="234"/>
      <c r="Y45" s="235"/>
      <c r="Z45" s="236"/>
      <c r="AA45" s="35"/>
      <c r="AB45" s="36"/>
      <c r="AV45">
        <v>30</v>
      </c>
    </row>
    <row r="46" spans="2:48" ht="19.5" hidden="1" x14ac:dyDescent="0.25">
      <c r="B46" s="34">
        <v>4</v>
      </c>
      <c r="C46" s="47"/>
      <c r="D46" s="48"/>
      <c r="E46" s="48"/>
      <c r="F46" s="51"/>
      <c r="G46" s="240"/>
      <c r="H46" s="241"/>
      <c r="I46" s="47"/>
      <c r="J46" s="49"/>
      <c r="K46" s="34">
        <v>4</v>
      </c>
      <c r="L46" s="47"/>
      <c r="M46" s="48"/>
      <c r="N46" s="48"/>
      <c r="O46" s="51"/>
      <c r="P46" s="259"/>
      <c r="Q46" s="260"/>
      <c r="R46" s="47"/>
      <c r="S46" s="49"/>
      <c r="T46" s="34">
        <v>14</v>
      </c>
      <c r="U46" s="35"/>
      <c r="V46" s="35"/>
      <c r="W46" s="35"/>
      <c r="X46" s="234"/>
      <c r="Y46" s="235"/>
      <c r="Z46" s="236"/>
      <c r="AA46" s="35"/>
      <c r="AB46" s="36"/>
    </row>
    <row r="47" spans="2:48" ht="19.5" hidden="1" x14ac:dyDescent="0.25">
      <c r="B47" s="34">
        <v>5</v>
      </c>
      <c r="C47" s="47"/>
      <c r="D47" s="48"/>
      <c r="E47" s="48"/>
      <c r="F47" s="51"/>
      <c r="G47" s="240"/>
      <c r="H47" s="241"/>
      <c r="I47" s="47"/>
      <c r="J47" s="49"/>
      <c r="K47" s="34">
        <v>5</v>
      </c>
      <c r="L47" s="47"/>
      <c r="M47" s="48"/>
      <c r="N47" s="48"/>
      <c r="O47" s="50"/>
      <c r="P47" s="335"/>
      <c r="Q47" s="336"/>
      <c r="R47" s="47"/>
      <c r="S47" s="49"/>
      <c r="T47" s="34">
        <v>15</v>
      </c>
      <c r="U47" s="35"/>
      <c r="V47" s="35"/>
      <c r="W47" s="35"/>
      <c r="X47" s="234"/>
      <c r="Y47" s="235"/>
      <c r="Z47" s="236"/>
      <c r="AA47" s="35"/>
      <c r="AB47" s="36"/>
    </row>
    <row r="48" spans="2:48" ht="19.5" hidden="1" x14ac:dyDescent="0.25">
      <c r="B48" s="34">
        <v>6</v>
      </c>
      <c r="C48" s="47"/>
      <c r="D48" s="48"/>
      <c r="E48" s="48"/>
      <c r="F48" s="51"/>
      <c r="G48" s="240"/>
      <c r="H48" s="241"/>
      <c r="I48" s="47"/>
      <c r="J48" s="49"/>
      <c r="K48" s="34">
        <v>6</v>
      </c>
      <c r="L48" s="47"/>
      <c r="M48" s="48"/>
      <c r="N48" s="48"/>
      <c r="O48" s="50"/>
      <c r="P48" s="335"/>
      <c r="Q48" s="336"/>
      <c r="R48" s="47"/>
      <c r="S48" s="49"/>
      <c r="T48" s="34">
        <v>16</v>
      </c>
      <c r="U48" s="35"/>
      <c r="V48" s="35"/>
      <c r="W48" s="35"/>
      <c r="X48" s="234"/>
      <c r="Y48" s="235"/>
      <c r="Z48" s="236"/>
      <c r="AA48" s="35"/>
      <c r="AB48" s="36"/>
    </row>
    <row r="49" spans="2:28" ht="19.5" hidden="1" x14ac:dyDescent="0.25">
      <c r="B49" s="34">
        <v>7</v>
      </c>
      <c r="C49" s="47"/>
      <c r="D49" s="48"/>
      <c r="E49" s="48"/>
      <c r="F49" s="51"/>
      <c r="G49" s="240"/>
      <c r="H49" s="241"/>
      <c r="I49" s="47"/>
      <c r="J49" s="49"/>
      <c r="K49" s="34">
        <v>7</v>
      </c>
      <c r="L49" s="47"/>
      <c r="M49" s="48"/>
      <c r="N49" s="48"/>
      <c r="O49" s="50"/>
      <c r="P49" s="335"/>
      <c r="Q49" s="336"/>
      <c r="R49" s="47"/>
      <c r="S49" s="49"/>
      <c r="T49" s="34">
        <v>17</v>
      </c>
      <c r="U49" s="35"/>
      <c r="V49" s="35"/>
      <c r="W49" s="35"/>
      <c r="X49" s="234"/>
      <c r="Y49" s="235"/>
      <c r="Z49" s="236"/>
      <c r="AA49" s="35"/>
      <c r="AB49" s="36"/>
    </row>
    <row r="50" spans="2:28" ht="19.5" hidden="1" x14ac:dyDescent="0.25">
      <c r="B50" s="34">
        <v>8</v>
      </c>
      <c r="C50" s="47"/>
      <c r="D50" s="48"/>
      <c r="E50" s="48"/>
      <c r="F50" s="51"/>
      <c r="G50" s="237"/>
      <c r="H50" s="238"/>
      <c r="I50" s="47"/>
      <c r="J50" s="49"/>
      <c r="K50" s="34">
        <v>8</v>
      </c>
      <c r="L50" s="47"/>
      <c r="M50" s="48"/>
      <c r="N50" s="48"/>
      <c r="O50" s="50"/>
      <c r="P50" s="335"/>
      <c r="Q50" s="336"/>
      <c r="R50" s="47"/>
      <c r="S50" s="49"/>
      <c r="T50" s="34">
        <v>18</v>
      </c>
      <c r="U50" s="35"/>
      <c r="V50" s="35"/>
      <c r="W50" s="35"/>
      <c r="X50" s="234"/>
      <c r="Y50" s="235"/>
      <c r="Z50" s="236"/>
      <c r="AA50" s="35"/>
      <c r="AB50" s="36"/>
    </row>
    <row r="51" spans="2:28" ht="19.5" hidden="1" x14ac:dyDescent="0.25">
      <c r="B51" s="34">
        <v>9</v>
      </c>
      <c r="C51" s="47"/>
      <c r="D51" s="48"/>
      <c r="E51" s="48"/>
      <c r="F51" s="51"/>
      <c r="G51" s="237"/>
      <c r="H51" s="238"/>
      <c r="I51" s="47"/>
      <c r="J51" s="49"/>
      <c r="K51" s="34">
        <v>9</v>
      </c>
      <c r="L51" s="47"/>
      <c r="M51" s="48"/>
      <c r="N51" s="48"/>
      <c r="O51" s="50"/>
      <c r="P51" s="335"/>
      <c r="Q51" s="336"/>
      <c r="R51" s="47"/>
      <c r="S51" s="49"/>
      <c r="T51" s="34">
        <v>19</v>
      </c>
      <c r="U51" s="35"/>
      <c r="V51" s="35"/>
      <c r="W51" s="35"/>
      <c r="X51" s="234"/>
      <c r="Y51" s="235"/>
      <c r="Z51" s="236"/>
      <c r="AA51" s="35"/>
      <c r="AB51" s="36"/>
    </row>
    <row r="52" spans="2:28" ht="20.25" hidden="1" thickBot="1" x14ac:dyDescent="0.3">
      <c r="B52" s="34">
        <v>10</v>
      </c>
      <c r="C52" s="47"/>
      <c r="D52" s="48"/>
      <c r="E52" s="48"/>
      <c r="F52" s="50"/>
      <c r="G52" s="239"/>
      <c r="H52" s="238"/>
      <c r="I52" s="47"/>
      <c r="J52" s="49"/>
      <c r="K52" s="34">
        <v>10</v>
      </c>
      <c r="L52" s="47"/>
      <c r="M52" s="48"/>
      <c r="N52" s="48"/>
      <c r="O52" s="50"/>
      <c r="P52" s="335"/>
      <c r="Q52" s="336"/>
      <c r="R52" s="47"/>
      <c r="S52" s="49"/>
      <c r="T52" s="34">
        <v>20</v>
      </c>
      <c r="U52" s="35"/>
      <c r="V52" s="35"/>
      <c r="W52" s="35"/>
      <c r="X52" s="234"/>
      <c r="Y52" s="235"/>
      <c r="Z52" s="236"/>
      <c r="AA52" s="35"/>
      <c r="AB52" s="36"/>
    </row>
    <row r="53" spans="2:28" ht="23.25" hidden="1" thickBot="1" x14ac:dyDescent="0.35">
      <c r="B53" s="55" t="s">
        <v>29</v>
      </c>
      <c r="C53" s="56"/>
      <c r="D53" s="56"/>
      <c r="E53" s="56"/>
      <c r="F53" s="56"/>
      <c r="G53" s="56"/>
      <c r="H53" s="56"/>
      <c r="I53" s="57"/>
      <c r="J53" s="79">
        <f>SUM(J43:J52)</f>
        <v>239314891</v>
      </c>
      <c r="K53" s="254" t="s">
        <v>29</v>
      </c>
      <c r="L53" s="255"/>
      <c r="M53" s="255"/>
      <c r="N53" s="255"/>
      <c r="O53" s="255"/>
      <c r="P53" s="255"/>
      <c r="Q53" s="255"/>
      <c r="R53" s="256"/>
      <c r="S53" s="79">
        <f>SUM(S43:S52)</f>
        <v>41812500</v>
      </c>
      <c r="T53" s="254" t="s">
        <v>29</v>
      </c>
      <c r="U53" s="255"/>
      <c r="V53" s="255"/>
      <c r="W53" s="255"/>
      <c r="X53" s="255"/>
      <c r="Y53" s="255"/>
      <c r="Z53" s="255"/>
      <c r="AA53" s="256"/>
      <c r="AB53" s="73">
        <f>SUM(AB43:AB52)</f>
        <v>0</v>
      </c>
    </row>
    <row r="54" spans="2:28" ht="57" hidden="1" customHeight="1" thickBot="1" x14ac:dyDescent="0.3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2:28" ht="88.5" hidden="1" thickBot="1" x14ac:dyDescent="1.1000000000000001">
      <c r="B55" s="246" t="s">
        <v>68</v>
      </c>
      <c r="C55" s="247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8"/>
      <c r="W55" s="246" t="s">
        <v>12</v>
      </c>
      <c r="X55" s="247"/>
      <c r="Y55" s="247"/>
      <c r="Z55" s="248"/>
      <c r="AA55" s="249">
        <v>3</v>
      </c>
      <c r="AB55" s="250"/>
    </row>
    <row r="56" spans="2:28" ht="32.25" hidden="1" x14ac:dyDescent="0.4">
      <c r="B56" s="231" t="s">
        <v>68</v>
      </c>
      <c r="C56" s="232"/>
      <c r="D56" s="232"/>
      <c r="E56" s="232"/>
      <c r="F56" s="232"/>
      <c r="G56" s="232"/>
      <c r="H56" s="232"/>
      <c r="I56" s="232"/>
      <c r="J56" s="233"/>
      <c r="K56" s="231"/>
      <c r="L56" s="232"/>
      <c r="M56" s="232"/>
      <c r="N56" s="232"/>
      <c r="O56" s="232"/>
      <c r="P56" s="232"/>
      <c r="Q56" s="232"/>
      <c r="R56" s="232"/>
      <c r="S56" s="233"/>
      <c r="T56" s="231"/>
      <c r="U56" s="232"/>
      <c r="V56" s="232"/>
      <c r="W56" s="232"/>
      <c r="X56" s="232"/>
      <c r="Y56" s="232"/>
      <c r="Z56" s="232"/>
      <c r="AA56" s="232"/>
      <c r="AB56" s="233"/>
    </row>
    <row r="57" spans="2:28" ht="40.9" hidden="1" customHeight="1" x14ac:dyDescent="0.25">
      <c r="B57" s="21" t="s">
        <v>3</v>
      </c>
      <c r="C57" s="225" t="s">
        <v>4</v>
      </c>
      <c r="D57" s="226"/>
      <c r="E57" s="227"/>
      <c r="F57" s="223" t="s">
        <v>5</v>
      </c>
      <c r="G57" s="224"/>
      <c r="H57" s="223" t="s">
        <v>6</v>
      </c>
      <c r="I57" s="224"/>
      <c r="J57" s="291" t="s">
        <v>0</v>
      </c>
      <c r="K57" s="21" t="s">
        <v>3</v>
      </c>
      <c r="L57" s="225" t="s">
        <v>4</v>
      </c>
      <c r="M57" s="226"/>
      <c r="N57" s="227"/>
      <c r="O57" s="223" t="s">
        <v>5</v>
      </c>
      <c r="P57" s="224"/>
      <c r="Q57" s="223" t="s">
        <v>6</v>
      </c>
      <c r="R57" s="224"/>
      <c r="S57" s="337" t="s">
        <v>0</v>
      </c>
      <c r="T57" s="21" t="s">
        <v>3</v>
      </c>
      <c r="U57" s="225" t="s">
        <v>4</v>
      </c>
      <c r="V57" s="226"/>
      <c r="W57" s="227"/>
      <c r="X57" s="223" t="s">
        <v>5</v>
      </c>
      <c r="Y57" s="224"/>
      <c r="Z57" s="223" t="s">
        <v>6</v>
      </c>
      <c r="AA57" s="224"/>
      <c r="AB57" s="291" t="s">
        <v>0</v>
      </c>
    </row>
    <row r="58" spans="2:28" ht="36" hidden="1" x14ac:dyDescent="0.25">
      <c r="B58" s="45" t="s">
        <v>3</v>
      </c>
      <c r="C58" s="125" t="s">
        <v>4</v>
      </c>
      <c r="D58" s="295" t="s">
        <v>8</v>
      </c>
      <c r="E58" s="296"/>
      <c r="F58" s="128" t="s">
        <v>10</v>
      </c>
      <c r="G58" s="125" t="s">
        <v>8</v>
      </c>
      <c r="H58" s="128" t="s">
        <v>9</v>
      </c>
      <c r="I58" s="125" t="s">
        <v>8</v>
      </c>
      <c r="J58" s="292"/>
      <c r="K58" s="45" t="s">
        <v>3</v>
      </c>
      <c r="L58" s="125" t="s">
        <v>4</v>
      </c>
      <c r="M58" s="295" t="s">
        <v>8</v>
      </c>
      <c r="N58" s="296"/>
      <c r="O58" s="128" t="s">
        <v>10</v>
      </c>
      <c r="P58" s="125" t="s">
        <v>8</v>
      </c>
      <c r="Q58" s="125" t="s">
        <v>9</v>
      </c>
      <c r="R58" s="125" t="s">
        <v>8</v>
      </c>
      <c r="S58" s="338"/>
      <c r="T58" s="12" t="s">
        <v>3</v>
      </c>
      <c r="U58" s="121" t="s">
        <v>4</v>
      </c>
      <c r="V58" s="242" t="s">
        <v>8</v>
      </c>
      <c r="W58" s="243"/>
      <c r="X58" s="11" t="s">
        <v>10</v>
      </c>
      <c r="Y58" s="121" t="s">
        <v>8</v>
      </c>
      <c r="Z58" s="121" t="s">
        <v>9</v>
      </c>
      <c r="AA58" s="121" t="s">
        <v>8</v>
      </c>
      <c r="AB58" s="292"/>
    </row>
    <row r="59" spans="2:28" ht="18" hidden="1" x14ac:dyDescent="0.25">
      <c r="B59" s="38">
        <v>5157687704</v>
      </c>
      <c r="C59" s="65">
        <f xml:space="preserve"> 61737818400/($J$6)</f>
        <v>249.7207971058869</v>
      </c>
      <c r="D59" s="318">
        <f>IF(AND(C59&gt;0,C59&lt;=$AE$11),$AF$11,IF(AND(C59&gt;$AD$12,C59&lt;=$AE$12),$AF$12,IF(AND(C59&gt;$AD$13,C59&lt;=$AE$13),$AF$13,IF(AND(C59&gt;$AD$14),$AF$14))))</f>
        <v>120</v>
      </c>
      <c r="E59" s="319"/>
      <c r="F59" s="125">
        <v>2.2999999999999998</v>
      </c>
      <c r="G59" s="126">
        <f>IF(AND(F59&gt;$AG$10,F59&lt;=$AH$10),$AI$10,IF(AND(F59&gt;$AG$11,F59&lt;=$AH$11),$AI$11,IF(AND(F59&gt;$AG$12,F59&lt;=$AH$12),$AI$12,IF(AND(F59&gt;$AG$13,F59&lt;=$AH$13),$AI$13,IF(AND(F59&gt;$AG$14),$AI$14)))))</f>
        <v>40</v>
      </c>
      <c r="H59" s="125">
        <v>1</v>
      </c>
      <c r="I59" s="126">
        <f>IF(AND(H59&gt;0,H59&lt;=$AK$11),$AL$11,IF(AND(H59&gt;$AK$11,H59&lt;=$AK$12),$AL$12,IF(AND(H59&gt;$AK$12),$AL$13)))</f>
        <v>20</v>
      </c>
      <c r="J59" s="293"/>
      <c r="K59" s="38">
        <v>0</v>
      </c>
      <c r="L59" s="65">
        <v>0</v>
      </c>
      <c r="M59" s="318" t="b">
        <f>IF(AND(L59&gt;0,L59&lt;=$AE$11),$AF$11,IF(AND(L59&gt;$AD$12,L59&lt;=$AE$12),$AF$12,IF(AND(L59&gt;$AD$13,L59&lt;=$AE$13),$AF$13,IF(AND(L59&gt;$AD$14),$AF$14))))</f>
        <v>0</v>
      </c>
      <c r="N59" s="319"/>
      <c r="O59" s="125">
        <v>0</v>
      </c>
      <c r="P59" s="126" t="b">
        <f>IF(AND(O59&gt;$AG$10,O59&lt;=$AH$10),$AI$10,IF(AND(O59&gt;$AG$11,O59&lt;=$AH$11),$AI$11,IF(AND(O59&gt;$AG$12,O59&lt;=$AH$12),$AI$12,IF(AND(O59&gt;$AG$13,O59&lt;=$AH$13),$AI$13,IF(AND(O59&gt;$AG$14),$AI$14)))))</f>
        <v>0</v>
      </c>
      <c r="Q59" s="125">
        <v>0</v>
      </c>
      <c r="R59" s="126" t="b">
        <f>IF(AND(Q59&gt;0,Q59&lt;=$AK$11),$AL$11,IF(AND(Q59&gt;$AK$11,Q59&lt;=$AK$12),$AL$12,IF(AND(Q59&gt;$AK$12),$AL$13)))</f>
        <v>0</v>
      </c>
      <c r="S59" s="339"/>
      <c r="T59" s="26">
        <v>0</v>
      </c>
      <c r="U59" s="27">
        <v>12</v>
      </c>
      <c r="V59" s="244">
        <f>IF(AND(U59&gt;0,U59&lt;=$AE$11),$AF$11,IF(AND(U59&gt;$AD$12,U59&lt;=$AE$12),$AF$12,IF(AND(U59&gt;$AD$13,U59&lt;=$AE$13),$AF$13,IF(AND(U59&gt;$AD$14),$AF$14))))</f>
        <v>120</v>
      </c>
      <c r="W59" s="245"/>
      <c r="X59" s="121">
        <v>0</v>
      </c>
      <c r="Y59" s="122" t="b">
        <f>IF(AND(X59&gt;$AG$10,X59&lt;=$AH$10),$AI$10,IF(AND(X59&gt;$AG$11,X59&lt;=$AH$11),$AI$11,IF(AND(X59&gt;$AG$12,X59&lt;=$AH$12),$AI$12,IF(AND(X59&gt;$AG$13,X59&lt;=$AH$13),$AI$13,IF(AND(X59&gt;$AG$14),$AI$14)))))</f>
        <v>0</v>
      </c>
      <c r="Z59" s="121">
        <v>0</v>
      </c>
      <c r="AA59" s="122" t="b">
        <f>IF(AND(Z59&gt;0,Z59&lt;=$AK$11),$AL$11,IF(AND(Z59&gt;$AK$11,Z59&lt;=$AK$12),$AL$12,IF(AND(Z59&gt;$AK$12),$AL$13)))</f>
        <v>0</v>
      </c>
      <c r="AB59" s="293"/>
    </row>
    <row r="60" spans="2:28" ht="216" hidden="1" customHeight="1" thickBot="1" x14ac:dyDescent="0.3">
      <c r="B60" s="22" t="s">
        <v>11</v>
      </c>
      <c r="C60" s="68">
        <f>B59*((D59+I59+G59)/100)</f>
        <v>9283837867.2000008</v>
      </c>
      <c r="D60" s="315" t="str">
        <f>IF(C60&gt;=$J$6,"CUMPLE","NO CUMPLE")</f>
        <v>CUMPLE</v>
      </c>
      <c r="E60" s="316"/>
      <c r="F60" s="316"/>
      <c r="G60" s="316"/>
      <c r="H60" s="316"/>
      <c r="I60" s="317"/>
      <c r="J60" s="23" t="s">
        <v>69</v>
      </c>
      <c r="K60" s="22" t="s">
        <v>11</v>
      </c>
      <c r="L60" s="68">
        <f>K59*((M59+R59+P59)/100)</f>
        <v>0</v>
      </c>
      <c r="M60" s="312" t="str">
        <f>IF(L60&gt;=$J$6,"CUMPLE",IF(AND(L60&lt;$J$6,L60&gt;0),"NO CUMPLE",IF(L60=0,"NO APLICA")))</f>
        <v>NO APLICA</v>
      </c>
      <c r="N60" s="313"/>
      <c r="O60" s="313"/>
      <c r="P60" s="313"/>
      <c r="Q60" s="313"/>
      <c r="R60" s="314"/>
      <c r="S60" s="42"/>
      <c r="T60" s="24" t="s">
        <v>11</v>
      </c>
      <c r="U60" s="76">
        <f>T59*((V59+AB59+Y59)/100)</f>
        <v>0</v>
      </c>
      <c r="V60" s="312" t="str">
        <f>IF(U60&gt;=$J$6,"CUMPLE",IF(AND(U60&lt;$J$6,U60&gt;0),"NO CUMPLE",IF(U60=0,"NO APLICA")))</f>
        <v>NO APLICA</v>
      </c>
      <c r="W60" s="313"/>
      <c r="X60" s="313"/>
      <c r="Y60" s="313"/>
      <c r="Z60" s="313"/>
      <c r="AA60" s="314"/>
      <c r="AB60" s="25"/>
    </row>
    <row r="61" spans="2:28" hidden="1" x14ac:dyDescent="0.25">
      <c r="B61" s="1"/>
      <c r="C61" s="2"/>
      <c r="D61" s="2"/>
      <c r="E61" s="1"/>
      <c r="F61" s="1"/>
      <c r="G61" s="2"/>
      <c r="H61" s="2"/>
      <c r="I61" s="2"/>
      <c r="J61" s="1"/>
      <c r="T61" s="4"/>
      <c r="U61" s="5"/>
      <c r="V61" s="5"/>
      <c r="W61" s="5"/>
      <c r="X61" s="5"/>
      <c r="Y61" s="5"/>
      <c r="Z61" s="5"/>
      <c r="AA61" s="5"/>
      <c r="AB61" s="6"/>
    </row>
    <row r="62" spans="2:28" ht="15.75" hidden="1" thickBot="1" x14ac:dyDescent="0.3">
      <c r="B62" s="1"/>
      <c r="C62" s="3"/>
      <c r="D62" s="3"/>
      <c r="E62" s="1"/>
      <c r="F62" s="1"/>
      <c r="G62" s="2"/>
      <c r="H62" s="2"/>
      <c r="I62" s="2"/>
      <c r="J62" s="1"/>
      <c r="T62" s="7"/>
      <c r="U62" s="8"/>
      <c r="V62" s="8"/>
      <c r="W62" s="8"/>
      <c r="X62" s="8"/>
      <c r="Y62" s="8"/>
      <c r="Z62" s="8"/>
      <c r="AA62" s="8"/>
      <c r="AB62" s="9"/>
    </row>
    <row r="63" spans="2:28" ht="92.45" hidden="1" customHeight="1" thickBot="1" x14ac:dyDescent="0.3">
      <c r="B63" s="330" t="s">
        <v>7</v>
      </c>
      <c r="C63" s="331"/>
      <c r="D63" s="331"/>
      <c r="E63" s="331"/>
      <c r="F63" s="331"/>
      <c r="G63" s="331"/>
      <c r="H63" s="332"/>
      <c r="I63" s="307">
        <f>C60+L60</f>
        <v>9283837867.2000008</v>
      </c>
      <c r="J63" s="308"/>
      <c r="K63" s="304" t="str">
        <f>IF(I63&gt;=$J$6,"CUMPLE","NO CUMPLE")</f>
        <v>CUMPLE</v>
      </c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6"/>
    </row>
    <row r="64" spans="2:28" ht="30.75" hidden="1" thickBot="1" x14ac:dyDescent="0.3">
      <c r="B64" s="271" t="s">
        <v>22</v>
      </c>
      <c r="C64" s="272"/>
      <c r="D64" s="272"/>
      <c r="E64" s="272"/>
      <c r="F64" s="272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3"/>
    </row>
    <row r="65" spans="2:28" ht="82.9" hidden="1" customHeight="1" x14ac:dyDescent="0.35">
      <c r="B65" s="30" t="s">
        <v>1</v>
      </c>
      <c r="C65" s="127" t="s">
        <v>23</v>
      </c>
      <c r="D65" s="127" t="s">
        <v>24</v>
      </c>
      <c r="E65" s="52" t="s">
        <v>31</v>
      </c>
      <c r="F65" s="127" t="s">
        <v>25</v>
      </c>
      <c r="G65" s="257" t="s">
        <v>28</v>
      </c>
      <c r="H65" s="258"/>
      <c r="I65" s="127" t="s">
        <v>26</v>
      </c>
      <c r="J65" s="33" t="s">
        <v>27</v>
      </c>
      <c r="K65" s="30" t="s">
        <v>1</v>
      </c>
      <c r="L65" s="127" t="s">
        <v>23</v>
      </c>
      <c r="M65" s="127" t="s">
        <v>24</v>
      </c>
      <c r="N65" s="52" t="s">
        <v>31</v>
      </c>
      <c r="O65" s="127" t="s">
        <v>25</v>
      </c>
      <c r="P65" s="257" t="s">
        <v>28</v>
      </c>
      <c r="Q65" s="258"/>
      <c r="R65" s="127" t="s">
        <v>26</v>
      </c>
      <c r="S65" s="33" t="s">
        <v>27</v>
      </c>
      <c r="T65" s="30" t="s">
        <v>1</v>
      </c>
      <c r="U65" s="127" t="s">
        <v>23</v>
      </c>
      <c r="V65" s="127" t="s">
        <v>24</v>
      </c>
      <c r="W65" s="52" t="s">
        <v>31</v>
      </c>
      <c r="X65" s="127" t="s">
        <v>25</v>
      </c>
      <c r="Y65" s="257" t="s">
        <v>28</v>
      </c>
      <c r="Z65" s="258"/>
      <c r="AA65" s="127" t="s">
        <v>26</v>
      </c>
      <c r="AB65" s="33" t="s">
        <v>27</v>
      </c>
    </row>
    <row r="66" spans="2:28" ht="19.5" hidden="1" x14ac:dyDescent="0.25">
      <c r="B66" s="34">
        <v>1</v>
      </c>
      <c r="C66" s="47">
        <v>8866139702</v>
      </c>
      <c r="D66" s="175">
        <v>8</v>
      </c>
      <c r="E66" s="77">
        <f>D66*30</f>
        <v>240</v>
      </c>
      <c r="F66" s="59">
        <v>12</v>
      </c>
      <c r="G66" s="259">
        <v>0.3</v>
      </c>
      <c r="H66" s="260"/>
      <c r="I66" s="71">
        <f>C66/E66</f>
        <v>36942248.758333333</v>
      </c>
      <c r="J66" s="72">
        <f>I66*G66*F66</f>
        <v>132992095.53</v>
      </c>
      <c r="K66" s="34">
        <v>1</v>
      </c>
      <c r="L66" s="47"/>
      <c r="M66" s="58"/>
      <c r="N66" s="77"/>
      <c r="O66" s="59"/>
      <c r="P66" s="123"/>
      <c r="Q66" s="124"/>
      <c r="R66" s="47"/>
      <c r="S66" s="72">
        <f>R66*P66*O66</f>
        <v>0</v>
      </c>
      <c r="T66" s="34">
        <v>1</v>
      </c>
      <c r="U66" s="47"/>
      <c r="V66" s="58"/>
      <c r="W66" s="77">
        <f>V66*$AV$45</f>
        <v>0</v>
      </c>
      <c r="X66" s="59"/>
      <c r="Y66" s="123"/>
      <c r="Z66" s="124"/>
      <c r="AA66" s="47"/>
      <c r="AB66" s="72">
        <f>AA66*Y66*X66</f>
        <v>0</v>
      </c>
    </row>
    <row r="67" spans="2:28" ht="19.5" hidden="1" x14ac:dyDescent="0.25">
      <c r="B67" s="34">
        <v>2</v>
      </c>
      <c r="C67" s="47">
        <v>95595169</v>
      </c>
      <c r="D67" s="175">
        <v>3</v>
      </c>
      <c r="E67" s="77">
        <f t="shared" ref="E67:E69" si="0">D67*30</f>
        <v>90</v>
      </c>
      <c r="F67" s="58">
        <v>63</v>
      </c>
      <c r="G67" s="259">
        <v>1</v>
      </c>
      <c r="H67" s="260"/>
      <c r="I67" s="71">
        <f t="shared" ref="I67:I69" si="1">C67/E67</f>
        <v>1062168.5444444444</v>
      </c>
      <c r="J67" s="72">
        <f t="shared" ref="J67:J69" si="2">I67*G67*F67</f>
        <v>66916618.299999997</v>
      </c>
      <c r="K67" s="34">
        <v>2</v>
      </c>
      <c r="L67" s="47"/>
      <c r="M67" s="48"/>
      <c r="N67" s="48"/>
      <c r="O67" s="51"/>
      <c r="P67" s="240"/>
      <c r="Q67" s="241"/>
      <c r="R67" s="47"/>
      <c r="S67" s="49"/>
      <c r="T67" s="34">
        <v>2</v>
      </c>
      <c r="U67" s="47"/>
      <c r="V67" s="48"/>
      <c r="W67" s="48"/>
      <c r="X67" s="51"/>
      <c r="Y67" s="240"/>
      <c r="Z67" s="241"/>
      <c r="AA67" s="47"/>
      <c r="AB67" s="49"/>
    </row>
    <row r="68" spans="2:28" ht="19.5" hidden="1" x14ac:dyDescent="0.25">
      <c r="B68" s="34">
        <v>3</v>
      </c>
      <c r="C68" s="47">
        <v>99975588</v>
      </c>
      <c r="D68" s="175">
        <v>2</v>
      </c>
      <c r="E68" s="77">
        <f t="shared" si="0"/>
        <v>60</v>
      </c>
      <c r="F68" s="58">
        <v>0</v>
      </c>
      <c r="G68" s="259">
        <v>0.9</v>
      </c>
      <c r="H68" s="260"/>
      <c r="I68" s="71">
        <f t="shared" si="1"/>
        <v>1666259.8</v>
      </c>
      <c r="J68" s="72">
        <f t="shared" si="2"/>
        <v>0</v>
      </c>
      <c r="K68" s="34">
        <v>3</v>
      </c>
      <c r="L68" s="47"/>
      <c r="M68" s="48"/>
      <c r="N68" s="48"/>
      <c r="O68" s="51"/>
      <c r="P68" s="240"/>
      <c r="Q68" s="241"/>
      <c r="R68" s="47"/>
      <c r="S68" s="49"/>
      <c r="T68" s="34">
        <v>3</v>
      </c>
      <c r="U68" s="47"/>
      <c r="V68" s="48"/>
      <c r="W68" s="48"/>
      <c r="X68" s="51"/>
      <c r="Y68" s="240"/>
      <c r="Z68" s="241"/>
      <c r="AA68" s="47"/>
      <c r="AB68" s="49"/>
    </row>
    <row r="69" spans="2:28" ht="19.5" hidden="1" x14ac:dyDescent="0.25">
      <c r="B69" s="34">
        <v>4</v>
      </c>
      <c r="C69" s="47">
        <v>971309422</v>
      </c>
      <c r="D69" s="175">
        <v>6</v>
      </c>
      <c r="E69" s="77">
        <f t="shared" si="0"/>
        <v>180</v>
      </c>
      <c r="F69" s="58">
        <v>0</v>
      </c>
      <c r="G69" s="259">
        <v>0.5</v>
      </c>
      <c r="H69" s="260"/>
      <c r="I69" s="71">
        <f t="shared" si="1"/>
        <v>5396163.4555555554</v>
      </c>
      <c r="J69" s="72">
        <f t="shared" si="2"/>
        <v>0</v>
      </c>
      <c r="K69" s="34">
        <v>4</v>
      </c>
      <c r="L69" s="47"/>
      <c r="M69" s="48"/>
      <c r="N69" s="48"/>
      <c r="O69" s="51"/>
      <c r="P69" s="240"/>
      <c r="Q69" s="241"/>
      <c r="R69" s="47"/>
      <c r="S69" s="49"/>
      <c r="T69" s="34">
        <v>4</v>
      </c>
      <c r="U69" s="47"/>
      <c r="V69" s="48"/>
      <c r="W69" s="48"/>
      <c r="X69" s="51"/>
      <c r="Y69" s="240"/>
      <c r="Z69" s="241"/>
      <c r="AA69" s="47"/>
      <c r="AB69" s="49"/>
    </row>
    <row r="70" spans="2:28" ht="19.5" hidden="1" x14ac:dyDescent="0.25">
      <c r="B70" s="34">
        <v>5</v>
      </c>
      <c r="C70" s="47"/>
      <c r="D70" s="48"/>
      <c r="E70" s="48"/>
      <c r="F70" s="51"/>
      <c r="G70" s="240"/>
      <c r="H70" s="241"/>
      <c r="I70" s="47"/>
      <c r="J70" s="49"/>
      <c r="K70" s="34">
        <v>5</v>
      </c>
      <c r="L70" s="47"/>
      <c r="M70" s="48"/>
      <c r="N70" s="48"/>
      <c r="O70" s="51"/>
      <c r="P70" s="240"/>
      <c r="Q70" s="241"/>
      <c r="R70" s="47"/>
      <c r="S70" s="49"/>
      <c r="T70" s="34">
        <v>5</v>
      </c>
      <c r="U70" s="47"/>
      <c r="V70" s="48"/>
      <c r="W70" s="48"/>
      <c r="X70" s="51"/>
      <c r="Y70" s="240"/>
      <c r="Z70" s="241"/>
      <c r="AA70" s="47"/>
      <c r="AB70" s="49"/>
    </row>
    <row r="71" spans="2:28" ht="19.5" hidden="1" x14ac:dyDescent="0.25">
      <c r="B71" s="34">
        <v>6</v>
      </c>
      <c r="C71" s="47"/>
      <c r="D71" s="48"/>
      <c r="E71" s="48"/>
      <c r="F71" s="51"/>
      <c r="G71" s="240"/>
      <c r="H71" s="241"/>
      <c r="I71" s="47"/>
      <c r="J71" s="49"/>
      <c r="K71" s="34">
        <v>6</v>
      </c>
      <c r="L71" s="47"/>
      <c r="M71" s="48"/>
      <c r="N71" s="48"/>
      <c r="O71" s="51"/>
      <c r="P71" s="240"/>
      <c r="Q71" s="241"/>
      <c r="R71" s="47"/>
      <c r="S71" s="49"/>
      <c r="T71" s="34">
        <v>6</v>
      </c>
      <c r="U71" s="47"/>
      <c r="V71" s="48"/>
      <c r="W71" s="48"/>
      <c r="X71" s="51"/>
      <c r="Y71" s="240"/>
      <c r="Z71" s="241"/>
      <c r="AA71" s="47"/>
      <c r="AB71" s="49"/>
    </row>
    <row r="72" spans="2:28" ht="19.5" hidden="1" x14ac:dyDescent="0.25">
      <c r="B72" s="34">
        <v>7</v>
      </c>
      <c r="C72" s="47"/>
      <c r="D72" s="48"/>
      <c r="E72" s="48"/>
      <c r="F72" s="51"/>
      <c r="G72" s="240"/>
      <c r="H72" s="241"/>
      <c r="I72" s="47"/>
      <c r="J72" s="49"/>
      <c r="K72" s="34">
        <v>7</v>
      </c>
      <c r="L72" s="47"/>
      <c r="M72" s="48"/>
      <c r="N72" s="48"/>
      <c r="O72" s="51"/>
      <c r="P72" s="240"/>
      <c r="Q72" s="241"/>
      <c r="R72" s="47"/>
      <c r="S72" s="49"/>
      <c r="T72" s="34">
        <v>7</v>
      </c>
      <c r="U72" s="47"/>
      <c r="V72" s="48"/>
      <c r="W72" s="48"/>
      <c r="X72" s="51"/>
      <c r="Y72" s="240"/>
      <c r="Z72" s="241"/>
      <c r="AA72" s="47"/>
      <c r="AB72" s="49"/>
    </row>
    <row r="73" spans="2:28" ht="19.5" hidden="1" x14ac:dyDescent="0.25">
      <c r="B73" s="34">
        <v>8</v>
      </c>
      <c r="C73" s="47"/>
      <c r="D73" s="48"/>
      <c r="E73" s="48"/>
      <c r="F73" s="51"/>
      <c r="G73" s="237"/>
      <c r="H73" s="238"/>
      <c r="I73" s="47"/>
      <c r="J73" s="49"/>
      <c r="K73" s="34">
        <v>8</v>
      </c>
      <c r="L73" s="47"/>
      <c r="M73" s="48"/>
      <c r="N73" s="48"/>
      <c r="O73" s="51"/>
      <c r="P73" s="237"/>
      <c r="Q73" s="238"/>
      <c r="R73" s="47"/>
      <c r="S73" s="49"/>
      <c r="T73" s="34">
        <v>8</v>
      </c>
      <c r="U73" s="47"/>
      <c r="V73" s="48"/>
      <c r="W73" s="48"/>
      <c r="X73" s="51"/>
      <c r="Y73" s="237"/>
      <c r="Z73" s="238"/>
      <c r="AA73" s="47"/>
      <c r="AB73" s="49"/>
    </row>
    <row r="74" spans="2:28" ht="19.5" hidden="1" x14ac:dyDescent="0.25">
      <c r="B74" s="34">
        <v>9</v>
      </c>
      <c r="C74" s="47"/>
      <c r="D74" s="48"/>
      <c r="E74" s="48"/>
      <c r="F74" s="51"/>
      <c r="G74" s="237"/>
      <c r="H74" s="238"/>
      <c r="I74" s="47"/>
      <c r="J74" s="49"/>
      <c r="K74" s="34">
        <v>9</v>
      </c>
      <c r="L74" s="47"/>
      <c r="M74" s="48"/>
      <c r="N74" s="48"/>
      <c r="O74" s="51"/>
      <c r="P74" s="237"/>
      <c r="Q74" s="238"/>
      <c r="R74" s="47"/>
      <c r="S74" s="49"/>
      <c r="T74" s="34">
        <v>9</v>
      </c>
      <c r="U74" s="47"/>
      <c r="V74" s="48"/>
      <c r="W74" s="48"/>
      <c r="X74" s="51"/>
      <c r="Y74" s="237"/>
      <c r="Z74" s="238"/>
      <c r="AA74" s="47"/>
      <c r="AB74" s="49"/>
    </row>
    <row r="75" spans="2:28" ht="20.25" hidden="1" thickBot="1" x14ac:dyDescent="0.3">
      <c r="B75" s="34">
        <v>10</v>
      </c>
      <c r="C75" s="47"/>
      <c r="D75" s="48"/>
      <c r="E75" s="48"/>
      <c r="F75" s="50"/>
      <c r="G75" s="239"/>
      <c r="H75" s="238"/>
      <c r="I75" s="47"/>
      <c r="J75" s="49"/>
      <c r="K75" s="34">
        <v>10</v>
      </c>
      <c r="L75" s="47"/>
      <c r="M75" s="48"/>
      <c r="N75" s="48"/>
      <c r="O75" s="50"/>
      <c r="P75" s="239"/>
      <c r="Q75" s="238"/>
      <c r="R75" s="47"/>
      <c r="S75" s="49"/>
      <c r="T75" s="34">
        <v>10</v>
      </c>
      <c r="U75" s="47"/>
      <c r="V75" s="48"/>
      <c r="W75" s="48"/>
      <c r="X75" s="50"/>
      <c r="Y75" s="239"/>
      <c r="Z75" s="238"/>
      <c r="AA75" s="47"/>
      <c r="AB75" s="49"/>
    </row>
    <row r="76" spans="2:28" ht="23.25" hidden="1" thickBot="1" x14ac:dyDescent="0.35">
      <c r="B76" s="254" t="s">
        <v>29</v>
      </c>
      <c r="C76" s="255"/>
      <c r="D76" s="255"/>
      <c r="E76" s="255"/>
      <c r="F76" s="255"/>
      <c r="G76" s="255"/>
      <c r="H76" s="255"/>
      <c r="I76" s="256"/>
      <c r="J76" s="79">
        <f>SUM(J66:J75)</f>
        <v>199908713.82999998</v>
      </c>
      <c r="K76" s="254" t="s">
        <v>29</v>
      </c>
      <c r="L76" s="255"/>
      <c r="M76" s="255"/>
      <c r="N76" s="255"/>
      <c r="O76" s="255"/>
      <c r="P76" s="255"/>
      <c r="Q76" s="255"/>
      <c r="R76" s="256"/>
      <c r="S76" s="73">
        <f>SUM(S66:S75)</f>
        <v>0</v>
      </c>
      <c r="T76" s="254" t="s">
        <v>29</v>
      </c>
      <c r="U76" s="255"/>
      <c r="V76" s="255"/>
      <c r="W76" s="255"/>
      <c r="X76" s="255"/>
      <c r="Y76" s="255"/>
      <c r="Z76" s="255"/>
      <c r="AA76" s="256"/>
      <c r="AB76" s="73">
        <f>SUM(AB66:AB75)</f>
        <v>0</v>
      </c>
    </row>
    <row r="77" spans="2:28" ht="63" hidden="1" customHeight="1" thickBot="1" x14ac:dyDescent="0.3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2:28" ht="88.5" hidden="1" thickBot="1" x14ac:dyDescent="1.1000000000000001">
      <c r="B78" s="268" t="s">
        <v>70</v>
      </c>
      <c r="C78" s="269"/>
      <c r="D78" s="269"/>
      <c r="E78" s="269"/>
      <c r="F78" s="269"/>
      <c r="G78" s="269"/>
      <c r="H78" s="269"/>
      <c r="I78" s="269"/>
      <c r="J78" s="269"/>
      <c r="K78" s="269"/>
      <c r="L78" s="269"/>
      <c r="M78" s="269"/>
      <c r="N78" s="269"/>
      <c r="O78" s="269"/>
      <c r="P78" s="269"/>
      <c r="Q78" s="269"/>
      <c r="R78" s="269"/>
      <c r="S78" s="269"/>
      <c r="T78" s="269"/>
      <c r="U78" s="269"/>
      <c r="V78" s="270"/>
      <c r="W78" s="246" t="s">
        <v>12</v>
      </c>
      <c r="X78" s="247"/>
      <c r="Y78" s="247"/>
      <c r="Z78" s="248"/>
      <c r="AA78" s="249">
        <v>4</v>
      </c>
      <c r="AB78" s="250"/>
    </row>
    <row r="79" spans="2:28" ht="31.9" hidden="1" customHeight="1" x14ac:dyDescent="0.4">
      <c r="B79" s="251" t="s">
        <v>71</v>
      </c>
      <c r="C79" s="252"/>
      <c r="D79" s="252"/>
      <c r="E79" s="252"/>
      <c r="F79" s="252"/>
      <c r="G79" s="252"/>
      <c r="H79" s="252"/>
      <c r="I79" s="252"/>
      <c r="J79" s="253"/>
      <c r="K79" s="231" t="s">
        <v>54</v>
      </c>
      <c r="L79" s="232"/>
      <c r="M79" s="232"/>
      <c r="N79" s="232"/>
      <c r="O79" s="232"/>
      <c r="P79" s="232"/>
      <c r="Q79" s="232"/>
      <c r="R79" s="232"/>
      <c r="S79" s="233"/>
      <c r="T79" s="231"/>
      <c r="U79" s="232"/>
      <c r="V79" s="232"/>
      <c r="W79" s="232"/>
      <c r="X79" s="232"/>
      <c r="Y79" s="232"/>
      <c r="Z79" s="232"/>
      <c r="AA79" s="232"/>
      <c r="AB79" s="233"/>
    </row>
    <row r="80" spans="2:28" ht="40.9" hidden="1" customHeight="1" x14ac:dyDescent="0.25">
      <c r="B80" s="21" t="s">
        <v>3</v>
      </c>
      <c r="C80" s="225" t="s">
        <v>4</v>
      </c>
      <c r="D80" s="226"/>
      <c r="E80" s="227"/>
      <c r="F80" s="223" t="s">
        <v>5</v>
      </c>
      <c r="G80" s="224"/>
      <c r="H80" s="223" t="s">
        <v>6</v>
      </c>
      <c r="I80" s="224"/>
      <c r="J80" s="228" t="s">
        <v>0</v>
      </c>
      <c r="K80" s="21" t="s">
        <v>3</v>
      </c>
      <c r="L80" s="261" t="s">
        <v>4</v>
      </c>
      <c r="M80" s="340"/>
      <c r="N80" s="262"/>
      <c r="O80" s="223" t="s">
        <v>5</v>
      </c>
      <c r="P80" s="224"/>
      <c r="Q80" s="223" t="s">
        <v>6</v>
      </c>
      <c r="R80" s="224"/>
      <c r="S80" s="263" t="s">
        <v>0</v>
      </c>
      <c r="T80" s="21" t="s">
        <v>3</v>
      </c>
      <c r="U80" s="225" t="s">
        <v>4</v>
      </c>
      <c r="V80" s="226"/>
      <c r="W80" s="227"/>
      <c r="X80" s="223" t="s">
        <v>5</v>
      </c>
      <c r="Y80" s="224"/>
      <c r="Z80" s="223" t="s">
        <v>6</v>
      </c>
      <c r="AA80" s="224"/>
      <c r="AB80" s="291" t="s">
        <v>0</v>
      </c>
    </row>
    <row r="81" spans="2:28" ht="39" hidden="1" x14ac:dyDescent="0.25">
      <c r="B81" s="53" t="s">
        <v>3</v>
      </c>
      <c r="C81" s="41" t="s">
        <v>4</v>
      </c>
      <c r="D81" s="261" t="s">
        <v>8</v>
      </c>
      <c r="E81" s="262"/>
      <c r="F81" s="29" t="s">
        <v>10</v>
      </c>
      <c r="G81" s="41" t="s">
        <v>8</v>
      </c>
      <c r="H81" s="41" t="s">
        <v>9</v>
      </c>
      <c r="I81" s="41" t="s">
        <v>8</v>
      </c>
      <c r="J81" s="229"/>
      <c r="K81" s="53" t="s">
        <v>3</v>
      </c>
      <c r="L81" s="41" t="s">
        <v>4</v>
      </c>
      <c r="M81" s="261" t="s">
        <v>8</v>
      </c>
      <c r="N81" s="262"/>
      <c r="O81" s="29" t="s">
        <v>10</v>
      </c>
      <c r="P81" s="41" t="s">
        <v>8</v>
      </c>
      <c r="Q81" s="41" t="s">
        <v>9</v>
      </c>
      <c r="R81" s="41" t="s">
        <v>8</v>
      </c>
      <c r="S81" s="264"/>
      <c r="T81" s="12" t="s">
        <v>3</v>
      </c>
      <c r="U81" s="10" t="s">
        <v>4</v>
      </c>
      <c r="V81" s="242" t="s">
        <v>8</v>
      </c>
      <c r="W81" s="243"/>
      <c r="X81" s="11" t="s">
        <v>10</v>
      </c>
      <c r="Y81" s="10" t="s">
        <v>8</v>
      </c>
      <c r="Z81" s="10" t="s">
        <v>9</v>
      </c>
      <c r="AA81" s="10" t="s">
        <v>8</v>
      </c>
      <c r="AB81" s="292"/>
    </row>
    <row r="82" spans="2:28" ht="20.45" hidden="1" customHeight="1" x14ac:dyDescent="0.25">
      <c r="B82" s="40">
        <v>940024000</v>
      </c>
      <c r="C82" s="65">
        <f>13297224000/J6</f>
        <v>53.785401924333783</v>
      </c>
      <c r="D82" s="266">
        <f>IF(AND(C82&gt;0,C82&lt;=$AE$11),$AF$11,IF(AND(C82&gt;$AD$12,C82&lt;=$AE$12),$AF$12,IF(AND(C82&gt;$AD$13,C82&lt;=$AE$13),$AF$13,IF(AND(C82&gt;$AD$14),$AF$14))))</f>
        <v>120</v>
      </c>
      <c r="E82" s="267"/>
      <c r="F82" s="41">
        <v>11.47</v>
      </c>
      <c r="G82" s="74">
        <f>IF(AND(F82&gt;$AG$10,F82&lt;=$AH$10),$AI$10,IF(AND(F82&gt;$AG$11,F82&lt;=$AH$11),$AI$11,IF(AND(F82&gt;$AG$12,F82&lt;=$AH$12),$AI$12,IF(AND(F82&gt;$AG$13,F82&lt;=$AH$13),$AI$13,IF(AND(F82&gt;$AG$14),$AI$14)))))</f>
        <v>40</v>
      </c>
      <c r="H82" s="41">
        <v>5</v>
      </c>
      <c r="I82" s="74">
        <f>IF(AND(H82&gt;0,H82&lt;=$AK$11),$AL$11,IF(AND(H82&gt;$AK$11,H82&lt;=$AK$12),$AL$12,IF(AND(H82&gt;$AK$12),$AL$13)))</f>
        <v>20</v>
      </c>
      <c r="J82" s="230"/>
      <c r="K82" s="40">
        <v>0</v>
      </c>
      <c r="L82" s="80">
        <f>0/(J6*5%)</f>
        <v>0</v>
      </c>
      <c r="M82" s="266" t="b">
        <f>IF(AND(L82&gt;0,L82&lt;=$AE$11),$AF$11,IF(AND(L82&gt;$AD$12,L82&lt;=$AE$12),$AF$12,IF(AND(L82&gt;$AD$13,L82&lt;=$AE$13),$AF$13,IF(AND(L82&gt;$AD$14),$AF$14))))</f>
        <v>0</v>
      </c>
      <c r="N82" s="267"/>
      <c r="O82" s="41">
        <v>0</v>
      </c>
      <c r="P82" s="74" t="b">
        <f>IF(AND(O82&gt;$AG$10,O82&lt;=$AH$10),$AI$10,IF(AND(O82&gt;$AG$11,O82&lt;=$AH$11),$AI$11,IF(AND(O82&gt;$AG$12,O82&lt;=$AH$12),$AI$12,IF(AND(O82&gt;$AG$13,O82&lt;=$AH$13),$AI$13,IF(AND(O82&gt;$AG$14),$AI$14)))))</f>
        <v>0</v>
      </c>
      <c r="Q82" s="41">
        <v>0</v>
      </c>
      <c r="R82" s="74" t="b">
        <f>IF(AND(Q82&gt;0,Q82&lt;=$AK$11),$AL$11,IF(AND(Q82&gt;$AK$11,Q82&lt;=$AK$12),$AL$12,IF(AND(Q82&gt;$AK$12),$AL$13)))</f>
        <v>0</v>
      </c>
      <c r="S82" s="265"/>
      <c r="T82" s="26">
        <v>0</v>
      </c>
      <c r="U82" s="27">
        <v>0</v>
      </c>
      <c r="V82" s="244" t="b">
        <f>IF(AND(U82&gt;0,U82&lt;=$AE$11),$AF$11,IF(AND(U82&gt;$AD$12,U82&lt;=$AE$12),$AF$12,IF(AND(U82&gt;$AD$13,U82&lt;=$AE$13),$AF$13,IF(AND(U82&gt;$AD$14),$AF$14))))</f>
        <v>0</v>
      </c>
      <c r="W82" s="245"/>
      <c r="X82" s="10">
        <v>0</v>
      </c>
      <c r="Y82" s="75" t="b">
        <f>IF(AND(X82&gt;$AG$10,X82&lt;=$AH$10),$AI$10,IF(AND(X82&gt;$AG$11,X82&lt;=$AH$11),$AI$11,IF(AND(X82&gt;$AG$12,X82&lt;=$AH$12),$AI$12,IF(AND(X82&gt;$AG$13,X82&lt;=$AH$13),$AI$13,IF(AND(X82&gt;$AG$14),$AI$14)))))</f>
        <v>0</v>
      </c>
      <c r="Z82" s="10">
        <v>0</v>
      </c>
      <c r="AA82" s="75" t="b">
        <f>IF(AND(Z82&gt;0,Z82&lt;=$AK$11),$AL$11,IF(AND(Z82&gt;$AK$11,Z82&lt;=$AK$12),$AL$12,IF(AND(Z82&gt;$AK$12),$AL$13)))</f>
        <v>0</v>
      </c>
      <c r="AB82" s="293"/>
    </row>
    <row r="83" spans="2:28" ht="252" hidden="1" customHeight="1" thickBot="1" x14ac:dyDescent="0.3">
      <c r="B83" s="22" t="s">
        <v>11</v>
      </c>
      <c r="C83" s="68">
        <f>B82*((D82+I82+G82)/100)-J99</f>
        <v>1469968368.8404384</v>
      </c>
      <c r="D83" s="315" t="str">
        <f>IF(C83&gt;=$J$6,"CUMPLE","NO CUMPLE")</f>
        <v>CUMPLE</v>
      </c>
      <c r="E83" s="316"/>
      <c r="F83" s="316"/>
      <c r="G83" s="316"/>
      <c r="H83" s="316"/>
      <c r="I83" s="317"/>
      <c r="J83" s="23" t="s">
        <v>69</v>
      </c>
      <c r="K83" s="22" t="s">
        <v>11</v>
      </c>
      <c r="L83" s="68">
        <f>K82*((M82+R82+P82)/100)-S99</f>
        <v>0</v>
      </c>
      <c r="M83" s="312" t="str">
        <f>IF(L83&gt;=$J$6,"CUMPLE",IF(AND(L83&lt;$J$6,L83&gt;0),"NO CUMPLE",IF(L83=0,"NO APLICA")))</f>
        <v>NO APLICA</v>
      </c>
      <c r="N83" s="313"/>
      <c r="O83" s="313"/>
      <c r="P83" s="313"/>
      <c r="Q83" s="313"/>
      <c r="R83" s="314"/>
      <c r="S83" s="23"/>
      <c r="T83" s="24" t="s">
        <v>11</v>
      </c>
      <c r="U83" s="76">
        <f>T82*((V82+AB82+Y82)/100)</f>
        <v>0</v>
      </c>
      <c r="V83" s="312" t="str">
        <f>IF(U83&gt;=$J$6,"CUMPLE",IF(AND(U83&lt;$J$6,U83&gt;0),"NO CUMPLE",IF(U83=0,"NO APLICA")))</f>
        <v>NO APLICA</v>
      </c>
      <c r="W83" s="313"/>
      <c r="X83" s="313"/>
      <c r="Y83" s="313"/>
      <c r="Z83" s="313"/>
      <c r="AA83" s="314"/>
      <c r="AB83" s="25"/>
    </row>
    <row r="84" spans="2:28" hidden="1" x14ac:dyDescent="0.25">
      <c r="B84" s="1"/>
      <c r="C84" s="2"/>
      <c r="D84" s="2"/>
      <c r="E84" s="1"/>
      <c r="F84" s="1"/>
      <c r="G84" s="2"/>
      <c r="H84" s="2"/>
      <c r="I84" s="2"/>
      <c r="J84" s="1"/>
      <c r="T84" s="4"/>
      <c r="U84" s="5"/>
      <c r="V84" s="5"/>
      <c r="W84" s="5"/>
      <c r="X84" s="5"/>
      <c r="Y84" s="5"/>
      <c r="Z84" s="5"/>
      <c r="AA84" s="5"/>
      <c r="AB84" s="6"/>
    </row>
    <row r="85" spans="2:28" ht="15.75" hidden="1" thickBot="1" x14ac:dyDescent="0.3">
      <c r="B85" s="1"/>
      <c r="C85" s="3"/>
      <c r="D85" s="3"/>
      <c r="E85" s="1"/>
      <c r="F85" s="1"/>
      <c r="G85" s="2"/>
      <c r="H85" s="2"/>
      <c r="I85" s="2"/>
      <c r="J85" s="1"/>
      <c r="T85" s="7"/>
      <c r="U85" s="8"/>
      <c r="V85" s="8"/>
      <c r="W85" s="8"/>
      <c r="X85" s="8"/>
      <c r="Y85" s="8"/>
      <c r="Z85" s="8"/>
      <c r="AA85" s="8"/>
      <c r="AB85" s="9"/>
    </row>
    <row r="86" spans="2:28" ht="92.45" hidden="1" customHeight="1" thickBot="1" x14ac:dyDescent="0.3">
      <c r="B86" s="330" t="s">
        <v>7</v>
      </c>
      <c r="C86" s="331"/>
      <c r="D86" s="331"/>
      <c r="E86" s="331"/>
      <c r="F86" s="331"/>
      <c r="G86" s="331"/>
      <c r="H86" s="332"/>
      <c r="I86" s="307">
        <f>C83+L83</f>
        <v>1469968368.8404384</v>
      </c>
      <c r="J86" s="308"/>
      <c r="K86" s="304" t="str">
        <f>IF(I86&gt;=$J$6,"CUMPLE","NO CUMPLE")</f>
        <v>CUMPLE</v>
      </c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5"/>
      <c r="W86" s="305"/>
      <c r="X86" s="305"/>
      <c r="Y86" s="305"/>
      <c r="Z86" s="305"/>
      <c r="AA86" s="305"/>
      <c r="AB86" s="306"/>
    </row>
    <row r="87" spans="2:28" ht="30.75" hidden="1" thickBot="1" x14ac:dyDescent="0.3">
      <c r="B87" s="271" t="s">
        <v>22</v>
      </c>
      <c r="C87" s="272"/>
      <c r="D87" s="272"/>
      <c r="E87" s="272"/>
      <c r="F87" s="272"/>
      <c r="G87" s="272"/>
      <c r="H87" s="272"/>
      <c r="I87" s="272"/>
      <c r="J87" s="272"/>
      <c r="K87" s="272"/>
      <c r="L87" s="272"/>
      <c r="M87" s="272"/>
      <c r="N87" s="272"/>
      <c r="O87" s="272"/>
      <c r="P87" s="272"/>
      <c r="Q87" s="272"/>
      <c r="R87" s="272"/>
      <c r="S87" s="272"/>
      <c r="T87" s="272"/>
      <c r="U87" s="272"/>
      <c r="V87" s="272"/>
      <c r="W87" s="272"/>
      <c r="X87" s="272"/>
      <c r="Y87" s="272"/>
      <c r="Z87" s="272"/>
      <c r="AA87" s="272"/>
      <c r="AB87" s="273"/>
    </row>
    <row r="88" spans="2:28" ht="73.900000000000006" hidden="1" customHeight="1" x14ac:dyDescent="0.35">
      <c r="B88" s="30" t="s">
        <v>1</v>
      </c>
      <c r="C88" s="32" t="s">
        <v>23</v>
      </c>
      <c r="D88" s="32" t="s">
        <v>24</v>
      </c>
      <c r="E88" s="52" t="s">
        <v>31</v>
      </c>
      <c r="F88" s="32" t="s">
        <v>25</v>
      </c>
      <c r="G88" s="257" t="s">
        <v>28</v>
      </c>
      <c r="H88" s="258"/>
      <c r="I88" s="32" t="s">
        <v>26</v>
      </c>
      <c r="J88" s="33" t="s">
        <v>27</v>
      </c>
      <c r="K88" s="30" t="s">
        <v>1</v>
      </c>
      <c r="L88" s="32" t="s">
        <v>23</v>
      </c>
      <c r="M88" s="32" t="s">
        <v>24</v>
      </c>
      <c r="N88" s="52" t="s">
        <v>31</v>
      </c>
      <c r="O88" s="32" t="s">
        <v>25</v>
      </c>
      <c r="P88" s="257" t="s">
        <v>28</v>
      </c>
      <c r="Q88" s="258"/>
      <c r="R88" s="32" t="s">
        <v>26</v>
      </c>
      <c r="S88" s="33" t="s">
        <v>27</v>
      </c>
      <c r="T88" s="30" t="s">
        <v>1</v>
      </c>
      <c r="U88" s="32" t="s">
        <v>23</v>
      </c>
      <c r="V88" s="32" t="s">
        <v>24</v>
      </c>
      <c r="W88" s="52" t="s">
        <v>31</v>
      </c>
      <c r="X88" s="32" t="s">
        <v>25</v>
      </c>
      <c r="Y88" s="257" t="s">
        <v>28</v>
      </c>
      <c r="Z88" s="258"/>
      <c r="AA88" s="32" t="s">
        <v>26</v>
      </c>
      <c r="AB88" s="33" t="s">
        <v>27</v>
      </c>
    </row>
    <row r="89" spans="2:28" ht="73.900000000000006" hidden="1" customHeight="1" x14ac:dyDescent="0.25">
      <c r="B89" s="34">
        <v>1</v>
      </c>
      <c r="C89" s="161">
        <v>219397152</v>
      </c>
      <c r="D89" s="131">
        <v>8.2100000000000009</v>
      </c>
      <c r="E89" s="131">
        <f>D89*30</f>
        <v>246.3</v>
      </c>
      <c r="F89" s="132">
        <v>34</v>
      </c>
      <c r="G89" s="274">
        <v>1</v>
      </c>
      <c r="H89" s="275"/>
      <c r="I89" s="162">
        <f>C89/E89</f>
        <v>890772.03410475026</v>
      </c>
      <c r="J89" s="135">
        <f>I89*F89</f>
        <v>30286249.159561507</v>
      </c>
      <c r="K89" s="34">
        <v>1</v>
      </c>
      <c r="L89" s="47"/>
      <c r="M89" s="58"/>
      <c r="N89" s="77"/>
      <c r="O89" s="59"/>
      <c r="P89" s="259"/>
      <c r="Q89" s="260"/>
      <c r="R89" s="47"/>
      <c r="S89" s="49"/>
      <c r="T89" s="34">
        <v>1</v>
      </c>
      <c r="U89" s="47"/>
      <c r="V89" s="58"/>
      <c r="W89" s="77">
        <f>V89*$AV$45</f>
        <v>0</v>
      </c>
      <c r="X89" s="59"/>
      <c r="Y89" s="259"/>
      <c r="Z89" s="260"/>
      <c r="AA89" s="47"/>
      <c r="AB89" s="72">
        <f>AA89*Y89*X89</f>
        <v>0</v>
      </c>
    </row>
    <row r="90" spans="2:28" ht="19.5" hidden="1" x14ac:dyDescent="0.25">
      <c r="B90" s="34">
        <v>2</v>
      </c>
      <c r="C90" s="161">
        <v>191788582</v>
      </c>
      <c r="D90" s="131">
        <v>3</v>
      </c>
      <c r="E90" s="131">
        <f t="shared" ref="E90" si="3">D90*30</f>
        <v>90</v>
      </c>
      <c r="F90" s="133">
        <v>90</v>
      </c>
      <c r="G90" s="274">
        <v>1</v>
      </c>
      <c r="H90" s="275"/>
      <c r="I90" s="162">
        <f t="shared" ref="I90" si="4">C90/E90</f>
        <v>2130984.2444444443</v>
      </c>
      <c r="J90" s="135">
        <f t="shared" ref="J90" si="5">I90*F90</f>
        <v>191788582</v>
      </c>
      <c r="K90" s="34">
        <v>2</v>
      </c>
      <c r="L90" s="47"/>
      <c r="M90" s="48"/>
      <c r="N90" s="48"/>
      <c r="O90" s="51"/>
      <c r="P90" s="259"/>
      <c r="Q90" s="260"/>
      <c r="R90" s="47"/>
      <c r="S90" s="49"/>
      <c r="T90" s="34">
        <v>2</v>
      </c>
      <c r="U90" s="47"/>
      <c r="V90" s="48"/>
      <c r="W90" s="48"/>
      <c r="X90" s="51"/>
      <c r="Y90" s="259"/>
      <c r="Z90" s="260"/>
      <c r="AA90" s="47"/>
      <c r="AB90" s="49"/>
    </row>
    <row r="91" spans="2:28" ht="19.5" hidden="1" x14ac:dyDescent="0.25">
      <c r="B91" s="34">
        <v>3</v>
      </c>
      <c r="C91" s="161"/>
      <c r="D91" s="58"/>
      <c r="E91" s="131"/>
      <c r="F91" s="58"/>
      <c r="G91" s="274"/>
      <c r="H91" s="275"/>
      <c r="I91" s="162"/>
      <c r="J91" s="135"/>
      <c r="K91" s="34">
        <v>3</v>
      </c>
      <c r="L91" s="47"/>
      <c r="M91" s="48"/>
      <c r="N91" s="48"/>
      <c r="O91" s="51"/>
      <c r="P91" s="259"/>
      <c r="Q91" s="260"/>
      <c r="R91" s="47"/>
      <c r="S91" s="49"/>
      <c r="T91" s="34">
        <v>3</v>
      </c>
      <c r="U91" s="47"/>
      <c r="V91" s="48"/>
      <c r="W91" s="48"/>
      <c r="X91" s="51"/>
      <c r="Y91" s="259"/>
      <c r="Z91" s="260"/>
      <c r="AA91" s="47"/>
      <c r="AB91" s="49"/>
    </row>
    <row r="92" spans="2:28" ht="19.5" hidden="1" x14ac:dyDescent="0.25">
      <c r="B92" s="34">
        <v>4</v>
      </c>
      <c r="C92" s="47"/>
      <c r="D92" s="58"/>
      <c r="E92" s="131"/>
      <c r="F92" s="58"/>
      <c r="G92" s="274"/>
      <c r="H92" s="275"/>
      <c r="I92" s="162"/>
      <c r="J92" s="135"/>
      <c r="K92" s="34">
        <v>4</v>
      </c>
      <c r="L92" s="47"/>
      <c r="M92" s="48"/>
      <c r="N92" s="48"/>
      <c r="O92" s="51"/>
      <c r="P92" s="259"/>
      <c r="Q92" s="260"/>
      <c r="R92" s="47"/>
      <c r="S92" s="49"/>
      <c r="T92" s="34">
        <v>4</v>
      </c>
      <c r="U92" s="47"/>
      <c r="V92" s="48"/>
      <c r="W92" s="48"/>
      <c r="X92" s="51"/>
      <c r="Y92" s="259"/>
      <c r="Z92" s="260"/>
      <c r="AA92" s="47"/>
      <c r="AB92" s="49"/>
    </row>
    <row r="93" spans="2:28" ht="19.5" hidden="1" x14ac:dyDescent="0.25">
      <c r="B93" s="34">
        <v>5</v>
      </c>
      <c r="C93" s="47"/>
      <c r="D93" s="48"/>
      <c r="E93" s="48"/>
      <c r="F93" s="51"/>
      <c r="G93" s="259"/>
      <c r="H93" s="260"/>
      <c r="I93" s="163"/>
      <c r="J93" s="49"/>
      <c r="K93" s="34">
        <v>5</v>
      </c>
      <c r="L93" s="47"/>
      <c r="M93" s="48"/>
      <c r="N93" s="48"/>
      <c r="O93" s="51"/>
      <c r="P93" s="259"/>
      <c r="Q93" s="260"/>
      <c r="R93" s="47"/>
      <c r="S93" s="49"/>
      <c r="T93" s="34">
        <v>5</v>
      </c>
      <c r="U93" s="47"/>
      <c r="V93" s="48"/>
      <c r="W93" s="48"/>
      <c r="X93" s="51"/>
      <c r="Y93" s="259"/>
      <c r="Z93" s="260"/>
      <c r="AA93" s="47"/>
      <c r="AB93" s="49"/>
    </row>
    <row r="94" spans="2:28" ht="19.5" hidden="1" x14ac:dyDescent="0.25">
      <c r="B94" s="34">
        <v>6</v>
      </c>
      <c r="C94" s="47"/>
      <c r="D94" s="48"/>
      <c r="E94" s="48"/>
      <c r="F94" s="51"/>
      <c r="G94" s="259"/>
      <c r="H94" s="260"/>
      <c r="I94" s="47"/>
      <c r="J94" s="49"/>
      <c r="K94" s="34">
        <v>6</v>
      </c>
      <c r="L94" s="47"/>
      <c r="M94" s="48"/>
      <c r="N94" s="48"/>
      <c r="O94" s="51"/>
      <c r="P94" s="259"/>
      <c r="Q94" s="260"/>
      <c r="R94" s="47"/>
      <c r="S94" s="49"/>
      <c r="T94" s="34">
        <v>6</v>
      </c>
      <c r="U94" s="47"/>
      <c r="V94" s="48"/>
      <c r="W94" s="48"/>
      <c r="X94" s="51"/>
      <c r="Y94" s="259"/>
      <c r="Z94" s="260"/>
      <c r="AA94" s="47"/>
      <c r="AB94" s="49"/>
    </row>
    <row r="95" spans="2:28" ht="19.5" hidden="1" x14ac:dyDescent="0.25">
      <c r="B95" s="34">
        <v>7</v>
      </c>
      <c r="C95" s="47"/>
      <c r="D95" s="48"/>
      <c r="E95" s="48"/>
      <c r="F95" s="51"/>
      <c r="G95" s="259"/>
      <c r="H95" s="260"/>
      <c r="I95" s="47"/>
      <c r="J95" s="49"/>
      <c r="K95" s="34">
        <v>7</v>
      </c>
      <c r="L95" s="47"/>
      <c r="M95" s="48"/>
      <c r="N95" s="48"/>
      <c r="O95" s="51"/>
      <c r="P95" s="259"/>
      <c r="Q95" s="260"/>
      <c r="R95" s="47"/>
      <c r="S95" s="49"/>
      <c r="T95" s="34">
        <v>7</v>
      </c>
      <c r="U95" s="47"/>
      <c r="V95" s="48"/>
      <c r="W95" s="48"/>
      <c r="X95" s="51"/>
      <c r="Y95" s="259"/>
      <c r="Z95" s="260"/>
      <c r="AA95" s="47"/>
      <c r="AB95" s="49"/>
    </row>
    <row r="96" spans="2:28" ht="19.5" hidden="1" x14ac:dyDescent="0.25">
      <c r="B96" s="34">
        <v>8</v>
      </c>
      <c r="C96" s="47"/>
      <c r="D96" s="48"/>
      <c r="E96" s="48"/>
      <c r="F96" s="51"/>
      <c r="G96" s="259"/>
      <c r="H96" s="260"/>
      <c r="I96" s="47"/>
      <c r="J96" s="49"/>
      <c r="K96" s="34">
        <v>8</v>
      </c>
      <c r="L96" s="47"/>
      <c r="M96" s="48"/>
      <c r="N96" s="48"/>
      <c r="O96" s="51"/>
      <c r="P96" s="259"/>
      <c r="Q96" s="260"/>
      <c r="R96" s="47"/>
      <c r="S96" s="49"/>
      <c r="T96" s="34">
        <v>8</v>
      </c>
      <c r="U96" s="47"/>
      <c r="V96" s="48"/>
      <c r="W96" s="48"/>
      <c r="X96" s="51"/>
      <c r="Y96" s="259"/>
      <c r="Z96" s="260"/>
      <c r="AA96" s="47"/>
      <c r="AB96" s="49"/>
    </row>
    <row r="97" spans="2:28" ht="19.5" hidden="1" x14ac:dyDescent="0.25">
      <c r="B97" s="34">
        <v>9</v>
      </c>
      <c r="C97" s="47"/>
      <c r="D97" s="48"/>
      <c r="E97" s="48"/>
      <c r="F97" s="51"/>
      <c r="G97" s="259"/>
      <c r="H97" s="260"/>
      <c r="I97" s="47"/>
      <c r="J97" s="49"/>
      <c r="K97" s="34">
        <v>9</v>
      </c>
      <c r="L97" s="47"/>
      <c r="M97" s="48"/>
      <c r="N97" s="48"/>
      <c r="O97" s="51"/>
      <c r="P97" s="259"/>
      <c r="Q97" s="260"/>
      <c r="R97" s="47"/>
      <c r="S97" s="49"/>
      <c r="T97" s="34">
        <v>9</v>
      </c>
      <c r="U97" s="47"/>
      <c r="V97" s="48"/>
      <c r="W97" s="48"/>
      <c r="X97" s="51"/>
      <c r="Y97" s="259"/>
      <c r="Z97" s="260"/>
      <c r="AA97" s="47"/>
      <c r="AB97" s="49"/>
    </row>
    <row r="98" spans="2:28" ht="20.25" hidden="1" thickBot="1" x14ac:dyDescent="0.3">
      <c r="B98" s="34">
        <v>10</v>
      </c>
      <c r="C98" s="47"/>
      <c r="D98" s="48"/>
      <c r="E98" s="48"/>
      <c r="F98" s="50"/>
      <c r="G98" s="259"/>
      <c r="H98" s="260"/>
      <c r="I98" s="47"/>
      <c r="J98" s="49"/>
      <c r="K98" s="34">
        <v>10</v>
      </c>
      <c r="L98" s="47"/>
      <c r="M98" s="48"/>
      <c r="N98" s="48"/>
      <c r="O98" s="50"/>
      <c r="P98" s="259"/>
      <c r="Q98" s="260"/>
      <c r="R98" s="47"/>
      <c r="S98" s="49"/>
      <c r="T98" s="34">
        <v>10</v>
      </c>
      <c r="U98" s="47"/>
      <c r="V98" s="48"/>
      <c r="W98" s="48"/>
      <c r="X98" s="50"/>
      <c r="Y98" s="259"/>
      <c r="Z98" s="260"/>
      <c r="AA98" s="47"/>
      <c r="AB98" s="49"/>
    </row>
    <row r="99" spans="2:28" ht="23.25" hidden="1" thickBot="1" x14ac:dyDescent="0.35">
      <c r="B99" s="254" t="s">
        <v>29</v>
      </c>
      <c r="C99" s="255"/>
      <c r="D99" s="255"/>
      <c r="E99" s="255"/>
      <c r="F99" s="255"/>
      <c r="G99" s="255"/>
      <c r="H99" s="255"/>
      <c r="I99" s="256"/>
      <c r="J99" s="79">
        <f>SUM(J89:J98)</f>
        <v>222074831.15956151</v>
      </c>
      <c r="K99" s="254" t="s">
        <v>29</v>
      </c>
      <c r="L99" s="255"/>
      <c r="M99" s="255"/>
      <c r="N99" s="255"/>
      <c r="O99" s="255"/>
      <c r="P99" s="255"/>
      <c r="Q99" s="255"/>
      <c r="R99" s="256"/>
      <c r="S99" s="73">
        <f>SUM(S89:S98)</f>
        <v>0</v>
      </c>
      <c r="T99" s="254" t="s">
        <v>29</v>
      </c>
      <c r="U99" s="255"/>
      <c r="V99" s="255"/>
      <c r="W99" s="255"/>
      <c r="X99" s="255"/>
      <c r="Y99" s="255"/>
      <c r="Z99" s="255"/>
      <c r="AA99" s="256"/>
      <c r="AB99" s="73">
        <f>SUM(AB89:AB98)</f>
        <v>0</v>
      </c>
    </row>
    <row r="100" spans="2:28" ht="97.9" hidden="1" customHeight="1" thickBot="1" x14ac:dyDescent="0.3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2:28" ht="88.15" hidden="1" customHeight="1" thickBot="1" x14ac:dyDescent="1.1000000000000001">
      <c r="B101" s="297" t="s">
        <v>72</v>
      </c>
      <c r="C101" s="298"/>
      <c r="D101" s="298"/>
      <c r="E101" s="298"/>
      <c r="F101" s="298"/>
      <c r="G101" s="298"/>
      <c r="H101" s="298"/>
      <c r="I101" s="298"/>
      <c r="J101" s="298"/>
      <c r="K101" s="298"/>
      <c r="L101" s="298"/>
      <c r="M101" s="298"/>
      <c r="N101" s="298"/>
      <c r="O101" s="298"/>
      <c r="P101" s="298"/>
      <c r="Q101" s="298"/>
      <c r="R101" s="298"/>
      <c r="S101" s="298"/>
      <c r="T101" s="298"/>
      <c r="U101" s="298"/>
      <c r="V101" s="299"/>
      <c r="W101" s="246" t="s">
        <v>12</v>
      </c>
      <c r="X101" s="247"/>
      <c r="Y101" s="247"/>
      <c r="Z101" s="248"/>
      <c r="AA101" s="249">
        <v>5</v>
      </c>
      <c r="AB101" s="250"/>
    </row>
    <row r="102" spans="2:28" ht="32.25" hidden="1" x14ac:dyDescent="0.4">
      <c r="B102" s="231" t="s">
        <v>72</v>
      </c>
      <c r="C102" s="232"/>
      <c r="D102" s="232"/>
      <c r="E102" s="232"/>
      <c r="F102" s="232"/>
      <c r="G102" s="232"/>
      <c r="H102" s="232"/>
      <c r="I102" s="232"/>
      <c r="J102" s="233"/>
      <c r="K102" s="231"/>
      <c r="L102" s="232"/>
      <c r="M102" s="232"/>
      <c r="N102" s="232"/>
      <c r="O102" s="232"/>
      <c r="P102" s="232"/>
      <c r="Q102" s="232"/>
      <c r="R102" s="232"/>
      <c r="S102" s="233"/>
      <c r="T102" s="231"/>
      <c r="U102" s="232"/>
      <c r="V102" s="232"/>
      <c r="W102" s="232"/>
      <c r="X102" s="232"/>
      <c r="Y102" s="232"/>
      <c r="Z102" s="232"/>
      <c r="AA102" s="232"/>
      <c r="AB102" s="233"/>
    </row>
    <row r="103" spans="2:28" ht="40.9" hidden="1" customHeight="1" x14ac:dyDescent="0.25">
      <c r="B103" s="21" t="s">
        <v>3</v>
      </c>
      <c r="C103" s="225" t="s">
        <v>4</v>
      </c>
      <c r="D103" s="226"/>
      <c r="E103" s="227"/>
      <c r="F103" s="223" t="s">
        <v>5</v>
      </c>
      <c r="G103" s="224"/>
      <c r="H103" s="223" t="s">
        <v>6</v>
      </c>
      <c r="I103" s="224"/>
      <c r="J103" s="291" t="s">
        <v>0</v>
      </c>
      <c r="K103" s="21" t="s">
        <v>3</v>
      </c>
      <c r="L103" s="225" t="s">
        <v>4</v>
      </c>
      <c r="M103" s="226"/>
      <c r="N103" s="227"/>
      <c r="O103" s="223" t="s">
        <v>5</v>
      </c>
      <c r="P103" s="224"/>
      <c r="Q103" s="223" t="s">
        <v>6</v>
      </c>
      <c r="R103" s="224"/>
      <c r="S103" s="291" t="s">
        <v>0</v>
      </c>
      <c r="T103" s="21" t="s">
        <v>3</v>
      </c>
      <c r="U103" s="225" t="s">
        <v>4</v>
      </c>
      <c r="V103" s="226"/>
      <c r="W103" s="227"/>
      <c r="X103" s="223" t="s">
        <v>5</v>
      </c>
      <c r="Y103" s="224"/>
      <c r="Z103" s="223" t="s">
        <v>6</v>
      </c>
      <c r="AA103" s="224"/>
      <c r="AB103" s="291" t="s">
        <v>0</v>
      </c>
    </row>
    <row r="104" spans="2:28" ht="28.5" hidden="1" x14ac:dyDescent="0.25">
      <c r="B104" s="12" t="s">
        <v>3</v>
      </c>
      <c r="C104" s="152" t="s">
        <v>4</v>
      </c>
      <c r="D104" s="242" t="s">
        <v>8</v>
      </c>
      <c r="E104" s="243"/>
      <c r="F104" s="11" t="s">
        <v>10</v>
      </c>
      <c r="G104" s="152" t="s">
        <v>8</v>
      </c>
      <c r="H104" s="11" t="s">
        <v>9</v>
      </c>
      <c r="I104" s="152" t="s">
        <v>8</v>
      </c>
      <c r="J104" s="292"/>
      <c r="K104" s="12" t="s">
        <v>3</v>
      </c>
      <c r="L104" s="152" t="s">
        <v>4</v>
      </c>
      <c r="M104" s="242" t="s">
        <v>8</v>
      </c>
      <c r="N104" s="243"/>
      <c r="O104" s="11" t="s">
        <v>10</v>
      </c>
      <c r="P104" s="152" t="s">
        <v>8</v>
      </c>
      <c r="Q104" s="152" t="s">
        <v>9</v>
      </c>
      <c r="R104" s="152" t="s">
        <v>8</v>
      </c>
      <c r="S104" s="292"/>
      <c r="T104" s="12" t="s">
        <v>3</v>
      </c>
      <c r="U104" s="152" t="s">
        <v>4</v>
      </c>
      <c r="V104" s="242" t="s">
        <v>8</v>
      </c>
      <c r="W104" s="243"/>
      <c r="X104" s="11" t="s">
        <v>10</v>
      </c>
      <c r="Y104" s="152" t="s">
        <v>8</v>
      </c>
      <c r="Z104" s="152" t="s">
        <v>9</v>
      </c>
      <c r="AA104" s="152" t="s">
        <v>8</v>
      </c>
      <c r="AB104" s="292"/>
    </row>
    <row r="105" spans="2:28" ht="19.5" hidden="1" x14ac:dyDescent="0.25">
      <c r="B105" s="40">
        <v>1463444000</v>
      </c>
      <c r="C105" s="65">
        <f>26695025000/(J6)</f>
        <v>107.97762367582426</v>
      </c>
      <c r="D105" s="266">
        <f>IF(AND(C105&gt;0,C105&lt;=$AE$11),$AF$11,IF(AND(C105&gt;$AD$12,C105&lt;=$AE$12),$AF$12,IF(AND(C105&gt;$AD$13,C105&lt;=$AE$13),$AF$13,IF(AND(C105&gt;$AD$14),$AF$14))))</f>
        <v>120</v>
      </c>
      <c r="E105" s="267"/>
      <c r="F105" s="155">
        <v>303.69</v>
      </c>
      <c r="G105" s="156">
        <f>IF(AND(F105&gt;$AG$10,F105&lt;=$AH$10),$AI$10,IF(AND(F105&gt;$AG$11,F105&lt;=$AH$11),$AI$11,IF(AND(F105&gt;$AG$12,F105&lt;=$AH$12),$AI$12,IF(AND(F105&gt;$AG$13,F105&lt;=$AH$13),$AI$13,IF(AND(F105&gt;$AG$14),$AI$14)))))</f>
        <v>40</v>
      </c>
      <c r="H105" s="155">
        <v>1</v>
      </c>
      <c r="I105" s="156">
        <f>IF(AND(H105&gt;0,H105&lt;=$AK$11),$AL$11,IF(AND(H105&gt;$AK$11,H105&lt;=$AK$12),$AL$12,IF(AND(H105&gt;$AK$12),$AL$13)))</f>
        <v>20</v>
      </c>
      <c r="J105" s="293"/>
      <c r="K105" s="40"/>
      <c r="L105" s="80">
        <f>0/(J6*5%)</f>
        <v>0</v>
      </c>
      <c r="M105" s="266" t="b">
        <f>IF(AND(L105&gt;0,L105&lt;=$AE$11),$AF$11,IF(AND(L105&gt;$AD$12,L105&lt;=$AE$12),$AF$12,IF(AND(L105&gt;$AD$13,L105&lt;=$AE$13),$AF$13,IF(AND(L105&gt;$AD$14),$AF$14))))</f>
        <v>0</v>
      </c>
      <c r="N105" s="267"/>
      <c r="O105" s="155">
        <v>0</v>
      </c>
      <c r="P105" s="156" t="b">
        <f>IF(AND(O105&gt;$AG$10,O105&lt;=$AH$10),$AI$10,IF(AND(O105&gt;$AG$11,O105&lt;=$AH$11),$AI$11,IF(AND(O105&gt;$AG$12,O105&lt;=$AH$12),$AI$12,IF(AND(O105&gt;$AG$13,O105&lt;=$AH$13),$AI$13,IF(AND(O105&gt;$AG$14),$AI$14)))))</f>
        <v>0</v>
      </c>
      <c r="Q105" s="155">
        <v>0</v>
      </c>
      <c r="R105" s="156" t="b">
        <f>IF(AND(Q105&gt;0,Q105&lt;=$AK$11),$AL$11,IF(AND(Q105&gt;$AK$11,Q105&lt;=$AK$12),$AL$12,IF(AND(Q105&gt;$AK$12),$AL$13)))</f>
        <v>0</v>
      </c>
      <c r="S105" s="293"/>
      <c r="T105" s="26">
        <v>0</v>
      </c>
      <c r="U105" s="27">
        <v>0</v>
      </c>
      <c r="V105" s="244" t="b">
        <v>0</v>
      </c>
      <c r="W105" s="245"/>
      <c r="X105" s="152">
        <v>0</v>
      </c>
      <c r="Y105" s="154" t="b">
        <v>0</v>
      </c>
      <c r="Z105" s="152">
        <v>0</v>
      </c>
      <c r="AA105" s="154" t="b">
        <v>0</v>
      </c>
      <c r="AB105" s="293"/>
    </row>
    <row r="106" spans="2:28" ht="235.9" hidden="1" customHeight="1" thickBot="1" x14ac:dyDescent="0.3">
      <c r="B106" s="22" t="s">
        <v>11</v>
      </c>
      <c r="C106" s="68">
        <f>B105*((D105+I105+G105)/100)-J122</f>
        <v>2619249853.9000001</v>
      </c>
      <c r="D106" s="315" t="str">
        <f>IF(C106&gt;=$J$6,"CUMPLE","NO CUMPLE")</f>
        <v>CUMPLE</v>
      </c>
      <c r="E106" s="316"/>
      <c r="F106" s="316"/>
      <c r="G106" s="316"/>
      <c r="H106" s="316"/>
      <c r="I106" s="317"/>
      <c r="J106" s="23" t="s">
        <v>63</v>
      </c>
      <c r="K106" s="22" t="s">
        <v>11</v>
      </c>
      <c r="L106" s="68"/>
      <c r="M106" s="312" t="s">
        <v>58</v>
      </c>
      <c r="N106" s="313"/>
      <c r="O106" s="313"/>
      <c r="P106" s="313"/>
      <c r="Q106" s="313"/>
      <c r="R106" s="314"/>
      <c r="S106" s="23"/>
      <c r="T106" s="24" t="s">
        <v>11</v>
      </c>
      <c r="U106" s="76">
        <v>0</v>
      </c>
      <c r="V106" s="312" t="s">
        <v>58</v>
      </c>
      <c r="W106" s="313"/>
      <c r="X106" s="313"/>
      <c r="Y106" s="313"/>
      <c r="Z106" s="313"/>
      <c r="AA106" s="314"/>
      <c r="AB106" s="25"/>
    </row>
    <row r="107" spans="2:28" hidden="1" x14ac:dyDescent="0.25">
      <c r="B107" s="1"/>
      <c r="C107" s="2"/>
      <c r="D107" s="2"/>
      <c r="E107" s="1"/>
      <c r="F107" s="1"/>
      <c r="G107" s="2"/>
      <c r="H107" s="2"/>
      <c r="I107" s="2"/>
      <c r="J107" s="1"/>
      <c r="T107" s="4"/>
      <c r="U107" s="5"/>
      <c r="V107" s="5"/>
      <c r="W107" s="5"/>
      <c r="X107" s="5"/>
      <c r="Y107" s="5"/>
      <c r="Z107" s="5"/>
      <c r="AA107" s="5"/>
      <c r="AB107" s="6"/>
    </row>
    <row r="108" spans="2:28" ht="15.75" hidden="1" thickBot="1" x14ac:dyDescent="0.3">
      <c r="B108" s="1"/>
      <c r="C108" s="3"/>
      <c r="D108" s="3"/>
      <c r="E108" s="1"/>
      <c r="F108" s="1"/>
      <c r="G108" s="2"/>
      <c r="H108" s="2"/>
      <c r="I108" s="2"/>
      <c r="J108" s="1"/>
      <c r="T108" s="7"/>
      <c r="U108" s="8"/>
      <c r="V108" s="8"/>
      <c r="W108" s="8"/>
      <c r="X108" s="8"/>
      <c r="Y108" s="8"/>
      <c r="Z108" s="8"/>
      <c r="AA108" s="8"/>
      <c r="AB108" s="9"/>
    </row>
    <row r="109" spans="2:28" ht="92.45" hidden="1" customHeight="1" thickBot="1" x14ac:dyDescent="0.3">
      <c r="B109" s="330" t="s">
        <v>7</v>
      </c>
      <c r="C109" s="331"/>
      <c r="D109" s="331"/>
      <c r="E109" s="331"/>
      <c r="F109" s="331"/>
      <c r="G109" s="331"/>
      <c r="H109" s="332"/>
      <c r="I109" s="307">
        <f>C106+L106</f>
        <v>2619249853.9000001</v>
      </c>
      <c r="J109" s="308"/>
      <c r="K109" s="304" t="str">
        <f>IF(I109&gt;=$J$6,"CUMPLE","NO CUMPLE")</f>
        <v>CUMPLE</v>
      </c>
      <c r="L109" s="305"/>
      <c r="M109" s="305"/>
      <c r="N109" s="305"/>
      <c r="O109" s="305"/>
      <c r="P109" s="305"/>
      <c r="Q109" s="305"/>
      <c r="R109" s="305"/>
      <c r="S109" s="305"/>
      <c r="T109" s="305"/>
      <c r="U109" s="305"/>
      <c r="V109" s="305"/>
      <c r="W109" s="305"/>
      <c r="X109" s="305"/>
      <c r="Y109" s="305"/>
      <c r="Z109" s="305"/>
      <c r="AA109" s="305"/>
      <c r="AB109" s="306"/>
    </row>
    <row r="110" spans="2:28" ht="30.75" hidden="1" thickBot="1" x14ac:dyDescent="0.3">
      <c r="B110" s="271" t="s">
        <v>22</v>
      </c>
      <c r="C110" s="272"/>
      <c r="D110" s="272"/>
      <c r="E110" s="272"/>
      <c r="F110" s="272"/>
      <c r="G110" s="272"/>
      <c r="H110" s="272"/>
      <c r="I110" s="272"/>
      <c r="J110" s="272"/>
      <c r="K110" s="272"/>
      <c r="L110" s="272"/>
      <c r="M110" s="272"/>
      <c r="N110" s="272"/>
      <c r="O110" s="272"/>
      <c r="P110" s="272"/>
      <c r="Q110" s="272"/>
      <c r="R110" s="272"/>
      <c r="S110" s="272"/>
      <c r="T110" s="272"/>
      <c r="U110" s="272"/>
      <c r="V110" s="272"/>
      <c r="W110" s="272"/>
      <c r="X110" s="272"/>
      <c r="Y110" s="272"/>
      <c r="Z110" s="272"/>
      <c r="AA110" s="272"/>
      <c r="AB110" s="273"/>
    </row>
    <row r="111" spans="2:28" ht="73.900000000000006" hidden="1" customHeight="1" x14ac:dyDescent="0.35">
      <c r="B111" s="30" t="s">
        <v>1</v>
      </c>
      <c r="C111" s="157" t="s">
        <v>23</v>
      </c>
      <c r="D111" s="157" t="s">
        <v>24</v>
      </c>
      <c r="E111" s="52" t="s">
        <v>31</v>
      </c>
      <c r="F111" s="157" t="s">
        <v>25</v>
      </c>
      <c r="G111" s="257" t="s">
        <v>28</v>
      </c>
      <c r="H111" s="258"/>
      <c r="I111" s="157" t="s">
        <v>26</v>
      </c>
      <c r="J111" s="33" t="s">
        <v>27</v>
      </c>
      <c r="K111" s="30" t="s">
        <v>1</v>
      </c>
      <c r="L111" s="157" t="s">
        <v>23</v>
      </c>
      <c r="M111" s="157" t="s">
        <v>24</v>
      </c>
      <c r="N111" s="52" t="s">
        <v>31</v>
      </c>
      <c r="O111" s="157" t="s">
        <v>25</v>
      </c>
      <c r="P111" s="257" t="s">
        <v>28</v>
      </c>
      <c r="Q111" s="258"/>
      <c r="R111" s="157" t="s">
        <v>26</v>
      </c>
      <c r="S111" s="33" t="s">
        <v>27</v>
      </c>
      <c r="T111" s="30" t="s">
        <v>1</v>
      </c>
      <c r="U111" s="157" t="s">
        <v>23</v>
      </c>
      <c r="V111" s="157" t="s">
        <v>24</v>
      </c>
      <c r="W111" s="52" t="s">
        <v>31</v>
      </c>
      <c r="X111" s="157" t="s">
        <v>25</v>
      </c>
      <c r="Y111" s="257" t="s">
        <v>28</v>
      </c>
      <c r="Z111" s="258"/>
      <c r="AA111" s="157" t="s">
        <v>26</v>
      </c>
      <c r="AB111" s="33" t="s">
        <v>27</v>
      </c>
    </row>
    <row r="112" spans="2:28" ht="19.5" hidden="1" x14ac:dyDescent="0.25">
      <c r="B112" s="34">
        <v>1</v>
      </c>
      <c r="C112" s="47">
        <v>149493461</v>
      </c>
      <c r="D112" s="58">
        <v>6</v>
      </c>
      <c r="E112" s="77">
        <v>180</v>
      </c>
      <c r="F112" s="59">
        <v>18</v>
      </c>
      <c r="G112" s="259">
        <v>1</v>
      </c>
      <c r="H112" s="260"/>
      <c r="I112" s="71">
        <f>C112/E112</f>
        <v>830519.22777777782</v>
      </c>
      <c r="J112" s="72">
        <f>I112*G112*F112</f>
        <v>14949346.100000001</v>
      </c>
      <c r="K112" s="34">
        <v>1</v>
      </c>
      <c r="L112" s="47">
        <v>798477481.70000005</v>
      </c>
      <c r="M112" s="58">
        <v>4</v>
      </c>
      <c r="N112" s="77">
        <v>120</v>
      </c>
      <c r="O112" s="59">
        <v>120</v>
      </c>
      <c r="P112" s="259">
        <v>0.3</v>
      </c>
      <c r="Q112" s="260"/>
      <c r="R112" s="71">
        <v>6653979.0141666671</v>
      </c>
      <c r="S112" s="72">
        <v>239543244.50999999</v>
      </c>
      <c r="T112" s="34">
        <v>1</v>
      </c>
      <c r="U112" s="47"/>
      <c r="V112" s="58"/>
      <c r="W112" s="77">
        <v>0</v>
      </c>
      <c r="X112" s="59"/>
      <c r="Y112" s="149"/>
      <c r="Z112" s="150"/>
      <c r="AA112" s="47"/>
      <c r="AB112" s="72">
        <v>0</v>
      </c>
    </row>
    <row r="113" spans="2:28" ht="19.5" hidden="1" x14ac:dyDescent="0.25">
      <c r="B113" s="34">
        <v>2</v>
      </c>
      <c r="C113" s="47"/>
      <c r="D113" s="58"/>
      <c r="E113" s="77"/>
      <c r="F113" s="58"/>
      <c r="G113" s="259"/>
      <c r="H113" s="260"/>
      <c r="I113" s="71"/>
      <c r="J113" s="72"/>
      <c r="K113" s="34">
        <v>2</v>
      </c>
      <c r="L113" s="47"/>
      <c r="M113" s="48"/>
      <c r="N113" s="48"/>
      <c r="O113" s="51"/>
      <c r="P113" s="240"/>
      <c r="Q113" s="241"/>
      <c r="R113" s="47"/>
      <c r="S113" s="49"/>
      <c r="T113" s="34">
        <v>2</v>
      </c>
      <c r="U113" s="47"/>
      <c r="V113" s="48"/>
      <c r="W113" s="48"/>
      <c r="X113" s="51"/>
      <c r="Y113" s="240"/>
      <c r="Z113" s="241"/>
      <c r="AA113" s="47"/>
      <c r="AB113" s="49"/>
    </row>
    <row r="114" spans="2:28" ht="19.5" hidden="1" x14ac:dyDescent="0.25">
      <c r="B114" s="34">
        <v>3</v>
      </c>
      <c r="C114" s="47"/>
      <c r="D114" s="58"/>
      <c r="E114" s="77"/>
      <c r="F114" s="58"/>
      <c r="G114" s="259"/>
      <c r="H114" s="260"/>
      <c r="I114" s="71"/>
      <c r="J114" s="72"/>
      <c r="K114" s="34">
        <v>3</v>
      </c>
      <c r="L114" s="47"/>
      <c r="M114" s="48"/>
      <c r="N114" s="48"/>
      <c r="O114" s="51"/>
      <c r="P114" s="240"/>
      <c r="Q114" s="241"/>
      <c r="R114" s="47"/>
      <c r="S114" s="49"/>
      <c r="T114" s="34">
        <v>3</v>
      </c>
      <c r="U114" s="47"/>
      <c r="V114" s="48"/>
      <c r="W114" s="48"/>
      <c r="X114" s="51"/>
      <c r="Y114" s="240"/>
      <c r="Z114" s="241"/>
      <c r="AA114" s="47"/>
      <c r="AB114" s="49"/>
    </row>
    <row r="115" spans="2:28" ht="19.5" hidden="1" x14ac:dyDescent="0.25">
      <c r="B115" s="34">
        <v>4</v>
      </c>
      <c r="C115" s="47"/>
      <c r="D115" s="58"/>
      <c r="E115" s="77"/>
      <c r="F115" s="58"/>
      <c r="G115" s="259"/>
      <c r="H115" s="260"/>
      <c r="I115" s="71"/>
      <c r="J115" s="72"/>
      <c r="K115" s="34">
        <v>4</v>
      </c>
      <c r="L115" s="47"/>
      <c r="M115" s="48"/>
      <c r="N115" s="48"/>
      <c r="O115" s="51"/>
      <c r="P115" s="240"/>
      <c r="Q115" s="241"/>
      <c r="R115" s="47"/>
      <c r="S115" s="49"/>
      <c r="T115" s="34">
        <v>4</v>
      </c>
      <c r="U115" s="47"/>
      <c r="V115" s="48"/>
      <c r="W115" s="48"/>
      <c r="X115" s="51"/>
      <c r="Y115" s="240"/>
      <c r="Z115" s="241"/>
      <c r="AA115" s="47"/>
      <c r="AB115" s="49"/>
    </row>
    <row r="116" spans="2:28" ht="19.5" hidden="1" x14ac:dyDescent="0.25">
      <c r="B116" s="34">
        <v>5</v>
      </c>
      <c r="C116" s="47"/>
      <c r="D116" s="58"/>
      <c r="E116" s="77"/>
      <c r="F116" s="58"/>
      <c r="G116" s="259"/>
      <c r="H116" s="260"/>
      <c r="I116" s="71"/>
      <c r="J116" s="72"/>
      <c r="K116" s="34">
        <v>5</v>
      </c>
      <c r="L116" s="47"/>
      <c r="M116" s="48"/>
      <c r="N116" s="48"/>
      <c r="O116" s="51"/>
      <c r="P116" s="240"/>
      <c r="Q116" s="241"/>
      <c r="R116" s="47"/>
      <c r="S116" s="49"/>
      <c r="T116" s="34">
        <v>5</v>
      </c>
      <c r="U116" s="47"/>
      <c r="V116" s="48"/>
      <c r="W116" s="48"/>
      <c r="X116" s="51"/>
      <c r="Y116" s="240"/>
      <c r="Z116" s="241"/>
      <c r="AA116" s="47"/>
      <c r="AB116" s="49"/>
    </row>
    <row r="117" spans="2:28" ht="19.5" hidden="1" x14ac:dyDescent="0.25">
      <c r="B117" s="34">
        <v>6</v>
      </c>
      <c r="C117" s="47"/>
      <c r="D117" s="48"/>
      <c r="E117" s="48"/>
      <c r="F117" s="51"/>
      <c r="G117" s="240"/>
      <c r="H117" s="241"/>
      <c r="I117" s="47"/>
      <c r="J117" s="49"/>
      <c r="K117" s="34">
        <v>6</v>
      </c>
      <c r="L117" s="47"/>
      <c r="M117" s="48"/>
      <c r="N117" s="48"/>
      <c r="O117" s="51"/>
      <c r="P117" s="240"/>
      <c r="Q117" s="241"/>
      <c r="R117" s="47"/>
      <c r="S117" s="49"/>
      <c r="T117" s="34">
        <v>6</v>
      </c>
      <c r="U117" s="47"/>
      <c r="V117" s="48"/>
      <c r="W117" s="48"/>
      <c r="X117" s="51"/>
      <c r="Y117" s="240"/>
      <c r="Z117" s="241"/>
      <c r="AA117" s="47"/>
      <c r="AB117" s="49"/>
    </row>
    <row r="118" spans="2:28" ht="19.5" hidden="1" x14ac:dyDescent="0.25">
      <c r="B118" s="34">
        <v>7</v>
      </c>
      <c r="C118" s="47"/>
      <c r="D118" s="48"/>
      <c r="E118" s="48"/>
      <c r="F118" s="51"/>
      <c r="G118" s="240"/>
      <c r="H118" s="241"/>
      <c r="I118" s="47"/>
      <c r="J118" s="49"/>
      <c r="K118" s="34">
        <v>7</v>
      </c>
      <c r="L118" s="47"/>
      <c r="M118" s="48"/>
      <c r="N118" s="48"/>
      <c r="O118" s="51"/>
      <c r="P118" s="240"/>
      <c r="Q118" s="241"/>
      <c r="R118" s="47"/>
      <c r="S118" s="49"/>
      <c r="T118" s="34">
        <v>7</v>
      </c>
      <c r="U118" s="47"/>
      <c r="V118" s="48"/>
      <c r="W118" s="48"/>
      <c r="X118" s="51"/>
      <c r="Y118" s="240"/>
      <c r="Z118" s="241"/>
      <c r="AA118" s="47"/>
      <c r="AB118" s="49"/>
    </row>
    <row r="119" spans="2:28" ht="19.5" hidden="1" x14ac:dyDescent="0.25">
      <c r="B119" s="34">
        <v>8</v>
      </c>
      <c r="C119" s="47"/>
      <c r="D119" s="48"/>
      <c r="E119" s="48"/>
      <c r="F119" s="51"/>
      <c r="G119" s="237"/>
      <c r="H119" s="238"/>
      <c r="I119" s="47"/>
      <c r="J119" s="49"/>
      <c r="K119" s="34">
        <v>8</v>
      </c>
      <c r="L119" s="47"/>
      <c r="M119" s="48"/>
      <c r="N119" s="48"/>
      <c r="O119" s="51"/>
      <c r="P119" s="237"/>
      <c r="Q119" s="238"/>
      <c r="R119" s="47"/>
      <c r="S119" s="49"/>
      <c r="T119" s="34">
        <v>8</v>
      </c>
      <c r="U119" s="47"/>
      <c r="V119" s="48"/>
      <c r="W119" s="48"/>
      <c r="X119" s="51"/>
      <c r="Y119" s="237"/>
      <c r="Z119" s="238"/>
      <c r="AA119" s="47"/>
      <c r="AB119" s="49"/>
    </row>
    <row r="120" spans="2:28" ht="19.5" hidden="1" x14ac:dyDescent="0.25">
      <c r="B120" s="34">
        <v>9</v>
      </c>
      <c r="C120" s="47"/>
      <c r="D120" s="48"/>
      <c r="E120" s="48"/>
      <c r="F120" s="51"/>
      <c r="G120" s="237"/>
      <c r="H120" s="238"/>
      <c r="I120" s="47"/>
      <c r="J120" s="49"/>
      <c r="K120" s="34">
        <v>9</v>
      </c>
      <c r="L120" s="47"/>
      <c r="M120" s="48"/>
      <c r="N120" s="48"/>
      <c r="O120" s="51"/>
      <c r="P120" s="237"/>
      <c r="Q120" s="238"/>
      <c r="R120" s="47"/>
      <c r="S120" s="49"/>
      <c r="T120" s="34">
        <v>9</v>
      </c>
      <c r="U120" s="47"/>
      <c r="V120" s="48"/>
      <c r="W120" s="48"/>
      <c r="X120" s="51"/>
      <c r="Y120" s="237"/>
      <c r="Z120" s="238"/>
      <c r="AA120" s="47"/>
      <c r="AB120" s="49"/>
    </row>
    <row r="121" spans="2:28" ht="20.25" hidden="1" thickBot="1" x14ac:dyDescent="0.3">
      <c r="B121" s="34">
        <v>10</v>
      </c>
      <c r="C121" s="47"/>
      <c r="D121" s="48"/>
      <c r="E121" s="48"/>
      <c r="F121" s="50"/>
      <c r="G121" s="239"/>
      <c r="H121" s="238"/>
      <c r="I121" s="47"/>
      <c r="J121" s="49"/>
      <c r="K121" s="34">
        <v>10</v>
      </c>
      <c r="L121" s="47"/>
      <c r="M121" s="48"/>
      <c r="N121" s="48"/>
      <c r="O121" s="50"/>
      <c r="P121" s="239"/>
      <c r="Q121" s="238"/>
      <c r="R121" s="47"/>
      <c r="S121" s="49"/>
      <c r="T121" s="34">
        <v>10</v>
      </c>
      <c r="U121" s="47"/>
      <c r="V121" s="48"/>
      <c r="W121" s="48"/>
      <c r="X121" s="50"/>
      <c r="Y121" s="239"/>
      <c r="Z121" s="238"/>
      <c r="AA121" s="47"/>
      <c r="AB121" s="49"/>
    </row>
    <row r="122" spans="2:28" ht="23.25" hidden="1" thickBot="1" x14ac:dyDescent="0.35">
      <c r="B122" s="254" t="s">
        <v>29</v>
      </c>
      <c r="C122" s="255"/>
      <c r="D122" s="255"/>
      <c r="E122" s="255"/>
      <c r="F122" s="255"/>
      <c r="G122" s="255"/>
      <c r="H122" s="255"/>
      <c r="I122" s="256"/>
      <c r="J122" s="79">
        <f>J112</f>
        <v>14949346.100000001</v>
      </c>
      <c r="K122" s="254" t="s">
        <v>29</v>
      </c>
      <c r="L122" s="255"/>
      <c r="M122" s="255"/>
      <c r="N122" s="255"/>
      <c r="O122" s="255"/>
      <c r="P122" s="255"/>
      <c r="Q122" s="255"/>
      <c r="R122" s="256"/>
      <c r="S122" s="73">
        <v>239543244.50999999</v>
      </c>
      <c r="T122" s="254" t="s">
        <v>29</v>
      </c>
      <c r="U122" s="255"/>
      <c r="V122" s="255"/>
      <c r="W122" s="255"/>
      <c r="X122" s="255"/>
      <c r="Y122" s="255"/>
      <c r="Z122" s="255"/>
      <c r="AA122" s="256"/>
      <c r="AB122" s="73">
        <v>0</v>
      </c>
    </row>
    <row r="123" spans="2:28" ht="71.45" hidden="1" customHeight="1" thickBot="1" x14ac:dyDescent="0.3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</row>
    <row r="124" spans="2:28" ht="88.5" hidden="1" thickBot="1" x14ac:dyDescent="1.1000000000000001">
      <c r="B124" s="246" t="s">
        <v>73</v>
      </c>
      <c r="C124" s="247"/>
      <c r="D124" s="247"/>
      <c r="E124" s="247"/>
      <c r="F124" s="247"/>
      <c r="G124" s="247"/>
      <c r="H124" s="247"/>
      <c r="I124" s="247"/>
      <c r="J124" s="247"/>
      <c r="K124" s="247"/>
      <c r="L124" s="247"/>
      <c r="M124" s="247"/>
      <c r="N124" s="247"/>
      <c r="O124" s="247"/>
      <c r="P124" s="247"/>
      <c r="Q124" s="247"/>
      <c r="R124" s="247"/>
      <c r="S124" s="247"/>
      <c r="T124" s="247"/>
      <c r="U124" s="247"/>
      <c r="V124" s="248"/>
      <c r="W124" s="246" t="s">
        <v>12</v>
      </c>
      <c r="X124" s="247"/>
      <c r="Y124" s="247"/>
      <c r="Z124" s="248"/>
      <c r="AA124" s="249">
        <v>6</v>
      </c>
      <c r="AB124" s="250"/>
    </row>
    <row r="125" spans="2:28" ht="32.25" hidden="1" x14ac:dyDescent="0.4">
      <c r="B125" s="231" t="s">
        <v>73</v>
      </c>
      <c r="C125" s="232"/>
      <c r="D125" s="232"/>
      <c r="E125" s="232"/>
      <c r="F125" s="232"/>
      <c r="G125" s="232"/>
      <c r="H125" s="232"/>
      <c r="I125" s="232"/>
      <c r="J125" s="233"/>
      <c r="K125" s="231" t="s">
        <v>54</v>
      </c>
      <c r="L125" s="232"/>
      <c r="M125" s="232"/>
      <c r="N125" s="232"/>
      <c r="O125" s="232"/>
      <c r="P125" s="232"/>
      <c r="Q125" s="232"/>
      <c r="R125" s="232"/>
      <c r="S125" s="233"/>
      <c r="T125" s="231"/>
      <c r="U125" s="232"/>
      <c r="V125" s="232"/>
      <c r="W125" s="232"/>
      <c r="X125" s="232"/>
      <c r="Y125" s="232"/>
      <c r="Z125" s="232"/>
      <c r="AA125" s="232"/>
      <c r="AB125" s="233"/>
    </row>
    <row r="126" spans="2:28" ht="40.9" hidden="1" customHeight="1" x14ac:dyDescent="0.25">
      <c r="B126" s="21" t="s">
        <v>3</v>
      </c>
      <c r="C126" s="225" t="s">
        <v>4</v>
      </c>
      <c r="D126" s="226"/>
      <c r="E126" s="227"/>
      <c r="F126" s="223" t="s">
        <v>5</v>
      </c>
      <c r="G126" s="224"/>
      <c r="H126" s="223" t="s">
        <v>6</v>
      </c>
      <c r="I126" s="224"/>
      <c r="J126" s="228" t="s">
        <v>0</v>
      </c>
      <c r="K126" s="21" t="s">
        <v>3</v>
      </c>
      <c r="L126" s="261" t="s">
        <v>4</v>
      </c>
      <c r="M126" s="340"/>
      <c r="N126" s="262"/>
      <c r="O126" s="223" t="s">
        <v>5</v>
      </c>
      <c r="P126" s="224"/>
      <c r="Q126" s="223" t="s">
        <v>6</v>
      </c>
      <c r="R126" s="224"/>
      <c r="S126" s="263" t="s">
        <v>0</v>
      </c>
      <c r="T126" s="21" t="s">
        <v>3</v>
      </c>
      <c r="U126" s="225" t="s">
        <v>4</v>
      </c>
      <c r="V126" s="226"/>
      <c r="W126" s="227"/>
      <c r="X126" s="223" t="s">
        <v>5</v>
      </c>
      <c r="Y126" s="224"/>
      <c r="Z126" s="223" t="s">
        <v>6</v>
      </c>
      <c r="AA126" s="224"/>
      <c r="AB126" s="291" t="s">
        <v>0</v>
      </c>
    </row>
    <row r="127" spans="2:28" ht="39" hidden="1" x14ac:dyDescent="0.25">
      <c r="B127" s="53" t="s">
        <v>3</v>
      </c>
      <c r="C127" s="143" t="s">
        <v>4</v>
      </c>
      <c r="D127" s="261" t="s">
        <v>8</v>
      </c>
      <c r="E127" s="262"/>
      <c r="F127" s="139" t="s">
        <v>10</v>
      </c>
      <c r="G127" s="143" t="s">
        <v>8</v>
      </c>
      <c r="H127" s="143" t="s">
        <v>9</v>
      </c>
      <c r="I127" s="143" t="s">
        <v>8</v>
      </c>
      <c r="J127" s="229"/>
      <c r="K127" s="53" t="s">
        <v>3</v>
      </c>
      <c r="L127" s="143" t="s">
        <v>4</v>
      </c>
      <c r="M127" s="261" t="s">
        <v>8</v>
      </c>
      <c r="N127" s="262"/>
      <c r="O127" s="139" t="s">
        <v>10</v>
      </c>
      <c r="P127" s="143" t="s">
        <v>8</v>
      </c>
      <c r="Q127" s="143" t="s">
        <v>9</v>
      </c>
      <c r="R127" s="143" t="s">
        <v>8</v>
      </c>
      <c r="S127" s="264"/>
      <c r="T127" s="12" t="s">
        <v>3</v>
      </c>
      <c r="U127" s="141" t="s">
        <v>4</v>
      </c>
      <c r="V127" s="242" t="s">
        <v>8</v>
      </c>
      <c r="W127" s="243"/>
      <c r="X127" s="11" t="s">
        <v>10</v>
      </c>
      <c r="Y127" s="141" t="s">
        <v>8</v>
      </c>
      <c r="Z127" s="141" t="s">
        <v>9</v>
      </c>
      <c r="AA127" s="141" t="s">
        <v>8</v>
      </c>
      <c r="AB127" s="292"/>
    </row>
    <row r="128" spans="2:28" ht="20.45" hidden="1" customHeight="1" x14ac:dyDescent="0.25">
      <c r="B128" s="40">
        <v>382320000</v>
      </c>
      <c r="C128" s="65">
        <f>4260963000/J6</f>
        <v>17.234996382682208</v>
      </c>
      <c r="D128" s="266">
        <f>IF(AND(C128&gt;0,C128&lt;=$AE$11),$AF$11,IF(AND(C128&gt;$AD$12,C128&lt;=$AE$12),$AF$12,IF(AND(C128&gt;$AD$13,C128&lt;=$AE$13),$AF$13,IF(AND(C128&gt;$AD$14),$AF$14))))</f>
        <v>120</v>
      </c>
      <c r="E128" s="267"/>
      <c r="F128" s="143">
        <v>43.05</v>
      </c>
      <c r="G128" s="144">
        <f>IF(AND(F128&gt;$AG$10,F128&lt;=$AH$10),$AI$10,IF(AND(F128&gt;$AG$11,F128&lt;=$AH$11),$AI$11,IF(AND(F128&gt;$AG$12,F128&lt;=$AH$12),$AI$12,IF(AND(F128&gt;$AG$13,F128&lt;=$AH$13),$AI$13,IF(AND(F128&gt;$AG$14),$AI$14)))))</f>
        <v>40</v>
      </c>
      <c r="H128" s="143">
        <v>1</v>
      </c>
      <c r="I128" s="144">
        <f>IF(AND(H128&gt;0,H128&lt;=$AK$11),$AL$11,IF(AND(H128&gt;$AK$11,H128&lt;=$AK$12),$AL$12,IF(AND(H128&gt;$AK$12),$AL$13)))</f>
        <v>20</v>
      </c>
      <c r="J128" s="230"/>
      <c r="K128" s="40">
        <v>0</v>
      </c>
      <c r="L128" s="148">
        <v>0</v>
      </c>
      <c r="M128" s="266" t="b">
        <f>IF(AND(L128&gt;0,L128&lt;=$AE$11),$AF$11,IF(AND(L128&gt;$AD$12,L128&lt;=$AE$12),$AF$12,IF(AND(L128&gt;$AD$13,L128&lt;=$AE$13),$AF$13,IF(AND(L128&gt;$AD$14),$AF$14))))</f>
        <v>0</v>
      </c>
      <c r="N128" s="267"/>
      <c r="O128" s="143">
        <v>0</v>
      </c>
      <c r="P128" s="144" t="b">
        <f>IF(AND(O128&gt;$AG$10,O128&lt;=$AH$10),$AI$10,IF(AND(O128&gt;$AG$11,O128&lt;=$AH$11),$AI$11,IF(AND(O128&gt;$AG$12,O128&lt;=$AH$12),$AI$12,IF(AND(O128&gt;$AG$13,O128&lt;=$AH$13),$AI$13,IF(AND(O128&gt;$AG$14),$AI$14)))))</f>
        <v>0</v>
      </c>
      <c r="Q128" s="143">
        <v>0</v>
      </c>
      <c r="R128" s="144" t="b">
        <f>IF(AND(Q128&gt;0,Q128&lt;=$AK$11),$AL$11,IF(AND(Q128&gt;$AK$11,Q128&lt;=$AK$12),$AL$12,IF(AND(Q128&gt;$AK$12),$AL$13)))</f>
        <v>0</v>
      </c>
      <c r="S128" s="265"/>
      <c r="T128" s="26">
        <v>0</v>
      </c>
      <c r="U128" s="27">
        <v>0</v>
      </c>
      <c r="V128" s="244" t="b">
        <f>IF(AND(U128&gt;0,U128&lt;=$AE$11),$AF$11,IF(AND(U128&gt;$AD$12,U128&lt;=$AE$12),$AF$12,IF(AND(U128&gt;$AD$13,U128&lt;=$AE$13),$AF$13,IF(AND(U128&gt;$AD$14),$AF$14))))</f>
        <v>0</v>
      </c>
      <c r="W128" s="245"/>
      <c r="X128" s="141">
        <v>0</v>
      </c>
      <c r="Y128" s="140" t="b">
        <f>IF(AND(X128&gt;$AG$10,X128&lt;=$AH$10),$AI$10,IF(AND(X128&gt;$AG$11,X128&lt;=$AH$11),$AI$11,IF(AND(X128&gt;$AG$12,X128&lt;=$AH$12),$AI$12,IF(AND(X128&gt;$AG$13,X128&lt;=$AH$13),$AI$13,IF(AND(X128&gt;$AG$14),$AI$14)))))</f>
        <v>0</v>
      </c>
      <c r="Z128" s="141">
        <v>0</v>
      </c>
      <c r="AA128" s="140" t="b">
        <f>IF(AND(Z128&gt;0,Z128&lt;=$AK$11),$AL$11,IF(AND(Z128&gt;$AK$11,Z128&lt;=$AK$12),$AL$12,IF(AND(Z128&gt;$AK$12),$AL$13)))</f>
        <v>0</v>
      </c>
      <c r="AB128" s="293"/>
    </row>
    <row r="129" spans="2:28" ht="198" hidden="1" customHeight="1" thickBot="1" x14ac:dyDescent="0.3">
      <c r="B129" s="22" t="s">
        <v>11</v>
      </c>
      <c r="C129" s="68">
        <f>B128*((D128+I128+G128)/100)-J145</f>
        <v>606756234.29999995</v>
      </c>
      <c r="D129" s="315" t="str">
        <f>IF(C129&gt;=$J$6,"CUMPLE","NO CUMPLE")</f>
        <v>CUMPLE</v>
      </c>
      <c r="E129" s="316"/>
      <c r="F129" s="316"/>
      <c r="G129" s="316"/>
      <c r="H129" s="316"/>
      <c r="I129" s="317"/>
      <c r="J129" s="23" t="s">
        <v>63</v>
      </c>
      <c r="K129" s="22" t="s">
        <v>11</v>
      </c>
      <c r="L129" s="68">
        <f>K128*((M128+R128+P128)/100)-S145</f>
        <v>0</v>
      </c>
      <c r="M129" s="312" t="str">
        <f>IF(L129&gt;=$J$6,"CUMPLE",IF(AND(L129&lt;$J$6,L129&gt;0),"NO CUMPLE",IF(L129=0,"NO APLICA")))</f>
        <v>NO APLICA</v>
      </c>
      <c r="N129" s="313"/>
      <c r="O129" s="313"/>
      <c r="P129" s="313"/>
      <c r="Q129" s="313"/>
      <c r="R129" s="314"/>
      <c r="S129" s="23"/>
      <c r="T129" s="24" t="s">
        <v>11</v>
      </c>
      <c r="U129" s="76">
        <f>T128*((V128+AB128+Y128)/100)</f>
        <v>0</v>
      </c>
      <c r="V129" s="312" t="str">
        <f>IF(U129&gt;=$J$6,"CUMPLE",IF(AND(U129&lt;$J$6,U129&gt;0),"NO CUMPLE",IF(U129=0,"NO APLICA")))</f>
        <v>NO APLICA</v>
      </c>
      <c r="W129" s="313"/>
      <c r="X129" s="313"/>
      <c r="Y129" s="313"/>
      <c r="Z129" s="313"/>
      <c r="AA129" s="314"/>
      <c r="AB129" s="25"/>
    </row>
    <row r="130" spans="2:28" hidden="1" x14ac:dyDescent="0.25">
      <c r="B130" s="1"/>
      <c r="C130" s="2"/>
      <c r="D130" s="2"/>
      <c r="E130" s="1"/>
      <c r="F130" s="1"/>
      <c r="G130" s="2"/>
      <c r="H130" s="2"/>
      <c r="I130" s="2"/>
      <c r="J130" s="1"/>
      <c r="T130" s="4"/>
      <c r="U130" s="5"/>
      <c r="V130" s="5"/>
      <c r="W130" s="5"/>
      <c r="X130" s="5"/>
      <c r="Y130" s="5"/>
      <c r="Z130" s="5"/>
      <c r="AA130" s="5"/>
      <c r="AB130" s="6"/>
    </row>
    <row r="131" spans="2:28" ht="15.75" hidden="1" thickBot="1" x14ac:dyDescent="0.3">
      <c r="B131" s="1"/>
      <c r="C131" s="3"/>
      <c r="D131" s="3"/>
      <c r="E131" s="1"/>
      <c r="F131" s="1"/>
      <c r="G131" s="2"/>
      <c r="H131" s="2"/>
      <c r="I131" s="2"/>
      <c r="J131" s="1"/>
      <c r="T131" s="7"/>
      <c r="U131" s="8"/>
      <c r="V131" s="8"/>
      <c r="W131" s="8"/>
      <c r="X131" s="8"/>
      <c r="Y131" s="8"/>
      <c r="Z131" s="8"/>
      <c r="AA131" s="8"/>
      <c r="AB131" s="9"/>
    </row>
    <row r="132" spans="2:28" ht="92.45" hidden="1" customHeight="1" thickBot="1" x14ac:dyDescent="0.3">
      <c r="B132" s="330" t="s">
        <v>7</v>
      </c>
      <c r="C132" s="331"/>
      <c r="D132" s="331"/>
      <c r="E132" s="331"/>
      <c r="F132" s="331"/>
      <c r="G132" s="331"/>
      <c r="H132" s="332"/>
      <c r="I132" s="307">
        <f>C129+L129</f>
        <v>606756234.29999995</v>
      </c>
      <c r="J132" s="308"/>
      <c r="K132" s="304" t="str">
        <f>IF(I132&gt;=$J$6,"CUMPLE","NO CUMPLE")</f>
        <v>CUMPLE</v>
      </c>
      <c r="L132" s="305"/>
      <c r="M132" s="305"/>
      <c r="N132" s="305"/>
      <c r="O132" s="305"/>
      <c r="P132" s="305"/>
      <c r="Q132" s="305"/>
      <c r="R132" s="305"/>
      <c r="S132" s="305"/>
      <c r="T132" s="305"/>
      <c r="U132" s="305"/>
      <c r="V132" s="305"/>
      <c r="W132" s="305"/>
      <c r="X132" s="305"/>
      <c r="Y132" s="305"/>
      <c r="Z132" s="305"/>
      <c r="AA132" s="305"/>
      <c r="AB132" s="306"/>
    </row>
    <row r="133" spans="2:28" ht="30.75" hidden="1" thickBot="1" x14ac:dyDescent="0.3">
      <c r="B133" s="271" t="s">
        <v>22</v>
      </c>
      <c r="C133" s="272"/>
      <c r="D133" s="272"/>
      <c r="E133" s="272"/>
      <c r="F133" s="272"/>
      <c r="G133" s="272"/>
      <c r="H133" s="272"/>
      <c r="I133" s="272"/>
      <c r="J133" s="272"/>
      <c r="K133" s="272"/>
      <c r="L133" s="272"/>
      <c r="M133" s="272"/>
      <c r="N133" s="272"/>
      <c r="O133" s="272"/>
      <c r="P133" s="272"/>
      <c r="Q133" s="272"/>
      <c r="R133" s="272"/>
      <c r="S133" s="272"/>
      <c r="T133" s="272"/>
      <c r="U133" s="272"/>
      <c r="V133" s="272"/>
      <c r="W133" s="272"/>
      <c r="X133" s="272"/>
      <c r="Y133" s="272"/>
      <c r="Z133" s="272"/>
      <c r="AA133" s="272"/>
      <c r="AB133" s="273"/>
    </row>
    <row r="134" spans="2:28" ht="73.900000000000006" hidden="1" customHeight="1" x14ac:dyDescent="0.35">
      <c r="B134" s="30" t="s">
        <v>1</v>
      </c>
      <c r="C134" s="145" t="s">
        <v>23</v>
      </c>
      <c r="D134" s="145" t="s">
        <v>24</v>
      </c>
      <c r="E134" s="52" t="s">
        <v>31</v>
      </c>
      <c r="F134" s="145" t="s">
        <v>25</v>
      </c>
      <c r="G134" s="257" t="s">
        <v>28</v>
      </c>
      <c r="H134" s="258"/>
      <c r="I134" s="145" t="s">
        <v>26</v>
      </c>
      <c r="J134" s="33" t="s">
        <v>27</v>
      </c>
      <c r="K134" s="30" t="s">
        <v>1</v>
      </c>
      <c r="L134" s="145" t="s">
        <v>23</v>
      </c>
      <c r="M134" s="145" t="s">
        <v>24</v>
      </c>
      <c r="N134" s="52" t="s">
        <v>31</v>
      </c>
      <c r="O134" s="145" t="s">
        <v>25</v>
      </c>
      <c r="P134" s="257" t="s">
        <v>28</v>
      </c>
      <c r="Q134" s="258"/>
      <c r="R134" s="145" t="s">
        <v>26</v>
      </c>
      <c r="S134" s="33" t="s">
        <v>27</v>
      </c>
      <c r="T134" s="30" t="s">
        <v>1</v>
      </c>
      <c r="U134" s="145" t="s">
        <v>23</v>
      </c>
      <c r="V134" s="145" t="s">
        <v>24</v>
      </c>
      <c r="W134" s="52" t="s">
        <v>31</v>
      </c>
      <c r="X134" s="145" t="s">
        <v>25</v>
      </c>
      <c r="Y134" s="257" t="s">
        <v>28</v>
      </c>
      <c r="Z134" s="258"/>
      <c r="AA134" s="145" t="s">
        <v>26</v>
      </c>
      <c r="AB134" s="33" t="s">
        <v>27</v>
      </c>
    </row>
    <row r="135" spans="2:28" ht="19.5" hidden="1" x14ac:dyDescent="0.25">
      <c r="B135" s="34">
        <v>1</v>
      </c>
      <c r="C135" s="134">
        <v>1628395314</v>
      </c>
      <c r="D135" s="131">
        <v>11</v>
      </c>
      <c r="E135" s="131">
        <f>D135*30</f>
        <v>330</v>
      </c>
      <c r="F135" s="132">
        <v>33</v>
      </c>
      <c r="G135" s="274">
        <v>0.5</v>
      </c>
      <c r="H135" s="275"/>
      <c r="I135" s="71">
        <f>C135/E135</f>
        <v>4934531.2545454549</v>
      </c>
      <c r="J135" s="135">
        <f>I135*G135*F135</f>
        <v>81419765.700000003</v>
      </c>
      <c r="K135" s="34">
        <v>1</v>
      </c>
      <c r="L135" s="47"/>
      <c r="M135" s="58"/>
      <c r="N135" s="77"/>
      <c r="O135" s="59"/>
      <c r="P135" s="259"/>
      <c r="Q135" s="260"/>
      <c r="R135" s="47"/>
      <c r="S135" s="49"/>
      <c r="T135" s="34">
        <v>1</v>
      </c>
      <c r="U135" s="47"/>
      <c r="V135" s="58"/>
      <c r="W135" s="77">
        <f>V135*$AV$45</f>
        <v>0</v>
      </c>
      <c r="X135" s="59"/>
      <c r="Y135" s="259"/>
      <c r="Z135" s="260"/>
      <c r="AA135" s="47"/>
      <c r="AB135" s="72">
        <f>AA135*Y135*X135</f>
        <v>0</v>
      </c>
    </row>
    <row r="136" spans="2:28" ht="19.5" hidden="1" x14ac:dyDescent="0.25">
      <c r="B136" s="34">
        <v>2</v>
      </c>
      <c r="C136" s="134">
        <v>34732600</v>
      </c>
      <c r="D136" s="131">
        <v>9</v>
      </c>
      <c r="E136" s="131">
        <f>D136*30</f>
        <v>270</v>
      </c>
      <c r="F136" s="133">
        <v>0</v>
      </c>
      <c r="G136" s="274">
        <v>0.6</v>
      </c>
      <c r="H136" s="275"/>
      <c r="I136" s="71">
        <f>C136/E136</f>
        <v>128639.25925925926</v>
      </c>
      <c r="J136" s="135">
        <f>I136*G136*F136</f>
        <v>0</v>
      </c>
      <c r="K136" s="34">
        <v>2</v>
      </c>
      <c r="L136" s="47"/>
      <c r="M136" s="48"/>
      <c r="N136" s="48"/>
      <c r="O136" s="51"/>
      <c r="P136" s="259"/>
      <c r="Q136" s="260"/>
      <c r="R136" s="47"/>
      <c r="S136" s="49"/>
      <c r="T136" s="34">
        <v>2</v>
      </c>
      <c r="U136" s="47"/>
      <c r="V136" s="48"/>
      <c r="W136" s="48"/>
      <c r="X136" s="51"/>
      <c r="Y136" s="259"/>
      <c r="Z136" s="260"/>
      <c r="AA136" s="47"/>
      <c r="AB136" s="49"/>
    </row>
    <row r="137" spans="2:28" ht="19.5" hidden="1" x14ac:dyDescent="0.25">
      <c r="B137" s="34">
        <v>3</v>
      </c>
      <c r="C137" s="47"/>
      <c r="D137" s="48"/>
      <c r="E137" s="48"/>
      <c r="F137" s="51"/>
      <c r="G137" s="259"/>
      <c r="H137" s="260"/>
      <c r="I137" s="47"/>
      <c r="J137" s="49"/>
      <c r="K137" s="34">
        <v>3</v>
      </c>
      <c r="L137" s="47"/>
      <c r="M137" s="48"/>
      <c r="N137" s="48"/>
      <c r="O137" s="51"/>
      <c r="P137" s="259"/>
      <c r="Q137" s="260"/>
      <c r="R137" s="47"/>
      <c r="S137" s="49"/>
      <c r="T137" s="34">
        <v>3</v>
      </c>
      <c r="U137" s="47"/>
      <c r="V137" s="48"/>
      <c r="W137" s="48"/>
      <c r="X137" s="51"/>
      <c r="Y137" s="259"/>
      <c r="Z137" s="260"/>
      <c r="AA137" s="47"/>
      <c r="AB137" s="49"/>
    </row>
    <row r="138" spans="2:28" ht="19.5" hidden="1" x14ac:dyDescent="0.25">
      <c r="B138" s="34">
        <v>4</v>
      </c>
      <c r="C138" s="47"/>
      <c r="D138" s="48"/>
      <c r="E138" s="48"/>
      <c r="F138" s="51"/>
      <c r="G138" s="259"/>
      <c r="H138" s="260"/>
      <c r="I138" s="47"/>
      <c r="J138" s="49"/>
      <c r="K138" s="34">
        <v>4</v>
      </c>
      <c r="L138" s="47"/>
      <c r="M138" s="48"/>
      <c r="N138" s="48"/>
      <c r="O138" s="51"/>
      <c r="P138" s="259"/>
      <c r="Q138" s="260"/>
      <c r="R138" s="47"/>
      <c r="S138" s="49"/>
      <c r="T138" s="34">
        <v>4</v>
      </c>
      <c r="U138" s="47"/>
      <c r="V138" s="48"/>
      <c r="W138" s="48"/>
      <c r="X138" s="51"/>
      <c r="Y138" s="259"/>
      <c r="Z138" s="260"/>
      <c r="AA138" s="47"/>
      <c r="AB138" s="49"/>
    </row>
    <row r="139" spans="2:28" ht="19.5" hidden="1" x14ac:dyDescent="0.25">
      <c r="B139" s="34">
        <v>5</v>
      </c>
      <c r="C139" s="47"/>
      <c r="D139" s="48"/>
      <c r="E139" s="48"/>
      <c r="F139" s="51"/>
      <c r="G139" s="259"/>
      <c r="H139" s="260"/>
      <c r="I139" s="47"/>
      <c r="J139" s="49"/>
      <c r="K139" s="34">
        <v>5</v>
      </c>
      <c r="L139" s="47"/>
      <c r="M139" s="48"/>
      <c r="N139" s="48"/>
      <c r="O139" s="51"/>
      <c r="P139" s="259"/>
      <c r="Q139" s="260"/>
      <c r="R139" s="47"/>
      <c r="S139" s="49"/>
      <c r="T139" s="34">
        <v>5</v>
      </c>
      <c r="U139" s="47"/>
      <c r="V139" s="48"/>
      <c r="W139" s="48"/>
      <c r="X139" s="51"/>
      <c r="Y139" s="259"/>
      <c r="Z139" s="260"/>
      <c r="AA139" s="47"/>
      <c r="AB139" s="49"/>
    </row>
    <row r="140" spans="2:28" ht="19.5" hidden="1" x14ac:dyDescent="0.25">
      <c r="B140" s="34">
        <v>6</v>
      </c>
      <c r="C140" s="47"/>
      <c r="D140" s="48"/>
      <c r="E140" s="48"/>
      <c r="F140" s="51"/>
      <c r="G140" s="259"/>
      <c r="H140" s="260"/>
      <c r="I140" s="47"/>
      <c r="J140" s="49"/>
      <c r="K140" s="34">
        <v>6</v>
      </c>
      <c r="L140" s="47"/>
      <c r="M140" s="48"/>
      <c r="N140" s="48"/>
      <c r="O140" s="51"/>
      <c r="P140" s="259"/>
      <c r="Q140" s="260"/>
      <c r="R140" s="47"/>
      <c r="S140" s="49"/>
      <c r="T140" s="34">
        <v>6</v>
      </c>
      <c r="U140" s="47"/>
      <c r="V140" s="48"/>
      <c r="W140" s="48"/>
      <c r="X140" s="51"/>
      <c r="Y140" s="259"/>
      <c r="Z140" s="260"/>
      <c r="AA140" s="47"/>
      <c r="AB140" s="49"/>
    </row>
    <row r="141" spans="2:28" ht="19.5" hidden="1" x14ac:dyDescent="0.25">
      <c r="B141" s="34">
        <v>7</v>
      </c>
      <c r="C141" s="47"/>
      <c r="D141" s="48"/>
      <c r="E141" s="48"/>
      <c r="F141" s="51"/>
      <c r="G141" s="259"/>
      <c r="H141" s="260"/>
      <c r="I141" s="47"/>
      <c r="J141" s="49"/>
      <c r="K141" s="34">
        <v>7</v>
      </c>
      <c r="L141" s="47"/>
      <c r="M141" s="48"/>
      <c r="N141" s="48"/>
      <c r="O141" s="51"/>
      <c r="P141" s="259"/>
      <c r="Q141" s="260"/>
      <c r="R141" s="47"/>
      <c r="S141" s="49"/>
      <c r="T141" s="34">
        <v>7</v>
      </c>
      <c r="U141" s="47"/>
      <c r="V141" s="48"/>
      <c r="W141" s="48"/>
      <c r="X141" s="51"/>
      <c r="Y141" s="259"/>
      <c r="Z141" s="260"/>
      <c r="AA141" s="47"/>
      <c r="AB141" s="49"/>
    </row>
    <row r="142" spans="2:28" ht="19.5" hidden="1" x14ac:dyDescent="0.25">
      <c r="B142" s="34">
        <v>8</v>
      </c>
      <c r="C142" s="47"/>
      <c r="D142" s="48"/>
      <c r="E142" s="48"/>
      <c r="F142" s="51"/>
      <c r="G142" s="259"/>
      <c r="H142" s="260"/>
      <c r="I142" s="47"/>
      <c r="J142" s="49"/>
      <c r="K142" s="34">
        <v>8</v>
      </c>
      <c r="L142" s="47"/>
      <c r="M142" s="48"/>
      <c r="N142" s="48"/>
      <c r="O142" s="51"/>
      <c r="P142" s="259"/>
      <c r="Q142" s="260"/>
      <c r="R142" s="47"/>
      <c r="S142" s="49"/>
      <c r="T142" s="34">
        <v>8</v>
      </c>
      <c r="U142" s="47"/>
      <c r="V142" s="48"/>
      <c r="W142" s="48"/>
      <c r="X142" s="51"/>
      <c r="Y142" s="259"/>
      <c r="Z142" s="260"/>
      <c r="AA142" s="47"/>
      <c r="AB142" s="49"/>
    </row>
    <row r="143" spans="2:28" ht="19.5" hidden="1" x14ac:dyDescent="0.25">
      <c r="B143" s="34">
        <v>9</v>
      </c>
      <c r="C143" s="47"/>
      <c r="D143" s="48"/>
      <c r="E143" s="48"/>
      <c r="F143" s="51"/>
      <c r="G143" s="259"/>
      <c r="H143" s="260"/>
      <c r="I143" s="47"/>
      <c r="J143" s="49"/>
      <c r="K143" s="34">
        <v>9</v>
      </c>
      <c r="L143" s="47"/>
      <c r="M143" s="48"/>
      <c r="N143" s="48"/>
      <c r="O143" s="51"/>
      <c r="P143" s="259"/>
      <c r="Q143" s="260"/>
      <c r="R143" s="47"/>
      <c r="S143" s="49"/>
      <c r="T143" s="34">
        <v>9</v>
      </c>
      <c r="U143" s="47"/>
      <c r="V143" s="48"/>
      <c r="W143" s="48"/>
      <c r="X143" s="51"/>
      <c r="Y143" s="259"/>
      <c r="Z143" s="260"/>
      <c r="AA143" s="47"/>
      <c r="AB143" s="49"/>
    </row>
    <row r="144" spans="2:28" ht="20.25" hidden="1" thickBot="1" x14ac:dyDescent="0.3">
      <c r="B144" s="34">
        <v>10</v>
      </c>
      <c r="C144" s="47"/>
      <c r="D144" s="48"/>
      <c r="E144" s="48"/>
      <c r="F144" s="50"/>
      <c r="G144" s="259"/>
      <c r="H144" s="260"/>
      <c r="I144" s="47"/>
      <c r="J144" s="49"/>
      <c r="K144" s="34">
        <v>10</v>
      </c>
      <c r="L144" s="47"/>
      <c r="M144" s="48"/>
      <c r="N144" s="48"/>
      <c r="O144" s="50"/>
      <c r="P144" s="259"/>
      <c r="Q144" s="260"/>
      <c r="R144" s="47"/>
      <c r="S144" s="49"/>
      <c r="T144" s="34">
        <v>10</v>
      </c>
      <c r="U144" s="47"/>
      <c r="V144" s="48"/>
      <c r="W144" s="48"/>
      <c r="X144" s="50"/>
      <c r="Y144" s="259"/>
      <c r="Z144" s="260"/>
      <c r="AA144" s="47"/>
      <c r="AB144" s="49"/>
    </row>
    <row r="145" spans="2:28" ht="23.25" hidden="1" thickBot="1" x14ac:dyDescent="0.35">
      <c r="B145" s="254" t="s">
        <v>29</v>
      </c>
      <c r="C145" s="255"/>
      <c r="D145" s="255"/>
      <c r="E145" s="255"/>
      <c r="F145" s="255"/>
      <c r="G145" s="255"/>
      <c r="H145" s="255"/>
      <c r="I145" s="256"/>
      <c r="J145" s="79">
        <f>SUM(J135:J144)</f>
        <v>81419765.700000003</v>
      </c>
      <c r="K145" s="254" t="s">
        <v>29</v>
      </c>
      <c r="L145" s="255"/>
      <c r="M145" s="255"/>
      <c r="N145" s="255"/>
      <c r="O145" s="255"/>
      <c r="P145" s="255"/>
      <c r="Q145" s="255"/>
      <c r="R145" s="256"/>
      <c r="S145" s="73">
        <f>SUM(S135:S144)</f>
        <v>0</v>
      </c>
      <c r="T145" s="254" t="s">
        <v>29</v>
      </c>
      <c r="U145" s="255"/>
      <c r="V145" s="255"/>
      <c r="W145" s="255"/>
      <c r="X145" s="255"/>
      <c r="Y145" s="255"/>
      <c r="Z145" s="255"/>
      <c r="AA145" s="256"/>
      <c r="AB145" s="73">
        <f>SUM(AB135:AB144)</f>
        <v>0</v>
      </c>
    </row>
    <row r="146" spans="2:28" ht="76.150000000000006" hidden="1" customHeight="1" thickBot="1" x14ac:dyDescent="0.3"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</row>
    <row r="147" spans="2:28" ht="88.5" hidden="1" thickBot="1" x14ac:dyDescent="1.1000000000000001">
      <c r="B147" s="268" t="s">
        <v>74</v>
      </c>
      <c r="C147" s="269"/>
      <c r="D147" s="269"/>
      <c r="E147" s="269"/>
      <c r="F147" s="269"/>
      <c r="G147" s="269"/>
      <c r="H147" s="269"/>
      <c r="I147" s="269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69"/>
      <c r="U147" s="269"/>
      <c r="V147" s="270"/>
      <c r="W147" s="246" t="s">
        <v>12</v>
      </c>
      <c r="X147" s="247"/>
      <c r="Y147" s="247"/>
      <c r="Z147" s="248"/>
      <c r="AA147" s="249">
        <v>7</v>
      </c>
      <c r="AB147" s="250"/>
    </row>
    <row r="148" spans="2:28" ht="32.25" hidden="1" x14ac:dyDescent="0.4">
      <c r="B148" s="231" t="s">
        <v>74</v>
      </c>
      <c r="C148" s="232"/>
      <c r="D148" s="232"/>
      <c r="E148" s="232"/>
      <c r="F148" s="232"/>
      <c r="G148" s="232"/>
      <c r="H148" s="232"/>
      <c r="I148" s="232"/>
      <c r="J148" s="233"/>
      <c r="K148" s="231"/>
      <c r="L148" s="232"/>
      <c r="M148" s="232"/>
      <c r="N148" s="232"/>
      <c r="O148" s="232"/>
      <c r="P148" s="232"/>
      <c r="Q148" s="232"/>
      <c r="R148" s="232"/>
      <c r="S148" s="233"/>
      <c r="T148" s="231"/>
      <c r="U148" s="232"/>
      <c r="V148" s="232"/>
      <c r="W148" s="232"/>
      <c r="X148" s="232"/>
      <c r="Y148" s="232"/>
      <c r="Z148" s="232"/>
      <c r="AA148" s="232"/>
      <c r="AB148" s="233"/>
    </row>
    <row r="149" spans="2:28" ht="40.9" hidden="1" customHeight="1" x14ac:dyDescent="0.25">
      <c r="B149" s="21" t="s">
        <v>3</v>
      </c>
      <c r="C149" s="225" t="s">
        <v>4</v>
      </c>
      <c r="D149" s="226"/>
      <c r="E149" s="227"/>
      <c r="F149" s="223" t="s">
        <v>5</v>
      </c>
      <c r="G149" s="224"/>
      <c r="H149" s="223" t="s">
        <v>6</v>
      </c>
      <c r="I149" s="224"/>
      <c r="J149" s="291" t="s">
        <v>0</v>
      </c>
      <c r="K149" s="21" t="s">
        <v>3</v>
      </c>
      <c r="L149" s="225" t="s">
        <v>4</v>
      </c>
      <c r="M149" s="226"/>
      <c r="N149" s="227"/>
      <c r="O149" s="223" t="s">
        <v>5</v>
      </c>
      <c r="P149" s="224"/>
      <c r="Q149" s="223" t="s">
        <v>6</v>
      </c>
      <c r="R149" s="224"/>
      <c r="S149" s="291" t="s">
        <v>0</v>
      </c>
      <c r="T149" s="21" t="s">
        <v>3</v>
      </c>
      <c r="U149" s="225" t="s">
        <v>4</v>
      </c>
      <c r="V149" s="226"/>
      <c r="W149" s="227"/>
      <c r="X149" s="223" t="s">
        <v>5</v>
      </c>
      <c r="Y149" s="224"/>
      <c r="Z149" s="223" t="s">
        <v>6</v>
      </c>
      <c r="AA149" s="224"/>
      <c r="AB149" s="291" t="s">
        <v>0</v>
      </c>
    </row>
    <row r="150" spans="2:28" ht="28.5" hidden="1" x14ac:dyDescent="0.25">
      <c r="B150" s="12" t="s">
        <v>3</v>
      </c>
      <c r="C150" s="10" t="s">
        <v>4</v>
      </c>
      <c r="D150" s="242" t="s">
        <v>8</v>
      </c>
      <c r="E150" s="243"/>
      <c r="F150" s="11" t="s">
        <v>10</v>
      </c>
      <c r="G150" s="10" t="s">
        <v>8</v>
      </c>
      <c r="H150" s="11" t="s">
        <v>9</v>
      </c>
      <c r="I150" s="10" t="s">
        <v>8</v>
      </c>
      <c r="J150" s="292"/>
      <c r="K150" s="12" t="s">
        <v>3</v>
      </c>
      <c r="L150" s="10" t="s">
        <v>4</v>
      </c>
      <c r="M150" s="242" t="s">
        <v>8</v>
      </c>
      <c r="N150" s="243"/>
      <c r="O150" s="11" t="s">
        <v>10</v>
      </c>
      <c r="P150" s="10" t="s">
        <v>8</v>
      </c>
      <c r="Q150" s="10" t="s">
        <v>9</v>
      </c>
      <c r="R150" s="10" t="s">
        <v>8</v>
      </c>
      <c r="S150" s="292"/>
      <c r="T150" s="12" t="s">
        <v>3</v>
      </c>
      <c r="U150" s="10" t="s">
        <v>4</v>
      </c>
      <c r="V150" s="242" t="s">
        <v>8</v>
      </c>
      <c r="W150" s="243"/>
      <c r="X150" s="11" t="s">
        <v>10</v>
      </c>
      <c r="Y150" s="10" t="s">
        <v>8</v>
      </c>
      <c r="Z150" s="10" t="s">
        <v>9</v>
      </c>
      <c r="AA150" s="10" t="s">
        <v>8</v>
      </c>
      <c r="AB150" s="292"/>
    </row>
    <row r="151" spans="2:28" ht="18" hidden="1" x14ac:dyDescent="0.25">
      <c r="B151" s="26">
        <v>377066000</v>
      </c>
      <c r="C151" s="65">
        <f xml:space="preserve"> 6081624647/$J$6</f>
        <v>24.599316819196968</v>
      </c>
      <c r="D151" s="244">
        <f>IF(AND(C151&gt;0,C151&lt;=$AE$11),$AF$11,IF(AND(C151&gt;$AD$12,C151&lt;=$AE$12),$AF$12,IF(AND(C151&gt;$AD$13,C151&lt;=$AE$13),$AF$13,IF(AND(C151&gt;$AD$14),$AF$14))))</f>
        <v>120</v>
      </c>
      <c r="E151" s="245"/>
      <c r="F151" s="10">
        <v>20.97</v>
      </c>
      <c r="G151" s="75">
        <f>IF(AND(F151&gt;$AG$10,F151&lt;=$AH$10),$AI$10,IF(AND(F151&gt;$AG$11,F151&lt;=$AH$11),$AI$11,IF(AND(F151&gt;$AG$12,F151&lt;=$AH$12),$AI$12,IF(AND(F151&gt;$AG$13,F151&lt;=$AH$13),$AI$13,IF(AND(F151&gt;$AG$14),$AI$14)))))</f>
        <v>40</v>
      </c>
      <c r="H151" s="10">
        <v>1</v>
      </c>
      <c r="I151" s="75">
        <f>IF(AND(H151&gt;0,H151&lt;=$AK$11),$AL$11,IF(AND(H151&gt;$AK$11,H151&lt;=$AK$12),$AL$12,IF(AND(H151&gt;$AK$12),$AL$13)))</f>
        <v>20</v>
      </c>
      <c r="J151" s="293"/>
      <c r="K151" s="26">
        <v>0</v>
      </c>
      <c r="L151" s="65">
        <f>0/$J$6</f>
        <v>0</v>
      </c>
      <c r="M151" s="244" t="b">
        <f>IF(AND(L151&gt;0,L151&lt;=$AE$11),$AF$11,IF(AND(L151&gt;$AD$12,L151&lt;=$AE$12),$AF$12,IF(AND(L151&gt;$AD$13,L151&lt;=$AE$13),$AF$13,IF(AND(L151&gt;$AD$14),$AF$14))))</f>
        <v>0</v>
      </c>
      <c r="N151" s="245"/>
      <c r="O151" s="10">
        <v>0</v>
      </c>
      <c r="P151" s="75" t="b">
        <f>IF(AND(O151&gt;$AG$10,O151&lt;=$AH$10),$AI$10,IF(AND(O151&gt;$AG$11,O151&lt;=$AH$11),$AI$11,IF(AND(O151&gt;$AG$12,O151&lt;=$AH$12),$AI$12,IF(AND(O151&gt;$AG$13,O151&lt;=$AH$13),$AI$13,IF(AND(O151&gt;$AG$14),$AI$14)))))</f>
        <v>0</v>
      </c>
      <c r="Q151" s="10">
        <v>0</v>
      </c>
      <c r="R151" s="75" t="b">
        <f>IF(AND(Q151&gt;0,Q151&lt;=$AK$11),$AL$11,IF(AND(Q151&gt;$AK$11,Q151&lt;=$AK$12),$AL$12,IF(AND(Q151&gt;$AK$12),$AL$13)))</f>
        <v>0</v>
      </c>
      <c r="S151" s="293"/>
      <c r="T151" s="26">
        <v>0</v>
      </c>
      <c r="U151" s="27">
        <v>0</v>
      </c>
      <c r="V151" s="244" t="b">
        <f>IF(AND(U151&gt;0,U151&lt;=$AE$11),$AF$11,IF(AND(U151&gt;$AD$12,U151&lt;=$AE$12),$AF$12,IF(AND(U151&gt;$AD$13,U151&lt;=$AE$13),$AF$13,IF(AND(U151&gt;$AD$14),$AF$14))))</f>
        <v>0</v>
      </c>
      <c r="W151" s="245"/>
      <c r="X151" s="10">
        <v>0</v>
      </c>
      <c r="Y151" s="75" t="b">
        <f>IF(AND(X151&gt;$AG$10,X151&lt;=$AH$10),$AI$10,IF(AND(X151&gt;$AG$11,X151&lt;=$AH$11),$AI$11,IF(AND(X151&gt;$AG$12,X151&lt;=$AH$12),$AI$12,IF(AND(X151&gt;$AG$13,X151&lt;=$AH$13),$AI$13,IF(AND(X151&gt;$AG$14),$AI$14)))))</f>
        <v>0</v>
      </c>
      <c r="Z151" s="10">
        <v>0</v>
      </c>
      <c r="AA151" s="75" t="b">
        <f>IF(AND(Z151&gt;0,Z151&lt;=$AK$11),$AL$11,IF(AND(Z151&gt;$AK$11,Z151&lt;=$AK$12),$AL$12,IF(AND(Z151&gt;$AK$12),$AL$13)))</f>
        <v>0</v>
      </c>
      <c r="AB151" s="293"/>
    </row>
    <row r="152" spans="2:28" ht="210" hidden="1" customHeight="1" thickBot="1" x14ac:dyDescent="0.3">
      <c r="B152" s="22" t="s">
        <v>11</v>
      </c>
      <c r="C152" s="68">
        <f>B151*((D151+I151+G151)/100)-J168</f>
        <v>678718800</v>
      </c>
      <c r="D152" s="315" t="str">
        <f>IF(C152&gt;=$J$6,"CUMPLE","NO CUMPLE")</f>
        <v>CUMPLE</v>
      </c>
      <c r="E152" s="316"/>
      <c r="F152" s="316"/>
      <c r="G152" s="316"/>
      <c r="H152" s="316"/>
      <c r="I152" s="317"/>
      <c r="J152" s="136" t="s">
        <v>77</v>
      </c>
      <c r="K152" s="22" t="s">
        <v>11</v>
      </c>
      <c r="L152" s="68">
        <f>K151*((M151+S151+P151)/100)-S168</f>
        <v>0</v>
      </c>
      <c r="M152" s="312" t="str">
        <f>IF(L152&gt;=$J$6,"CUMPLE",IF(AND(L152&lt;$J$6,L152&gt;0),"NO CUMPLE",IF(L152=0,"NO APLICA")))</f>
        <v>NO APLICA</v>
      </c>
      <c r="N152" s="313"/>
      <c r="O152" s="313"/>
      <c r="P152" s="313"/>
      <c r="Q152" s="313"/>
      <c r="R152" s="314"/>
      <c r="S152" s="23"/>
      <c r="T152" s="24" t="s">
        <v>11</v>
      </c>
      <c r="U152" s="76">
        <f>T151*((V151+AB151+Y151)/100)</f>
        <v>0</v>
      </c>
      <c r="V152" s="312" t="str">
        <f>IF(U152&gt;=$J$6,"CUMPLE",IF(AND(U152&lt;$J$6,U152&gt;0),"NO CUMPLE",IF(U152=0,"NO APLICA")))</f>
        <v>NO APLICA</v>
      </c>
      <c r="W152" s="313"/>
      <c r="X152" s="313"/>
      <c r="Y152" s="313"/>
      <c r="Z152" s="313"/>
      <c r="AA152" s="314"/>
      <c r="AB152" s="25"/>
    </row>
    <row r="153" spans="2:28" hidden="1" x14ac:dyDescent="0.25">
      <c r="B153" s="1"/>
      <c r="C153" s="2"/>
      <c r="D153" s="2"/>
      <c r="E153" s="1"/>
      <c r="F153" s="1"/>
      <c r="G153" s="2"/>
      <c r="H153" s="2"/>
      <c r="I153" s="2"/>
      <c r="J153" s="1"/>
      <c r="T153" s="4"/>
      <c r="U153" s="5"/>
      <c r="V153" s="5"/>
      <c r="W153" s="5"/>
      <c r="X153" s="5"/>
      <c r="Y153" s="5"/>
      <c r="Z153" s="5"/>
      <c r="AA153" s="5"/>
      <c r="AB153" s="6"/>
    </row>
    <row r="154" spans="2:28" ht="15.75" hidden="1" thickBot="1" x14ac:dyDescent="0.3">
      <c r="B154" s="1"/>
      <c r="C154" s="3"/>
      <c r="D154" s="3"/>
      <c r="E154" s="1"/>
      <c r="F154" s="1"/>
      <c r="G154" s="2"/>
      <c r="H154" s="2"/>
      <c r="I154" s="2"/>
      <c r="J154" s="1"/>
      <c r="T154" s="7"/>
      <c r="U154" s="8"/>
      <c r="V154" s="8"/>
      <c r="W154" s="8"/>
      <c r="X154" s="8"/>
      <c r="Y154" s="8"/>
      <c r="Z154" s="8"/>
      <c r="AA154" s="8"/>
      <c r="AB154" s="9"/>
    </row>
    <row r="155" spans="2:28" ht="92.45" hidden="1" customHeight="1" thickBot="1" x14ac:dyDescent="0.3">
      <c r="B155" s="330" t="s">
        <v>7</v>
      </c>
      <c r="C155" s="331"/>
      <c r="D155" s="331"/>
      <c r="E155" s="331"/>
      <c r="F155" s="331"/>
      <c r="G155" s="331"/>
      <c r="H155" s="332"/>
      <c r="I155" s="307">
        <f>C152+L152+U152</f>
        <v>678718800</v>
      </c>
      <c r="J155" s="308"/>
      <c r="K155" s="304" t="str">
        <f>IF(I155&gt;=$J$6,"CUMPLE","NO CUMPLE")</f>
        <v>CUMPLE</v>
      </c>
      <c r="L155" s="305"/>
      <c r="M155" s="305"/>
      <c r="N155" s="305"/>
      <c r="O155" s="305"/>
      <c r="P155" s="305"/>
      <c r="Q155" s="305"/>
      <c r="R155" s="305"/>
      <c r="S155" s="305"/>
      <c r="T155" s="305"/>
      <c r="U155" s="305"/>
      <c r="V155" s="305"/>
      <c r="W155" s="305"/>
      <c r="X155" s="305"/>
      <c r="Y155" s="305"/>
      <c r="Z155" s="305"/>
      <c r="AA155" s="305"/>
      <c r="AB155" s="306"/>
    </row>
    <row r="156" spans="2:28" ht="30.75" hidden="1" thickBot="1" x14ac:dyDescent="0.3">
      <c r="B156" s="271" t="s">
        <v>22</v>
      </c>
      <c r="C156" s="272"/>
      <c r="D156" s="272"/>
      <c r="E156" s="272"/>
      <c r="F156" s="272"/>
      <c r="G156" s="272"/>
      <c r="H156" s="272"/>
      <c r="I156" s="272"/>
      <c r="J156" s="272"/>
      <c r="K156" s="272"/>
      <c r="L156" s="272"/>
      <c r="M156" s="272"/>
      <c r="N156" s="272"/>
      <c r="O156" s="272"/>
      <c r="P156" s="272"/>
      <c r="Q156" s="272"/>
      <c r="R156" s="272"/>
      <c r="S156" s="272"/>
      <c r="T156" s="272"/>
      <c r="U156" s="272"/>
      <c r="V156" s="272"/>
      <c r="W156" s="272"/>
      <c r="X156" s="272"/>
      <c r="Y156" s="272"/>
      <c r="Z156" s="272"/>
      <c r="AA156" s="272"/>
      <c r="AB156" s="273"/>
    </row>
    <row r="157" spans="2:28" ht="73.900000000000006" hidden="1" customHeight="1" x14ac:dyDescent="0.35">
      <c r="B157" s="30" t="s">
        <v>1</v>
      </c>
      <c r="C157" s="32" t="s">
        <v>23</v>
      </c>
      <c r="D157" s="32" t="s">
        <v>24</v>
      </c>
      <c r="E157" s="52" t="s">
        <v>31</v>
      </c>
      <c r="F157" s="32" t="s">
        <v>25</v>
      </c>
      <c r="G157" s="257" t="s">
        <v>28</v>
      </c>
      <c r="H157" s="258"/>
      <c r="I157" s="32" t="s">
        <v>26</v>
      </c>
      <c r="J157" s="33" t="s">
        <v>27</v>
      </c>
      <c r="K157" s="30" t="s">
        <v>1</v>
      </c>
      <c r="L157" s="32" t="s">
        <v>23</v>
      </c>
      <c r="M157" s="32" t="s">
        <v>24</v>
      </c>
      <c r="N157" s="52" t="s">
        <v>31</v>
      </c>
      <c r="O157" s="32" t="s">
        <v>25</v>
      </c>
      <c r="P157" s="257" t="s">
        <v>28</v>
      </c>
      <c r="Q157" s="258"/>
      <c r="R157" s="32" t="s">
        <v>26</v>
      </c>
      <c r="S157" s="33" t="s">
        <v>27</v>
      </c>
      <c r="T157" s="30" t="s">
        <v>1</v>
      </c>
      <c r="U157" s="32" t="s">
        <v>23</v>
      </c>
      <c r="V157" s="32" t="s">
        <v>24</v>
      </c>
      <c r="W157" s="52" t="s">
        <v>31</v>
      </c>
      <c r="X157" s="32" t="s">
        <v>25</v>
      </c>
      <c r="Y157" s="257" t="s">
        <v>28</v>
      </c>
      <c r="Z157" s="258"/>
      <c r="AA157" s="32" t="s">
        <v>26</v>
      </c>
      <c r="AB157" s="33" t="s">
        <v>27</v>
      </c>
    </row>
    <row r="158" spans="2:28" ht="19.5" hidden="1" x14ac:dyDescent="0.25">
      <c r="B158" s="34">
        <v>1</v>
      </c>
      <c r="C158" s="47"/>
      <c r="D158" s="58"/>
      <c r="E158" s="77"/>
      <c r="F158" s="59"/>
      <c r="G158" s="259"/>
      <c r="H158" s="260"/>
      <c r="I158" s="71"/>
      <c r="J158" s="72"/>
      <c r="K158" s="34">
        <v>1</v>
      </c>
      <c r="L158" s="47"/>
      <c r="M158" s="58"/>
      <c r="N158" s="77"/>
      <c r="O158" s="59"/>
      <c r="P158" s="259"/>
      <c r="Q158" s="260"/>
      <c r="R158" s="71"/>
      <c r="S158" s="72">
        <f>R158*P158*O158</f>
        <v>0</v>
      </c>
      <c r="T158" s="34">
        <v>1</v>
      </c>
      <c r="U158" s="47"/>
      <c r="V158" s="58"/>
      <c r="W158" s="77"/>
      <c r="X158" s="59"/>
      <c r="Y158" s="259"/>
      <c r="Z158" s="260"/>
      <c r="AA158" s="71"/>
      <c r="AB158" s="72"/>
    </row>
    <row r="159" spans="2:28" ht="19.5" hidden="1" x14ac:dyDescent="0.25">
      <c r="B159" s="34">
        <v>2</v>
      </c>
      <c r="C159" s="47"/>
      <c r="D159" s="58"/>
      <c r="E159" s="77"/>
      <c r="F159" s="58"/>
      <c r="G159" s="259"/>
      <c r="H159" s="260"/>
      <c r="I159" s="71"/>
      <c r="J159" s="72"/>
      <c r="K159" s="34">
        <v>2</v>
      </c>
      <c r="L159" s="47"/>
      <c r="M159" s="48"/>
      <c r="N159" s="48"/>
      <c r="O159" s="51"/>
      <c r="P159" s="240"/>
      <c r="Q159" s="241"/>
      <c r="R159" s="47"/>
      <c r="S159" s="49"/>
      <c r="T159" s="34">
        <v>2</v>
      </c>
      <c r="U159" s="47"/>
      <c r="V159" s="48"/>
      <c r="W159" s="48"/>
      <c r="X159" s="51"/>
      <c r="Y159" s="240"/>
      <c r="Z159" s="241"/>
      <c r="AA159" s="47"/>
      <c r="AB159" s="49"/>
    </row>
    <row r="160" spans="2:28" ht="19.5" hidden="1" x14ac:dyDescent="0.25">
      <c r="B160" s="34">
        <v>3</v>
      </c>
      <c r="C160" s="47"/>
      <c r="D160" s="58"/>
      <c r="E160" s="77"/>
      <c r="F160" s="58"/>
      <c r="G160" s="259"/>
      <c r="H160" s="260"/>
      <c r="I160" s="71"/>
      <c r="J160" s="72"/>
      <c r="K160" s="34">
        <v>3</v>
      </c>
      <c r="L160" s="47"/>
      <c r="M160" s="48"/>
      <c r="N160" s="48"/>
      <c r="O160" s="51"/>
      <c r="P160" s="240"/>
      <c r="Q160" s="241"/>
      <c r="R160" s="47"/>
      <c r="S160" s="49"/>
      <c r="T160" s="34">
        <v>3</v>
      </c>
      <c r="U160" s="47"/>
      <c r="V160" s="48"/>
      <c r="W160" s="48"/>
      <c r="X160" s="51"/>
      <c r="Y160" s="240"/>
      <c r="Z160" s="241"/>
      <c r="AA160" s="47"/>
      <c r="AB160" s="49"/>
    </row>
    <row r="161" spans="2:28" ht="19.5" hidden="1" x14ac:dyDescent="0.25">
      <c r="B161" s="34">
        <v>4</v>
      </c>
      <c r="C161" s="47"/>
      <c r="D161" s="58"/>
      <c r="E161" s="77"/>
      <c r="F161" s="58"/>
      <c r="G161" s="259"/>
      <c r="H161" s="260"/>
      <c r="I161" s="71"/>
      <c r="J161" s="72"/>
      <c r="K161" s="34">
        <v>4</v>
      </c>
      <c r="L161" s="47"/>
      <c r="M161" s="48"/>
      <c r="N161" s="48"/>
      <c r="O161" s="51"/>
      <c r="P161" s="240"/>
      <c r="Q161" s="241"/>
      <c r="R161" s="47"/>
      <c r="S161" s="49"/>
      <c r="T161" s="34">
        <v>4</v>
      </c>
      <c r="U161" s="47"/>
      <c r="V161" s="48"/>
      <c r="W161" s="48"/>
      <c r="X161" s="51"/>
      <c r="Y161" s="240"/>
      <c r="Z161" s="241"/>
      <c r="AA161" s="47"/>
      <c r="AB161" s="49"/>
    </row>
    <row r="162" spans="2:28" ht="19.5" hidden="1" x14ac:dyDescent="0.25">
      <c r="B162" s="34">
        <v>5</v>
      </c>
      <c r="C162" s="47"/>
      <c r="D162" s="58"/>
      <c r="E162" s="77"/>
      <c r="F162" s="58"/>
      <c r="G162" s="259"/>
      <c r="H162" s="260"/>
      <c r="I162" s="71"/>
      <c r="J162" s="72"/>
      <c r="K162" s="34">
        <v>5</v>
      </c>
      <c r="L162" s="47"/>
      <c r="M162" s="48"/>
      <c r="N162" s="48"/>
      <c r="O162" s="51"/>
      <c r="P162" s="240"/>
      <c r="Q162" s="241"/>
      <c r="R162" s="47"/>
      <c r="S162" s="49"/>
      <c r="T162" s="34">
        <v>5</v>
      </c>
      <c r="U162" s="47"/>
      <c r="V162" s="48"/>
      <c r="W162" s="48"/>
      <c r="X162" s="51"/>
      <c r="Y162" s="240"/>
      <c r="Z162" s="241"/>
      <c r="AA162" s="47"/>
      <c r="AB162" s="49"/>
    </row>
    <row r="163" spans="2:28" ht="19.5" hidden="1" x14ac:dyDescent="0.25">
      <c r="B163" s="34">
        <v>6</v>
      </c>
      <c r="C163" s="47"/>
      <c r="D163" s="48"/>
      <c r="E163" s="48"/>
      <c r="F163" s="51"/>
      <c r="G163" s="240"/>
      <c r="H163" s="241"/>
      <c r="I163" s="47"/>
      <c r="J163" s="49"/>
      <c r="K163" s="34">
        <v>6</v>
      </c>
      <c r="L163" s="47"/>
      <c r="M163" s="48"/>
      <c r="N163" s="48"/>
      <c r="O163" s="51"/>
      <c r="P163" s="240"/>
      <c r="Q163" s="241"/>
      <c r="R163" s="47"/>
      <c r="S163" s="49"/>
      <c r="T163" s="34">
        <v>6</v>
      </c>
      <c r="U163" s="47"/>
      <c r="V163" s="48"/>
      <c r="W163" s="48"/>
      <c r="X163" s="51"/>
      <c r="Y163" s="240"/>
      <c r="Z163" s="241"/>
      <c r="AA163" s="47"/>
      <c r="AB163" s="49"/>
    </row>
    <row r="164" spans="2:28" ht="19.5" hidden="1" x14ac:dyDescent="0.25">
      <c r="B164" s="34">
        <v>7</v>
      </c>
      <c r="C164" s="47"/>
      <c r="D164" s="48"/>
      <c r="E164" s="48"/>
      <c r="F164" s="51"/>
      <c r="G164" s="240"/>
      <c r="H164" s="241"/>
      <c r="I164" s="47"/>
      <c r="J164" s="49"/>
      <c r="K164" s="34">
        <v>7</v>
      </c>
      <c r="L164" s="47"/>
      <c r="M164" s="48"/>
      <c r="N164" s="48"/>
      <c r="O164" s="51"/>
      <c r="P164" s="240"/>
      <c r="Q164" s="241"/>
      <c r="R164" s="47"/>
      <c r="S164" s="49"/>
      <c r="T164" s="34">
        <v>7</v>
      </c>
      <c r="U164" s="47"/>
      <c r="V164" s="48"/>
      <c r="W164" s="48"/>
      <c r="X164" s="51"/>
      <c r="Y164" s="240"/>
      <c r="Z164" s="241"/>
      <c r="AA164" s="47"/>
      <c r="AB164" s="49"/>
    </row>
    <row r="165" spans="2:28" ht="19.5" hidden="1" x14ac:dyDescent="0.25">
      <c r="B165" s="34">
        <v>8</v>
      </c>
      <c r="C165" s="47"/>
      <c r="D165" s="48"/>
      <c r="E165" s="48"/>
      <c r="F165" s="51"/>
      <c r="G165" s="237"/>
      <c r="H165" s="238"/>
      <c r="I165" s="47"/>
      <c r="J165" s="49"/>
      <c r="K165" s="34">
        <v>8</v>
      </c>
      <c r="L165" s="47"/>
      <c r="M165" s="48"/>
      <c r="N165" s="48"/>
      <c r="O165" s="51"/>
      <c r="P165" s="237"/>
      <c r="Q165" s="238"/>
      <c r="R165" s="47"/>
      <c r="S165" s="49"/>
      <c r="T165" s="34">
        <v>8</v>
      </c>
      <c r="U165" s="47"/>
      <c r="V165" s="48"/>
      <c r="W165" s="48"/>
      <c r="X165" s="51"/>
      <c r="Y165" s="237"/>
      <c r="Z165" s="238"/>
      <c r="AA165" s="47"/>
      <c r="AB165" s="49"/>
    </row>
    <row r="166" spans="2:28" ht="19.5" hidden="1" x14ac:dyDescent="0.25">
      <c r="B166" s="34">
        <v>9</v>
      </c>
      <c r="C166" s="47"/>
      <c r="D166" s="48"/>
      <c r="E166" s="48"/>
      <c r="F166" s="51"/>
      <c r="G166" s="237"/>
      <c r="H166" s="238"/>
      <c r="I166" s="47"/>
      <c r="J166" s="49"/>
      <c r="K166" s="34">
        <v>9</v>
      </c>
      <c r="L166" s="47"/>
      <c r="M166" s="48"/>
      <c r="N166" s="48"/>
      <c r="O166" s="51"/>
      <c r="P166" s="237"/>
      <c r="Q166" s="238"/>
      <c r="R166" s="47"/>
      <c r="S166" s="49"/>
      <c r="T166" s="34">
        <v>9</v>
      </c>
      <c r="U166" s="47"/>
      <c r="V166" s="48"/>
      <c r="W166" s="48"/>
      <c r="X166" s="51"/>
      <c r="Y166" s="237"/>
      <c r="Z166" s="238"/>
      <c r="AA166" s="47"/>
      <c r="AB166" s="49"/>
    </row>
    <row r="167" spans="2:28" ht="20.25" hidden="1" thickBot="1" x14ac:dyDescent="0.3">
      <c r="B167" s="34">
        <v>10</v>
      </c>
      <c r="C167" s="47"/>
      <c r="D167" s="48"/>
      <c r="E167" s="48"/>
      <c r="F167" s="50"/>
      <c r="G167" s="239"/>
      <c r="H167" s="238"/>
      <c r="I167" s="47"/>
      <c r="J167" s="49"/>
      <c r="K167" s="34">
        <v>10</v>
      </c>
      <c r="L167" s="47"/>
      <c r="M167" s="48"/>
      <c r="N167" s="48"/>
      <c r="O167" s="50"/>
      <c r="P167" s="239"/>
      <c r="Q167" s="238"/>
      <c r="R167" s="47"/>
      <c r="S167" s="49"/>
      <c r="T167" s="34">
        <v>10</v>
      </c>
      <c r="U167" s="47"/>
      <c r="V167" s="48"/>
      <c r="W167" s="48"/>
      <c r="X167" s="50"/>
      <c r="Y167" s="239"/>
      <c r="Z167" s="238"/>
      <c r="AA167" s="47"/>
      <c r="AB167" s="49"/>
    </row>
    <row r="168" spans="2:28" ht="23.25" hidden="1" thickBot="1" x14ac:dyDescent="0.35">
      <c r="B168" s="254" t="s">
        <v>29</v>
      </c>
      <c r="C168" s="255"/>
      <c r="D168" s="255"/>
      <c r="E168" s="255"/>
      <c r="F168" s="255"/>
      <c r="G168" s="255"/>
      <c r="H168" s="255"/>
      <c r="I168" s="256"/>
      <c r="J168" s="79">
        <f>SUM(J158:J167)</f>
        <v>0</v>
      </c>
      <c r="K168" s="254" t="s">
        <v>29</v>
      </c>
      <c r="L168" s="255"/>
      <c r="M168" s="255"/>
      <c r="N168" s="255"/>
      <c r="O168" s="255"/>
      <c r="P168" s="255"/>
      <c r="Q168" s="255"/>
      <c r="R168" s="256"/>
      <c r="S168" s="73">
        <f>SUM(S158:S167)</f>
        <v>0</v>
      </c>
      <c r="T168" s="254" t="s">
        <v>29</v>
      </c>
      <c r="U168" s="255"/>
      <c r="V168" s="255"/>
      <c r="W168" s="255"/>
      <c r="X168" s="255"/>
      <c r="Y168" s="255"/>
      <c r="Z168" s="255"/>
      <c r="AA168" s="256"/>
      <c r="AB168" s="73">
        <f>SUM(AB158:AB167)</f>
        <v>0</v>
      </c>
    </row>
    <row r="169" spans="2:28" ht="63" hidden="1" customHeight="1" thickBot="1" x14ac:dyDescent="0.3"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</row>
    <row r="170" spans="2:28" ht="88.5" hidden="1" thickBot="1" x14ac:dyDescent="1.1000000000000001">
      <c r="B170" s="268" t="s">
        <v>75</v>
      </c>
      <c r="C170" s="269"/>
      <c r="D170" s="269"/>
      <c r="E170" s="269"/>
      <c r="F170" s="269"/>
      <c r="G170" s="269"/>
      <c r="H170" s="269"/>
      <c r="I170" s="269"/>
      <c r="J170" s="269"/>
      <c r="K170" s="269"/>
      <c r="L170" s="269"/>
      <c r="M170" s="269"/>
      <c r="N170" s="269"/>
      <c r="O170" s="269"/>
      <c r="P170" s="269"/>
      <c r="Q170" s="269"/>
      <c r="R170" s="269"/>
      <c r="S170" s="269"/>
      <c r="T170" s="269"/>
      <c r="U170" s="269"/>
      <c r="V170" s="270"/>
      <c r="W170" s="246" t="s">
        <v>12</v>
      </c>
      <c r="X170" s="247"/>
      <c r="Y170" s="247"/>
      <c r="Z170" s="248"/>
      <c r="AA170" s="249">
        <v>8</v>
      </c>
      <c r="AB170" s="250"/>
    </row>
    <row r="171" spans="2:28" ht="32.25" hidden="1" x14ac:dyDescent="0.4">
      <c r="B171" s="231" t="s">
        <v>75</v>
      </c>
      <c r="C171" s="232"/>
      <c r="D171" s="232"/>
      <c r="E171" s="232"/>
      <c r="F171" s="232"/>
      <c r="G171" s="232"/>
      <c r="H171" s="232"/>
      <c r="I171" s="232"/>
      <c r="J171" s="233"/>
      <c r="K171" s="251"/>
      <c r="L171" s="252"/>
      <c r="M171" s="252"/>
      <c r="N171" s="252"/>
      <c r="O171" s="252"/>
      <c r="P171" s="252"/>
      <c r="Q171" s="252"/>
      <c r="R171" s="252"/>
      <c r="S171" s="253"/>
      <c r="T171" s="231"/>
      <c r="U171" s="232"/>
      <c r="V171" s="232"/>
      <c r="W171" s="232"/>
      <c r="X171" s="232"/>
      <c r="Y171" s="232"/>
      <c r="Z171" s="232"/>
      <c r="AA171" s="232"/>
      <c r="AB171" s="233"/>
    </row>
    <row r="172" spans="2:28" ht="40.9" hidden="1" customHeight="1" x14ac:dyDescent="0.25">
      <c r="B172" s="21" t="s">
        <v>3</v>
      </c>
      <c r="C172" s="225" t="s">
        <v>4</v>
      </c>
      <c r="D172" s="226"/>
      <c r="E172" s="227"/>
      <c r="F172" s="223" t="s">
        <v>5</v>
      </c>
      <c r="G172" s="224"/>
      <c r="H172" s="223" t="s">
        <v>6</v>
      </c>
      <c r="I172" s="224"/>
      <c r="J172" s="291" t="s">
        <v>0</v>
      </c>
      <c r="K172" s="21" t="s">
        <v>3</v>
      </c>
      <c r="L172" s="225" t="s">
        <v>4</v>
      </c>
      <c r="M172" s="226"/>
      <c r="N172" s="227"/>
      <c r="O172" s="223" t="s">
        <v>5</v>
      </c>
      <c r="P172" s="224"/>
      <c r="Q172" s="223" t="s">
        <v>6</v>
      </c>
      <c r="R172" s="224"/>
      <c r="S172" s="291" t="s">
        <v>0</v>
      </c>
      <c r="T172" s="21" t="s">
        <v>3</v>
      </c>
      <c r="U172" s="225" t="s">
        <v>4</v>
      </c>
      <c r="V172" s="226"/>
      <c r="W172" s="227"/>
      <c r="X172" s="223" t="s">
        <v>5</v>
      </c>
      <c r="Y172" s="224"/>
      <c r="Z172" s="223" t="s">
        <v>6</v>
      </c>
      <c r="AA172" s="224"/>
      <c r="AB172" s="291" t="s">
        <v>0</v>
      </c>
    </row>
    <row r="173" spans="2:28" ht="28.5" hidden="1" x14ac:dyDescent="0.25">
      <c r="B173" s="12" t="s">
        <v>3</v>
      </c>
      <c r="C173" s="10" t="s">
        <v>4</v>
      </c>
      <c r="D173" s="242" t="s">
        <v>8</v>
      </c>
      <c r="E173" s="243"/>
      <c r="F173" s="11" t="s">
        <v>10</v>
      </c>
      <c r="G173" s="10" t="s">
        <v>8</v>
      </c>
      <c r="H173" s="11" t="s">
        <v>9</v>
      </c>
      <c r="I173" s="10" t="s">
        <v>8</v>
      </c>
      <c r="J173" s="292"/>
      <c r="K173" s="12" t="s">
        <v>3</v>
      </c>
      <c r="L173" s="10" t="s">
        <v>4</v>
      </c>
      <c r="M173" s="242" t="s">
        <v>8</v>
      </c>
      <c r="N173" s="243"/>
      <c r="O173" s="11" t="s">
        <v>10</v>
      </c>
      <c r="P173" s="10" t="s">
        <v>8</v>
      </c>
      <c r="Q173" s="10" t="s">
        <v>9</v>
      </c>
      <c r="R173" s="10" t="s">
        <v>8</v>
      </c>
      <c r="S173" s="292"/>
      <c r="T173" s="12" t="s">
        <v>3</v>
      </c>
      <c r="U173" s="10" t="s">
        <v>4</v>
      </c>
      <c r="V173" s="242" t="s">
        <v>8</v>
      </c>
      <c r="W173" s="243"/>
      <c r="X173" s="11" t="s">
        <v>10</v>
      </c>
      <c r="Y173" s="10" t="s">
        <v>8</v>
      </c>
      <c r="Z173" s="10" t="s">
        <v>9</v>
      </c>
      <c r="AA173" s="10" t="s">
        <v>8</v>
      </c>
      <c r="AB173" s="292"/>
    </row>
    <row r="174" spans="2:28" ht="18" hidden="1" x14ac:dyDescent="0.25">
      <c r="B174" s="26">
        <v>18169051091</v>
      </c>
      <c r="C174" s="65">
        <f>37157899153.18/($J$6)</f>
        <v>150.29847888684498</v>
      </c>
      <c r="D174" s="244">
        <f>IF(AND(C174&gt;0,C174&lt;=$AE$11),$AF$11,IF(AND(C174&gt;$AD$12,C174&lt;=$AE$12),$AF$12,IF(AND(C174&gt;$AD$13,C174&lt;=$AE$13),$AF$13,IF(AND(C174&gt;$AD$14),$AF$14))))</f>
        <v>120</v>
      </c>
      <c r="E174" s="245"/>
      <c r="F174" s="10">
        <v>10.33</v>
      </c>
      <c r="G174" s="75">
        <f>IF(AND(F174&gt;$AG$10,F174&lt;=$AH$10),$AI$10,IF(AND(F174&gt;$AG$11,F174&lt;=$AH$11),$AI$11,IF(AND(F174&gt;$AG$12,F174&lt;=$AH$12),$AI$12,IF(AND(F174&gt;$AG$13,F174&lt;=$AH$13),$AI$13,IF(AND(F174&gt;$AG$14),$AI$14)))))</f>
        <v>40</v>
      </c>
      <c r="H174" s="10">
        <v>4</v>
      </c>
      <c r="I174" s="75">
        <f>IF(AND(H174&gt;0,H174&lt;=$AK$11),$AL$11,IF(AND(H174&gt;$AK$11,H174&lt;=$AK$12),$AL$12,IF(AND(H174&gt;$AK$12),$AL$13)))</f>
        <v>20</v>
      </c>
      <c r="J174" s="293"/>
      <c r="K174" s="62">
        <v>0</v>
      </c>
      <c r="L174" s="65">
        <f>0/($J$6*5%)</f>
        <v>0</v>
      </c>
      <c r="M174" s="244" t="b">
        <f>IF(AND(L174&gt;0,L174&lt;=$AE$11),$AF$11,IF(AND(L174&gt;$AD$12,L174&lt;=$AE$12),$AF$12,IF(AND(L174&gt;$AD$13,L174&lt;=$AE$13),$AF$13,IF(AND(L174&gt;$AD$14),$AF$14))))</f>
        <v>0</v>
      </c>
      <c r="N174" s="245"/>
      <c r="O174" s="10">
        <v>0</v>
      </c>
      <c r="P174" s="75" t="b">
        <f>IF(AND(O174&gt;$AG$10,O174&lt;=$AH$10),$AI$10,IF(AND(O174&gt;$AG$11,O174&lt;=$AH$11),$AI$11,IF(AND(O174&gt;$AG$12,O174&lt;=$AH$12),$AI$12,IF(AND(O174&gt;$AG$13,O174&lt;=$AH$13),$AI$13,IF(AND(O174&gt;$AG$14),$AI$14)))))</f>
        <v>0</v>
      </c>
      <c r="Q174" s="10">
        <v>0</v>
      </c>
      <c r="R174" s="75" t="b">
        <f>IF(AND(Q174&gt;0,Q174&lt;=$AK$11),$AL$11,IF(AND(Q174&gt;$AK$11,Q174&lt;=$AK$12),$AL$12,IF(AND(Q174&gt;$AK$12),$AL$13)))</f>
        <v>0</v>
      </c>
      <c r="S174" s="293"/>
      <c r="T174" s="26">
        <v>0</v>
      </c>
      <c r="U174" s="27">
        <v>0</v>
      </c>
      <c r="V174" s="244" t="b">
        <f>IF(AND(U174&gt;0,U174&lt;=$AE$11),$AF$11,IF(AND(U174&gt;$AD$12,U174&lt;=$AE$12),$AF$12,IF(AND(U174&gt;$AD$13,U174&lt;=$AE$13),$AF$13,IF(AND(U174&gt;$AD$14),$AF$14))))</f>
        <v>0</v>
      </c>
      <c r="W174" s="245"/>
      <c r="X174" s="10">
        <v>0</v>
      </c>
      <c r="Y174" s="75" t="b">
        <f>IF(AND(X174&gt;$AG$10,X174&lt;=$AH$10),$AI$10,IF(AND(X174&gt;$AG$11,X174&lt;=$AH$11),$AI$11,IF(AND(X174&gt;$AG$12,X174&lt;=$AH$12),$AI$12,IF(AND(X174&gt;$AG$13,X174&lt;=$AH$13),$AI$13,IF(AND(X174&gt;$AG$14),$AI$14)))))</f>
        <v>0</v>
      </c>
      <c r="Z174" s="10">
        <v>0</v>
      </c>
      <c r="AA174" s="75" t="b">
        <f>IF(AND(Z174&gt;0,Z174&lt;=$AK$11),$AL$11,IF(AND(Z174&gt;$AK$11,Z174&lt;=$AK$12),$AL$12,IF(AND(Z174&gt;$AK$12),$AL$13)))</f>
        <v>0</v>
      </c>
      <c r="AB174" s="293"/>
    </row>
    <row r="175" spans="2:28" ht="154.15" hidden="1" customHeight="1" thickBot="1" x14ac:dyDescent="0.3">
      <c r="B175" s="22" t="s">
        <v>11</v>
      </c>
      <c r="C175" s="68">
        <f>B174*((D174+I174+G174)/100)-J191</f>
        <v>27167578468.08363</v>
      </c>
      <c r="D175" s="315" t="str">
        <f>IF(C175&gt;=$J$6,"CUMPLE","NO CUMPLE")</f>
        <v>CUMPLE</v>
      </c>
      <c r="E175" s="316"/>
      <c r="F175" s="316"/>
      <c r="G175" s="316"/>
      <c r="H175" s="316"/>
      <c r="I175" s="317"/>
      <c r="J175" s="136" t="s">
        <v>63</v>
      </c>
      <c r="K175" s="22" t="s">
        <v>11</v>
      </c>
      <c r="L175" s="68">
        <f>K174*((M174+S174+P174)/100)</f>
        <v>0</v>
      </c>
      <c r="M175" s="312" t="str">
        <f>IF(L175&gt;=$J$6,"CUMPLE",IF(AND(L175&lt;$J$6,L175&gt;0),"NO CUMPLE",IF(L175=0,"NO APLICA")))</f>
        <v>NO APLICA</v>
      </c>
      <c r="N175" s="313"/>
      <c r="O175" s="313"/>
      <c r="P175" s="313"/>
      <c r="Q175" s="313"/>
      <c r="R175" s="314"/>
      <c r="S175" s="23"/>
      <c r="T175" s="24" t="s">
        <v>11</v>
      </c>
      <c r="U175" s="76">
        <f>T174*((V174+AB174+Y174)/100)</f>
        <v>0</v>
      </c>
      <c r="V175" s="312" t="str">
        <f>IF(U175&gt;=$J$6,"CUMPLE",IF(AND(U175&lt;$J$6,U175&gt;0),"NO CUMPLE",IF(U175=0,"NO APLICA")))</f>
        <v>NO APLICA</v>
      </c>
      <c r="W175" s="313"/>
      <c r="X175" s="313"/>
      <c r="Y175" s="313"/>
      <c r="Z175" s="313"/>
      <c r="AA175" s="314"/>
      <c r="AB175" s="25"/>
    </row>
    <row r="176" spans="2:28" hidden="1" x14ac:dyDescent="0.25">
      <c r="B176" s="1"/>
      <c r="C176" s="2"/>
      <c r="D176" s="2"/>
      <c r="E176" s="1"/>
      <c r="F176" s="1"/>
      <c r="G176" s="2"/>
      <c r="H176" s="2"/>
      <c r="I176" s="2"/>
      <c r="J176" s="1"/>
      <c r="T176" s="4"/>
      <c r="U176" s="5"/>
      <c r="V176" s="5"/>
      <c r="W176" s="5"/>
      <c r="X176" s="5"/>
      <c r="Y176" s="5"/>
      <c r="Z176" s="5"/>
      <c r="AA176" s="5"/>
      <c r="AB176" s="6"/>
    </row>
    <row r="177" spans="2:47" ht="15.75" hidden="1" thickBot="1" x14ac:dyDescent="0.3">
      <c r="B177" s="1"/>
      <c r="C177" s="3"/>
      <c r="D177" s="3"/>
      <c r="E177" s="1"/>
      <c r="F177" s="1"/>
      <c r="G177" s="2"/>
      <c r="H177" s="2"/>
      <c r="I177" s="2"/>
      <c r="J177" s="1"/>
      <c r="T177" s="7"/>
      <c r="U177" s="8"/>
      <c r="V177" s="8"/>
      <c r="W177" s="8"/>
      <c r="X177" s="8"/>
      <c r="Y177" s="8"/>
      <c r="Z177" s="8"/>
      <c r="AA177" s="8"/>
      <c r="AB177" s="9"/>
    </row>
    <row r="178" spans="2:47" ht="92.45" hidden="1" customHeight="1" thickBot="1" x14ac:dyDescent="0.3">
      <c r="B178" s="330" t="s">
        <v>7</v>
      </c>
      <c r="C178" s="331"/>
      <c r="D178" s="331"/>
      <c r="E178" s="331"/>
      <c r="F178" s="331"/>
      <c r="G178" s="331"/>
      <c r="H178" s="332"/>
      <c r="I178" s="307">
        <f>C175+L175</f>
        <v>27167578468.08363</v>
      </c>
      <c r="J178" s="308"/>
      <c r="K178" s="304" t="str">
        <f>IF(I178&gt;=$J$6,"CUMPLE","NO CUMPLE")</f>
        <v>CUMPLE</v>
      </c>
      <c r="L178" s="305"/>
      <c r="M178" s="305"/>
      <c r="N178" s="305"/>
      <c r="O178" s="305"/>
      <c r="P178" s="305"/>
      <c r="Q178" s="305"/>
      <c r="R178" s="305"/>
      <c r="S178" s="305"/>
      <c r="T178" s="305"/>
      <c r="U178" s="305"/>
      <c r="V178" s="305"/>
      <c r="W178" s="305"/>
      <c r="X178" s="305"/>
      <c r="Y178" s="305"/>
      <c r="Z178" s="305"/>
      <c r="AA178" s="305"/>
      <c r="AB178" s="306"/>
    </row>
    <row r="179" spans="2:47" ht="30.75" hidden="1" thickBot="1" x14ac:dyDescent="0.3">
      <c r="B179" s="271" t="s">
        <v>22</v>
      </c>
      <c r="C179" s="272"/>
      <c r="D179" s="272"/>
      <c r="E179" s="272"/>
      <c r="F179" s="272"/>
      <c r="G179" s="272"/>
      <c r="H179" s="272"/>
      <c r="I179" s="272"/>
      <c r="J179" s="272"/>
      <c r="K179" s="272"/>
      <c r="L179" s="272"/>
      <c r="M179" s="272"/>
      <c r="N179" s="272"/>
      <c r="O179" s="272"/>
      <c r="P179" s="272"/>
      <c r="Q179" s="272"/>
      <c r="R179" s="272"/>
      <c r="S179" s="272"/>
      <c r="T179" s="272"/>
      <c r="U179" s="272"/>
      <c r="V179" s="272"/>
      <c r="W179" s="272"/>
      <c r="X179" s="272"/>
      <c r="Y179" s="272"/>
      <c r="Z179" s="272"/>
      <c r="AA179" s="272"/>
      <c r="AB179" s="273"/>
    </row>
    <row r="180" spans="2:47" ht="73.900000000000006" hidden="1" customHeight="1" x14ac:dyDescent="0.35">
      <c r="B180" s="30" t="s">
        <v>1</v>
      </c>
      <c r="C180" s="32" t="s">
        <v>23</v>
      </c>
      <c r="D180" s="32" t="s">
        <v>24</v>
      </c>
      <c r="E180" s="52" t="s">
        <v>31</v>
      </c>
      <c r="F180" s="32" t="s">
        <v>25</v>
      </c>
      <c r="G180" s="257" t="s">
        <v>28</v>
      </c>
      <c r="H180" s="258"/>
      <c r="I180" s="32" t="s">
        <v>26</v>
      </c>
      <c r="J180" s="33" t="s">
        <v>27</v>
      </c>
      <c r="K180" s="30" t="s">
        <v>1</v>
      </c>
      <c r="L180" s="32" t="s">
        <v>23</v>
      </c>
      <c r="M180" s="32" t="s">
        <v>24</v>
      </c>
      <c r="N180" s="52" t="s">
        <v>31</v>
      </c>
      <c r="O180" s="32" t="s">
        <v>25</v>
      </c>
      <c r="P180" s="257" t="s">
        <v>28</v>
      </c>
      <c r="Q180" s="258"/>
      <c r="R180" s="32" t="s">
        <v>26</v>
      </c>
      <c r="S180" s="33" t="s">
        <v>27</v>
      </c>
      <c r="T180" s="30" t="s">
        <v>1</v>
      </c>
      <c r="U180" s="32" t="s">
        <v>23</v>
      </c>
      <c r="V180" s="32" t="s">
        <v>24</v>
      </c>
      <c r="W180" s="52" t="s">
        <v>31</v>
      </c>
      <c r="X180" s="32" t="s">
        <v>25</v>
      </c>
      <c r="Y180" s="257" t="s">
        <v>28</v>
      </c>
      <c r="Z180" s="258"/>
      <c r="AA180" s="32" t="s">
        <v>26</v>
      </c>
      <c r="AB180" s="33" t="s">
        <v>27</v>
      </c>
    </row>
    <row r="181" spans="2:47" ht="19.5" hidden="1" x14ac:dyDescent="0.25">
      <c r="B181" s="34">
        <v>1</v>
      </c>
      <c r="C181" s="47">
        <v>13780956877</v>
      </c>
      <c r="D181" s="58">
        <v>16.2</v>
      </c>
      <c r="E181" s="77">
        <f>D181*30</f>
        <v>486</v>
      </c>
      <c r="F181" s="59">
        <v>129</v>
      </c>
      <c r="G181" s="259">
        <v>0.5</v>
      </c>
      <c r="H181" s="260"/>
      <c r="I181" s="71">
        <f>C181/E181</f>
        <v>28355878.347736627</v>
      </c>
      <c r="J181" s="72">
        <f>I181*F181*G181</f>
        <v>1828954153.4290125</v>
      </c>
      <c r="K181" s="34">
        <v>1</v>
      </c>
      <c r="L181" s="47"/>
      <c r="M181" s="58"/>
      <c r="N181" s="77"/>
      <c r="O181" s="59"/>
      <c r="P181" s="60"/>
      <c r="Q181" s="61"/>
      <c r="R181" s="47"/>
      <c r="S181" s="72">
        <f>R181*P181*O181</f>
        <v>0</v>
      </c>
      <c r="T181" s="34">
        <v>1</v>
      </c>
      <c r="U181" s="47"/>
      <c r="V181" s="58"/>
      <c r="W181" s="77">
        <f>V181*$AV$45</f>
        <v>0</v>
      </c>
      <c r="X181" s="59"/>
      <c r="Y181" s="60"/>
      <c r="Z181" s="61"/>
      <c r="AA181" s="47"/>
      <c r="AB181" s="72">
        <f>AA181*Y181*X181</f>
        <v>0</v>
      </c>
    </row>
    <row r="182" spans="2:47" ht="19.5" hidden="1" x14ac:dyDescent="0.25">
      <c r="B182" s="34">
        <v>2</v>
      </c>
      <c r="C182" s="47">
        <v>6360710992</v>
      </c>
      <c r="D182" s="58">
        <v>12.7</v>
      </c>
      <c r="E182" s="77">
        <f t="shared" ref="E182:E186" si="6">D182*30</f>
        <v>381</v>
      </c>
      <c r="F182" s="58">
        <v>79</v>
      </c>
      <c r="G182" s="240">
        <v>0.93</v>
      </c>
      <c r="H182" s="241"/>
      <c r="I182" s="71">
        <f t="shared" ref="I182:I186" si="7">C182/E182</f>
        <v>16694779.50656168</v>
      </c>
      <c r="J182" s="72">
        <f t="shared" ref="J182:J186" si="8">I182*F182*G182</f>
        <v>1226565450.3470867</v>
      </c>
      <c r="K182" s="34">
        <v>2</v>
      </c>
      <c r="L182" s="47"/>
      <c r="M182" s="48"/>
      <c r="N182" s="48"/>
      <c r="O182" s="51"/>
      <c r="P182" s="240"/>
      <c r="Q182" s="241"/>
      <c r="R182" s="47"/>
      <c r="S182" s="49"/>
      <c r="T182" s="34">
        <v>2</v>
      </c>
      <c r="U182" s="47"/>
      <c r="V182" s="48"/>
      <c r="W182" s="48"/>
      <c r="X182" s="51"/>
      <c r="Y182" s="240"/>
      <c r="Z182" s="241"/>
      <c r="AA182" s="47"/>
      <c r="AB182" s="49"/>
    </row>
    <row r="183" spans="2:47" ht="19.5" hidden="1" x14ac:dyDescent="0.25">
      <c r="B183" s="34">
        <v>3</v>
      </c>
      <c r="C183" s="47">
        <v>5238641455</v>
      </c>
      <c r="D183" s="58">
        <v>10</v>
      </c>
      <c r="E183" s="77">
        <f t="shared" si="6"/>
        <v>300</v>
      </c>
      <c r="F183" s="58">
        <v>31</v>
      </c>
      <c r="G183" s="240">
        <v>0.95</v>
      </c>
      <c r="H183" s="241"/>
      <c r="I183" s="71">
        <f t="shared" si="7"/>
        <v>17462138.183333334</v>
      </c>
      <c r="J183" s="72">
        <f t="shared" si="8"/>
        <v>514259969.49916673</v>
      </c>
      <c r="K183" s="34">
        <v>3</v>
      </c>
      <c r="L183" s="47"/>
      <c r="M183" s="48"/>
      <c r="N183" s="48"/>
      <c r="O183" s="51"/>
      <c r="P183" s="240"/>
      <c r="Q183" s="241"/>
      <c r="R183" s="47"/>
      <c r="S183" s="49"/>
      <c r="T183" s="34">
        <v>3</v>
      </c>
      <c r="U183" s="47"/>
      <c r="V183" s="48"/>
      <c r="W183" s="48"/>
      <c r="X183" s="51"/>
      <c r="Y183" s="240"/>
      <c r="Z183" s="241"/>
      <c r="AA183" s="47"/>
      <c r="AB183" s="49"/>
    </row>
    <row r="184" spans="2:47" ht="19.5" hidden="1" x14ac:dyDescent="0.25">
      <c r="B184" s="34">
        <v>4</v>
      </c>
      <c r="C184" s="47">
        <v>622307513</v>
      </c>
      <c r="D184" s="58">
        <v>6</v>
      </c>
      <c r="E184" s="77">
        <f t="shared" si="6"/>
        <v>180</v>
      </c>
      <c r="F184" s="58">
        <v>18</v>
      </c>
      <c r="G184" s="240">
        <v>0.99</v>
      </c>
      <c r="H184" s="241"/>
      <c r="I184" s="71">
        <f t="shared" si="7"/>
        <v>3457263.9611111111</v>
      </c>
      <c r="J184" s="72">
        <f t="shared" si="8"/>
        <v>61608443.786999993</v>
      </c>
      <c r="K184" s="34">
        <v>4</v>
      </c>
      <c r="L184" s="47"/>
      <c r="M184" s="48"/>
      <c r="N184" s="48"/>
      <c r="O184" s="51"/>
      <c r="P184" s="240"/>
      <c r="Q184" s="241"/>
      <c r="R184" s="47"/>
      <c r="S184" s="49"/>
      <c r="T184" s="34">
        <v>4</v>
      </c>
      <c r="U184" s="47"/>
      <c r="V184" s="48"/>
      <c r="W184" s="48"/>
      <c r="X184" s="51"/>
      <c r="Y184" s="240"/>
      <c r="Z184" s="241"/>
      <c r="AA184" s="47"/>
      <c r="AB184" s="49"/>
    </row>
    <row r="185" spans="2:47" ht="19.5" hidden="1" x14ac:dyDescent="0.25">
      <c r="B185" s="34">
        <v>5</v>
      </c>
      <c r="C185" s="47">
        <v>2100000000</v>
      </c>
      <c r="D185" s="58">
        <v>6.7</v>
      </c>
      <c r="E185" s="77">
        <f t="shared" si="6"/>
        <v>201</v>
      </c>
      <c r="F185" s="58">
        <v>171</v>
      </c>
      <c r="G185" s="240">
        <v>1</v>
      </c>
      <c r="H185" s="241"/>
      <c r="I185" s="71">
        <f t="shared" si="7"/>
        <v>10447761.194029851</v>
      </c>
      <c r="J185" s="72">
        <f t="shared" si="8"/>
        <v>1786567164.1791046</v>
      </c>
      <c r="K185" s="34">
        <v>5</v>
      </c>
      <c r="L185" s="47"/>
      <c r="M185" s="48"/>
      <c r="N185" s="48"/>
      <c r="O185" s="51"/>
      <c r="P185" s="240"/>
      <c r="Q185" s="241"/>
      <c r="R185" s="47"/>
      <c r="S185" s="49"/>
      <c r="T185" s="34">
        <v>5</v>
      </c>
      <c r="U185" s="47"/>
      <c r="V185" s="48"/>
      <c r="W185" s="48"/>
      <c r="X185" s="51"/>
      <c r="Y185" s="240"/>
      <c r="Z185" s="241"/>
      <c r="AA185" s="47"/>
      <c r="AB185" s="49"/>
    </row>
    <row r="186" spans="2:47" ht="19.5" hidden="1" x14ac:dyDescent="0.25">
      <c r="B186" s="34">
        <v>6</v>
      </c>
      <c r="C186" s="47">
        <v>128387367</v>
      </c>
      <c r="D186" s="58">
        <v>4</v>
      </c>
      <c r="E186" s="77">
        <f t="shared" si="6"/>
        <v>120</v>
      </c>
      <c r="F186" s="58">
        <v>111</v>
      </c>
      <c r="G186" s="240">
        <v>1</v>
      </c>
      <c r="H186" s="241"/>
      <c r="I186" s="71">
        <f t="shared" si="7"/>
        <v>1069894.7250000001</v>
      </c>
      <c r="J186" s="49">
        <f t="shared" si="8"/>
        <v>118758314.47500001</v>
      </c>
      <c r="K186" s="34">
        <v>6</v>
      </c>
      <c r="L186" s="47"/>
      <c r="M186" s="48"/>
      <c r="N186" s="48"/>
      <c r="O186" s="51"/>
      <c r="P186" s="240"/>
      <c r="Q186" s="241"/>
      <c r="R186" s="47"/>
      <c r="S186" s="49"/>
      <c r="T186" s="34">
        <v>6</v>
      </c>
      <c r="U186" s="47"/>
      <c r="V186" s="48"/>
      <c r="W186" s="48"/>
      <c r="X186" s="51"/>
      <c r="Y186" s="240"/>
      <c r="Z186" s="241"/>
      <c r="AA186" s="47"/>
      <c r="AB186" s="49"/>
    </row>
    <row r="187" spans="2:47" ht="19.5" hidden="1" x14ac:dyDescent="0.25">
      <c r="B187" s="34">
        <v>7</v>
      </c>
      <c r="D187" s="48"/>
      <c r="E187" s="48"/>
      <c r="F187" s="51"/>
      <c r="G187" s="240"/>
      <c r="H187" s="241"/>
      <c r="I187" s="47"/>
      <c r="J187" s="49"/>
      <c r="K187" s="34">
        <v>7</v>
      </c>
      <c r="L187" s="47"/>
      <c r="M187" s="48"/>
      <c r="N187" s="48"/>
      <c r="O187" s="51"/>
      <c r="P187" s="240"/>
      <c r="Q187" s="241"/>
      <c r="R187" s="47"/>
      <c r="S187" s="49"/>
      <c r="T187" s="34">
        <v>7</v>
      </c>
      <c r="U187" s="47"/>
      <c r="V187" s="48"/>
      <c r="W187" s="48"/>
      <c r="X187" s="51"/>
      <c r="Y187" s="240"/>
      <c r="Z187" s="241"/>
      <c r="AA187" s="47"/>
      <c r="AB187" s="49"/>
    </row>
    <row r="188" spans="2:47" ht="19.5" hidden="1" x14ac:dyDescent="0.25">
      <c r="B188" s="34">
        <v>8</v>
      </c>
      <c r="C188" s="47"/>
      <c r="D188" s="48"/>
      <c r="E188" s="48"/>
      <c r="F188" s="51"/>
      <c r="G188" s="237"/>
      <c r="H188" s="238"/>
      <c r="I188" s="47"/>
      <c r="J188" s="49"/>
      <c r="K188" s="34">
        <v>8</v>
      </c>
      <c r="L188" s="47"/>
      <c r="M188" s="48"/>
      <c r="N188" s="48"/>
      <c r="O188" s="51"/>
      <c r="P188" s="237"/>
      <c r="Q188" s="238"/>
      <c r="R188" s="47"/>
      <c r="S188" s="49"/>
      <c r="T188" s="34">
        <v>8</v>
      </c>
      <c r="U188" s="47"/>
      <c r="V188" s="48"/>
      <c r="W188" s="48"/>
      <c r="X188" s="51"/>
      <c r="Y188" s="237"/>
      <c r="Z188" s="238"/>
      <c r="AA188" s="47"/>
      <c r="AB188" s="49"/>
    </row>
    <row r="189" spans="2:47" ht="19.5" hidden="1" x14ac:dyDescent="0.25">
      <c r="B189" s="34">
        <v>9</v>
      </c>
      <c r="C189" s="47"/>
      <c r="D189" s="48"/>
      <c r="E189" s="48"/>
      <c r="F189" s="51"/>
      <c r="G189" s="237"/>
      <c r="H189" s="238"/>
      <c r="I189" s="47"/>
      <c r="J189" s="49"/>
      <c r="K189" s="34">
        <v>9</v>
      </c>
      <c r="L189" s="47"/>
      <c r="M189" s="48"/>
      <c r="N189" s="48"/>
      <c r="O189" s="51"/>
      <c r="P189" s="237"/>
      <c r="Q189" s="238"/>
      <c r="R189" s="47"/>
      <c r="S189" s="49"/>
      <c r="T189" s="34">
        <v>9</v>
      </c>
      <c r="U189" s="47"/>
      <c r="V189" s="48"/>
      <c r="W189" s="48"/>
      <c r="X189" s="51"/>
      <c r="Y189" s="237"/>
      <c r="Z189" s="238"/>
      <c r="AA189" s="47"/>
      <c r="AB189" s="49"/>
    </row>
    <row r="190" spans="2:47" ht="20.25" hidden="1" thickBot="1" x14ac:dyDescent="0.3">
      <c r="B190" s="34">
        <v>10</v>
      </c>
      <c r="C190" s="47"/>
      <c r="D190" s="48"/>
      <c r="E190" s="48"/>
      <c r="F190" s="50"/>
      <c r="G190" s="239"/>
      <c r="H190" s="238"/>
      <c r="I190" s="47"/>
      <c r="J190" s="49"/>
      <c r="K190" s="34">
        <v>10</v>
      </c>
      <c r="L190" s="47"/>
      <c r="M190" s="48"/>
      <c r="N190" s="48"/>
      <c r="O190" s="50"/>
      <c r="P190" s="239"/>
      <c r="Q190" s="238"/>
      <c r="R190" s="47"/>
      <c r="S190" s="49"/>
      <c r="T190" s="34">
        <v>10</v>
      </c>
      <c r="U190" s="47"/>
      <c r="V190" s="48"/>
      <c r="W190" s="48"/>
      <c r="X190" s="50"/>
      <c r="Y190" s="239"/>
      <c r="Z190" s="238"/>
      <c r="AA190" s="47"/>
      <c r="AB190" s="49"/>
    </row>
    <row r="191" spans="2:47" ht="23.25" hidden="1" thickBot="1" x14ac:dyDescent="0.35">
      <c r="B191" s="254" t="s">
        <v>29</v>
      </c>
      <c r="C191" s="255"/>
      <c r="D191" s="255"/>
      <c r="E191" s="255"/>
      <c r="F191" s="255"/>
      <c r="G191" s="255"/>
      <c r="H191" s="255"/>
      <c r="I191" s="256"/>
      <c r="J191" s="81">
        <f>SUM(J181:J190)</f>
        <v>5536713495.7163706</v>
      </c>
      <c r="K191" s="254" t="s">
        <v>29</v>
      </c>
      <c r="L191" s="255"/>
      <c r="M191" s="255"/>
      <c r="N191" s="255"/>
      <c r="O191" s="255"/>
      <c r="P191" s="255"/>
      <c r="Q191" s="255"/>
      <c r="R191" s="256"/>
      <c r="S191" s="73">
        <f>SUM(S181:S190)</f>
        <v>0</v>
      </c>
      <c r="T191" s="254" t="s">
        <v>29</v>
      </c>
      <c r="U191" s="255"/>
      <c r="V191" s="255"/>
      <c r="W191" s="255"/>
      <c r="X191" s="255"/>
      <c r="Y191" s="255"/>
      <c r="Z191" s="255"/>
      <c r="AA191" s="256"/>
      <c r="AB191" s="73">
        <f>SUM(AB181:AB190)</f>
        <v>0</v>
      </c>
    </row>
    <row r="192" spans="2:47" s="1" customFormat="1" ht="48" hidden="1" customHeight="1" thickBot="1" x14ac:dyDescent="0.3"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</row>
    <row r="193" spans="2:28" ht="88.5" hidden="1" thickBot="1" x14ac:dyDescent="1.1000000000000001">
      <c r="B193" s="246" t="s">
        <v>78</v>
      </c>
      <c r="C193" s="247"/>
      <c r="D193" s="247"/>
      <c r="E193" s="247"/>
      <c r="F193" s="247"/>
      <c r="G193" s="247"/>
      <c r="H193" s="247"/>
      <c r="I193" s="247"/>
      <c r="J193" s="247"/>
      <c r="K193" s="247"/>
      <c r="L193" s="247"/>
      <c r="M193" s="247"/>
      <c r="N193" s="247"/>
      <c r="O193" s="247"/>
      <c r="P193" s="247"/>
      <c r="Q193" s="247"/>
      <c r="R193" s="247"/>
      <c r="S193" s="247"/>
      <c r="T193" s="247"/>
      <c r="U193" s="247"/>
      <c r="V193" s="248"/>
      <c r="W193" s="246" t="s">
        <v>12</v>
      </c>
      <c r="X193" s="247"/>
      <c r="Y193" s="247"/>
      <c r="Z193" s="248"/>
      <c r="AA193" s="249">
        <v>1</v>
      </c>
      <c r="AB193" s="250"/>
    </row>
    <row r="194" spans="2:28" ht="32.25" hidden="1" x14ac:dyDescent="0.4">
      <c r="B194" s="341" t="s">
        <v>78</v>
      </c>
      <c r="C194" s="342"/>
      <c r="D194" s="342"/>
      <c r="E194" s="342"/>
      <c r="F194" s="342"/>
      <c r="G194" s="342"/>
      <c r="H194" s="342"/>
      <c r="I194" s="342"/>
      <c r="J194" s="343"/>
      <c r="K194" s="341"/>
      <c r="L194" s="342"/>
      <c r="M194" s="342"/>
      <c r="N194" s="342"/>
      <c r="O194" s="342"/>
      <c r="P194" s="342"/>
      <c r="Q194" s="342"/>
      <c r="R194" s="342"/>
      <c r="S194" s="344"/>
      <c r="T194" s="231"/>
      <c r="U194" s="232"/>
      <c r="V194" s="232"/>
      <c r="W194" s="232"/>
      <c r="X194" s="232"/>
      <c r="Y194" s="232"/>
      <c r="Z194" s="232"/>
      <c r="AA194" s="232"/>
      <c r="AB194" s="233"/>
    </row>
    <row r="195" spans="2:28" ht="39" hidden="1" x14ac:dyDescent="0.25">
      <c r="B195" s="21" t="s">
        <v>3</v>
      </c>
      <c r="C195" s="345" t="s">
        <v>4</v>
      </c>
      <c r="D195" s="345"/>
      <c r="E195" s="345"/>
      <c r="F195" s="346" t="s">
        <v>5</v>
      </c>
      <c r="G195" s="346"/>
      <c r="H195" s="346" t="s">
        <v>6</v>
      </c>
      <c r="I195" s="346"/>
      <c r="J195" s="347" t="s">
        <v>0</v>
      </c>
      <c r="K195" s="21" t="s">
        <v>3</v>
      </c>
      <c r="L195" s="345" t="s">
        <v>4</v>
      </c>
      <c r="M195" s="345"/>
      <c r="N195" s="345"/>
      <c r="O195" s="346" t="s">
        <v>5</v>
      </c>
      <c r="P195" s="346"/>
      <c r="Q195" s="346" t="s">
        <v>6</v>
      </c>
      <c r="R195" s="346"/>
      <c r="S195" s="348" t="s">
        <v>0</v>
      </c>
      <c r="T195" s="21" t="s">
        <v>3</v>
      </c>
      <c r="U195" s="345" t="s">
        <v>4</v>
      </c>
      <c r="V195" s="345"/>
      <c r="W195" s="345"/>
      <c r="X195" s="346" t="s">
        <v>5</v>
      </c>
      <c r="Y195" s="346"/>
      <c r="Z195" s="346" t="s">
        <v>6</v>
      </c>
      <c r="AA195" s="346"/>
      <c r="AB195" s="347" t="s">
        <v>0</v>
      </c>
    </row>
    <row r="196" spans="2:28" ht="46.9" hidden="1" customHeight="1" x14ac:dyDescent="0.25">
      <c r="B196" s="45" t="s">
        <v>3</v>
      </c>
      <c r="C196" s="142" t="s">
        <v>4</v>
      </c>
      <c r="D196" s="350" t="s">
        <v>8</v>
      </c>
      <c r="E196" s="350"/>
      <c r="F196" s="146" t="s">
        <v>10</v>
      </c>
      <c r="G196" s="142" t="s">
        <v>8</v>
      </c>
      <c r="H196" s="146" t="s">
        <v>9</v>
      </c>
      <c r="I196" s="142" t="s">
        <v>8</v>
      </c>
      <c r="J196" s="347"/>
      <c r="K196" s="45" t="s">
        <v>3</v>
      </c>
      <c r="L196" s="142" t="s">
        <v>4</v>
      </c>
      <c r="M196" s="350" t="s">
        <v>8</v>
      </c>
      <c r="N196" s="350"/>
      <c r="O196" s="146" t="s">
        <v>10</v>
      </c>
      <c r="P196" s="142" t="s">
        <v>8</v>
      </c>
      <c r="Q196" s="142" t="s">
        <v>9</v>
      </c>
      <c r="R196" s="142" t="s">
        <v>8</v>
      </c>
      <c r="S196" s="348"/>
      <c r="T196" s="12" t="s">
        <v>3</v>
      </c>
      <c r="U196" s="141" t="s">
        <v>4</v>
      </c>
      <c r="V196" s="351" t="s">
        <v>8</v>
      </c>
      <c r="W196" s="351"/>
      <c r="X196" s="11" t="s">
        <v>10</v>
      </c>
      <c r="Y196" s="141" t="s">
        <v>8</v>
      </c>
      <c r="Z196" s="141" t="s">
        <v>9</v>
      </c>
      <c r="AA196" s="141" t="s">
        <v>8</v>
      </c>
      <c r="AB196" s="347"/>
    </row>
    <row r="197" spans="2:28" ht="62.45" hidden="1" customHeight="1" x14ac:dyDescent="0.25">
      <c r="B197" s="40"/>
      <c r="C197" s="65">
        <f>2095182600  /($J$6)</f>
        <v>8.4747191027142712</v>
      </c>
      <c r="D197" s="352">
        <v>60</v>
      </c>
      <c r="E197" s="352"/>
      <c r="F197" s="164">
        <v>43.14</v>
      </c>
      <c r="G197" s="165">
        <v>40</v>
      </c>
      <c r="H197" s="164"/>
      <c r="I197" s="165">
        <v>20</v>
      </c>
      <c r="J197" s="347"/>
      <c r="K197" s="38">
        <v>0</v>
      </c>
      <c r="L197" s="65">
        <v>0</v>
      </c>
      <c r="M197" s="318" t="b">
        <f>IF(AND(L197&gt;0,L197&lt;=$AE$11),$AF$11,IF(AND(L197&gt;$AD$12,L197&lt;=$AE$12),$AF$12,IF(AND(L197&gt;$AD$13,L197&lt;=$AE$13),$AF$13,IF(AND(L197&gt;$AD$14),$AF$14))))</f>
        <v>0</v>
      </c>
      <c r="N197" s="319"/>
      <c r="O197" s="177">
        <v>0</v>
      </c>
      <c r="P197" s="176" t="b">
        <f>IF(AND(O197&gt;$AG$10,O197&lt;=$AH$10),$AI$10,IF(AND(O197&gt;$AG$11,O197&lt;=$AH$11),$AI$11,IF(AND(O197&gt;$AG$12,O197&lt;=$AH$12),$AI$12,IF(AND(O197&gt;$AG$13,O197&lt;=$AH$13),$AI$13,IF(AND(O197&gt;$AG$14),$AI$14)))))</f>
        <v>0</v>
      </c>
      <c r="Q197" s="177">
        <v>0</v>
      </c>
      <c r="R197" s="176" t="b">
        <f>IF(AND(Q197&gt;0,Q197&lt;=$AK$11),$AL$11,IF(AND(Q197&gt;$AK$11,Q197&lt;=$AK$12),$AL$12,IF(AND(Q197&gt;$AK$12),$AL$13)))</f>
        <v>0</v>
      </c>
      <c r="S197" s="348"/>
      <c r="T197" s="26">
        <v>0</v>
      </c>
      <c r="U197" s="27">
        <v>12</v>
      </c>
      <c r="V197" s="353">
        <f>IF(AND(U197&gt;0,U197&lt;=$AE$11),$AF$11,IF(AND(U197&gt;$AD$12,U197&lt;=$AE$12),$AF$12,IF(AND(U197&gt;$AD$13,U197&lt;=$AE$13),$AF$13,IF(AND(U197&gt;$AD$14),$AF$14))))</f>
        <v>120</v>
      </c>
      <c r="W197" s="353"/>
      <c r="X197" s="141">
        <v>0</v>
      </c>
      <c r="Y197" s="140" t="b">
        <f>IF(AND(X197&gt;$AG$10,X197&lt;=$AH$10),$AI$10,IF(AND(X197&gt;$AG$11,X197&lt;=$AH$11),$AI$11,IF(AND(X197&gt;$AG$12,X197&lt;=$AH$12),$AI$12,IF(AND(X197&gt;$AG$13,X197&lt;=$AH$13),$AI$13,IF(AND(X197&gt;$AG$14),$AI$14)))))</f>
        <v>0</v>
      </c>
      <c r="Z197" s="141">
        <v>0</v>
      </c>
      <c r="AA197" s="140" t="b">
        <f>IF(AND(Z197&gt;0,Z197&lt;=$AK$11),$AL$11,IF(AND(Z197&gt;$AK$11,Z197&lt;=$AK$12),$AL$12,IF(AND(Z197&gt;$AK$12),$AL$13)))</f>
        <v>0</v>
      </c>
      <c r="AB197" s="347"/>
    </row>
    <row r="198" spans="2:28" ht="298.14999999999998" hidden="1" customHeight="1" thickBot="1" x14ac:dyDescent="0.3">
      <c r="B198" s="22" t="s">
        <v>11</v>
      </c>
      <c r="C198" s="68">
        <f>B197*((D197+I197+G197)/100)</f>
        <v>0</v>
      </c>
      <c r="D198" s="354" t="str">
        <f>IF(C198&gt;=$J$6,"CUMPLE","NO CUMPLE")</f>
        <v>NO CUMPLE</v>
      </c>
      <c r="E198" s="354"/>
      <c r="F198" s="354"/>
      <c r="G198" s="354"/>
      <c r="H198" s="354"/>
      <c r="I198" s="354"/>
      <c r="J198" s="23" t="s">
        <v>79</v>
      </c>
      <c r="K198" s="22" t="s">
        <v>11</v>
      </c>
      <c r="L198" s="68">
        <f>K197*((M197+R197+P197)/100)</f>
        <v>0</v>
      </c>
      <c r="M198" s="312" t="str">
        <f>IF(L198&gt;=$J$6,"CUMPLE",IF(AND(L198&lt;$J$6,L198&gt;0),"NO CUMPLE",IF(L198=0,"NO APLICA")))</f>
        <v>NO APLICA</v>
      </c>
      <c r="N198" s="313"/>
      <c r="O198" s="313"/>
      <c r="P198" s="313"/>
      <c r="Q198" s="313"/>
      <c r="R198" s="314"/>
      <c r="S198" s="42"/>
      <c r="T198" s="24" t="s">
        <v>11</v>
      </c>
      <c r="U198" s="76">
        <f>T197*((V197+AB197+Y197)/100)</f>
        <v>0</v>
      </c>
      <c r="V198" s="312" t="str">
        <f>IF(U198&gt;=$J$6,"CUMPLE",IF(AND(U198&lt;$J$6,U198&gt;0),"NO CUMPLE",IF(U198=0,"NO APLICA")))</f>
        <v>NO APLICA</v>
      </c>
      <c r="W198" s="313"/>
      <c r="X198" s="313"/>
      <c r="Y198" s="313"/>
      <c r="Z198" s="313"/>
      <c r="AA198" s="314"/>
      <c r="AB198" s="25"/>
    </row>
    <row r="199" spans="2:28" hidden="1" x14ac:dyDescent="0.25">
      <c r="B199" s="1"/>
      <c r="C199" s="2"/>
      <c r="D199" s="2"/>
      <c r="E199" s="1"/>
      <c r="F199" s="1"/>
      <c r="G199" s="2"/>
      <c r="H199" s="2"/>
      <c r="I199" s="2"/>
      <c r="J199" s="1"/>
      <c r="T199" s="4"/>
      <c r="U199" s="5"/>
      <c r="V199" s="5"/>
      <c r="W199" s="5"/>
      <c r="X199" s="5"/>
      <c r="Y199" s="5"/>
      <c r="Z199" s="5"/>
      <c r="AA199" s="5"/>
      <c r="AB199" s="6"/>
    </row>
    <row r="200" spans="2:28" ht="15.75" hidden="1" thickBot="1" x14ac:dyDescent="0.3">
      <c r="B200" s="1"/>
      <c r="C200" s="3"/>
      <c r="D200" s="3"/>
      <c r="E200" s="1"/>
      <c r="F200" s="1"/>
      <c r="G200" s="2"/>
      <c r="H200" s="2"/>
      <c r="I200" s="2"/>
      <c r="J200" s="1"/>
      <c r="T200" s="7"/>
      <c r="U200" s="8"/>
      <c r="V200" s="8"/>
      <c r="W200" s="8"/>
      <c r="X200" s="8"/>
      <c r="Y200" s="8"/>
      <c r="Z200" s="8"/>
      <c r="AA200" s="8"/>
      <c r="AB200" s="9"/>
    </row>
    <row r="201" spans="2:28" ht="92.45" hidden="1" customHeight="1" thickBot="1" x14ac:dyDescent="0.3">
      <c r="B201" s="358" t="s">
        <v>7</v>
      </c>
      <c r="C201" s="359"/>
      <c r="D201" s="359"/>
      <c r="E201" s="359"/>
      <c r="F201" s="359"/>
      <c r="G201" s="359"/>
      <c r="H201" s="360"/>
      <c r="I201" s="361">
        <f>C198+L198</f>
        <v>0</v>
      </c>
      <c r="J201" s="362"/>
      <c r="K201" s="304" t="str">
        <f>IF(I201&gt;=$J$6,"CUMPLE","NO CUMPLE")</f>
        <v>NO CUMPLE</v>
      </c>
      <c r="L201" s="305"/>
      <c r="M201" s="305"/>
      <c r="N201" s="305"/>
      <c r="O201" s="305"/>
      <c r="P201" s="305"/>
      <c r="Q201" s="305"/>
      <c r="R201" s="305"/>
      <c r="S201" s="305"/>
      <c r="T201" s="305"/>
      <c r="U201" s="305"/>
      <c r="V201" s="305"/>
      <c r="W201" s="305"/>
      <c r="X201" s="305"/>
      <c r="Y201" s="305"/>
      <c r="Z201" s="305"/>
      <c r="AA201" s="305"/>
      <c r="AB201" s="306"/>
    </row>
    <row r="202" spans="2:28" ht="30.75" hidden="1" thickBot="1" x14ac:dyDescent="0.3">
      <c r="B202" s="271" t="s">
        <v>22</v>
      </c>
      <c r="C202" s="272"/>
      <c r="D202" s="272"/>
      <c r="E202" s="272"/>
      <c r="F202" s="272"/>
      <c r="G202" s="272"/>
      <c r="H202" s="272"/>
      <c r="I202" s="272"/>
      <c r="J202" s="272"/>
      <c r="K202" s="272"/>
      <c r="L202" s="272"/>
      <c r="M202" s="272"/>
      <c r="N202" s="272"/>
      <c r="O202" s="272"/>
      <c r="P202" s="272"/>
      <c r="Q202" s="272"/>
      <c r="R202" s="272"/>
      <c r="S202" s="272"/>
      <c r="T202" s="272"/>
      <c r="U202" s="272"/>
      <c r="V202" s="272"/>
      <c r="W202" s="272"/>
      <c r="X202" s="272"/>
      <c r="Y202" s="272"/>
      <c r="Z202" s="272"/>
      <c r="AA202" s="272"/>
      <c r="AB202" s="273"/>
    </row>
    <row r="203" spans="2:28" ht="76.5" hidden="1" x14ac:dyDescent="0.35">
      <c r="B203" s="30" t="s">
        <v>1</v>
      </c>
      <c r="C203" s="145" t="s">
        <v>23</v>
      </c>
      <c r="D203" s="145" t="s">
        <v>24</v>
      </c>
      <c r="E203" s="52" t="s">
        <v>31</v>
      </c>
      <c r="F203" s="145" t="s">
        <v>25</v>
      </c>
      <c r="G203" s="257" t="s">
        <v>28</v>
      </c>
      <c r="H203" s="258"/>
      <c r="I203" s="145" t="s">
        <v>26</v>
      </c>
      <c r="J203" s="33" t="s">
        <v>27</v>
      </c>
      <c r="K203" s="30" t="s">
        <v>1</v>
      </c>
      <c r="L203" s="145" t="s">
        <v>23</v>
      </c>
      <c r="M203" s="145" t="s">
        <v>24</v>
      </c>
      <c r="N203" s="52" t="s">
        <v>31</v>
      </c>
      <c r="O203" s="145" t="s">
        <v>25</v>
      </c>
      <c r="P203" s="257" t="s">
        <v>28</v>
      </c>
      <c r="Q203" s="258"/>
      <c r="R203" s="145" t="s">
        <v>26</v>
      </c>
      <c r="S203" s="33" t="s">
        <v>27</v>
      </c>
      <c r="T203" s="30" t="s">
        <v>1</v>
      </c>
      <c r="U203" s="145" t="s">
        <v>23</v>
      </c>
      <c r="V203" s="145" t="s">
        <v>24</v>
      </c>
      <c r="W203" s="52" t="s">
        <v>31</v>
      </c>
      <c r="X203" s="145" t="s">
        <v>25</v>
      </c>
      <c r="Y203" s="257" t="s">
        <v>28</v>
      </c>
      <c r="Z203" s="258"/>
      <c r="AA203" s="145" t="s">
        <v>26</v>
      </c>
      <c r="AB203" s="33" t="s">
        <v>27</v>
      </c>
    </row>
    <row r="204" spans="2:28" ht="19.5" hidden="1" x14ac:dyDescent="0.25">
      <c r="B204" s="34">
        <v>1</v>
      </c>
      <c r="C204" s="47"/>
      <c r="D204" s="58"/>
      <c r="E204" s="77"/>
      <c r="F204" s="59"/>
      <c r="G204" s="259"/>
      <c r="H204" s="260"/>
      <c r="I204" s="71"/>
      <c r="J204" s="72">
        <f>I204*G204*F204</f>
        <v>0</v>
      </c>
      <c r="K204" s="34">
        <v>1</v>
      </c>
      <c r="L204" s="47"/>
      <c r="M204" s="58"/>
      <c r="N204" s="77"/>
      <c r="O204" s="59"/>
      <c r="P204" s="137"/>
      <c r="Q204" s="138"/>
      <c r="R204" s="47"/>
      <c r="S204" s="72">
        <f>R204*P204*O204</f>
        <v>0</v>
      </c>
      <c r="T204" s="34">
        <v>1</v>
      </c>
      <c r="U204" s="47"/>
      <c r="V204" s="58"/>
      <c r="W204" s="77">
        <f>V204*$AV$45</f>
        <v>0</v>
      </c>
      <c r="X204" s="59"/>
      <c r="Y204" s="137"/>
      <c r="Z204" s="138"/>
      <c r="AA204" s="47"/>
      <c r="AB204" s="72">
        <f>AA204*Y204*X204</f>
        <v>0</v>
      </c>
    </row>
    <row r="205" spans="2:28" ht="19.5" hidden="1" x14ac:dyDescent="0.25">
      <c r="B205" s="34">
        <v>2</v>
      </c>
      <c r="C205" s="47"/>
      <c r="D205" s="58"/>
      <c r="E205" s="77"/>
      <c r="F205" s="58"/>
      <c r="G205" s="259"/>
      <c r="H205" s="260"/>
      <c r="I205" s="71"/>
      <c r="J205" s="72"/>
      <c r="K205" s="34">
        <v>2</v>
      </c>
      <c r="L205" s="47"/>
      <c r="M205" s="48"/>
      <c r="N205" s="48"/>
      <c r="O205" s="51"/>
      <c r="P205" s="349"/>
      <c r="Q205" s="238"/>
      <c r="R205" s="47"/>
      <c r="S205" s="49"/>
      <c r="T205" s="34">
        <v>2</v>
      </c>
      <c r="U205" s="47"/>
      <c r="V205" s="48"/>
      <c r="W205" s="48"/>
      <c r="X205" s="51"/>
      <c r="Y205" s="349"/>
      <c r="Z205" s="238"/>
      <c r="AA205" s="47"/>
      <c r="AB205" s="49"/>
    </row>
    <row r="206" spans="2:28" ht="19.5" hidden="1" x14ac:dyDescent="0.25">
      <c r="B206" s="34">
        <v>3</v>
      </c>
      <c r="C206" s="47"/>
      <c r="D206" s="58"/>
      <c r="E206" s="77"/>
      <c r="F206" s="58"/>
      <c r="G206" s="259"/>
      <c r="H206" s="260"/>
      <c r="I206" s="71"/>
      <c r="J206" s="72"/>
      <c r="K206" s="34">
        <v>3</v>
      </c>
      <c r="L206" s="47"/>
      <c r="M206" s="48"/>
      <c r="N206" s="48"/>
      <c r="O206" s="51"/>
      <c r="P206" s="349"/>
      <c r="Q206" s="238"/>
      <c r="R206" s="47"/>
      <c r="S206" s="49"/>
      <c r="T206" s="34">
        <v>3</v>
      </c>
      <c r="U206" s="47"/>
      <c r="V206" s="48"/>
      <c r="W206" s="48"/>
      <c r="X206" s="51"/>
      <c r="Y206" s="349"/>
      <c r="Z206" s="238"/>
      <c r="AA206" s="47"/>
      <c r="AB206" s="49"/>
    </row>
    <row r="207" spans="2:28" ht="19.5" hidden="1" x14ac:dyDescent="0.25">
      <c r="B207" s="34">
        <v>4</v>
      </c>
      <c r="C207" s="47"/>
      <c r="D207" s="48"/>
      <c r="E207" s="48"/>
      <c r="F207" s="51"/>
      <c r="G207" s="349"/>
      <c r="H207" s="238"/>
      <c r="I207" s="47"/>
      <c r="J207" s="49"/>
      <c r="K207" s="34">
        <v>4</v>
      </c>
      <c r="L207" s="47"/>
      <c r="M207" s="48"/>
      <c r="N207" s="48"/>
      <c r="O207" s="51"/>
      <c r="P207" s="349"/>
      <c r="Q207" s="238"/>
      <c r="R207" s="47"/>
      <c r="S207" s="49"/>
      <c r="T207" s="34">
        <v>4</v>
      </c>
      <c r="U207" s="47"/>
      <c r="V207" s="48"/>
      <c r="W207" s="48"/>
      <c r="X207" s="51"/>
      <c r="Y207" s="349"/>
      <c r="Z207" s="238"/>
      <c r="AA207" s="47"/>
      <c r="AB207" s="49"/>
    </row>
    <row r="208" spans="2:28" ht="19.5" hidden="1" x14ac:dyDescent="0.25">
      <c r="B208" s="34">
        <v>5</v>
      </c>
      <c r="C208" s="47"/>
      <c r="D208" s="48"/>
      <c r="E208" s="48"/>
      <c r="F208" s="51"/>
      <c r="G208" s="349"/>
      <c r="H208" s="238"/>
      <c r="I208" s="47"/>
      <c r="J208" s="49"/>
      <c r="K208" s="34">
        <v>5</v>
      </c>
      <c r="L208" s="47"/>
      <c r="M208" s="48"/>
      <c r="N208" s="48"/>
      <c r="O208" s="51"/>
      <c r="P208" s="349"/>
      <c r="Q208" s="238"/>
      <c r="R208" s="47"/>
      <c r="S208" s="49"/>
      <c r="T208" s="34">
        <v>5</v>
      </c>
      <c r="U208" s="47"/>
      <c r="V208" s="48"/>
      <c r="W208" s="48"/>
      <c r="X208" s="51"/>
      <c r="Y208" s="349"/>
      <c r="Z208" s="238"/>
      <c r="AA208" s="47"/>
      <c r="AB208" s="49"/>
    </row>
    <row r="209" spans="1:28" ht="19.5" hidden="1" x14ac:dyDescent="0.25">
      <c r="B209" s="34">
        <v>6</v>
      </c>
      <c r="C209" s="47"/>
      <c r="D209" s="48"/>
      <c r="E209" s="48"/>
      <c r="F209" s="51"/>
      <c r="G209" s="349"/>
      <c r="H209" s="238"/>
      <c r="I209" s="47"/>
      <c r="J209" s="49"/>
      <c r="K209" s="34">
        <v>6</v>
      </c>
      <c r="L209" s="47"/>
      <c r="M209" s="48"/>
      <c r="N209" s="48"/>
      <c r="O209" s="51"/>
      <c r="P209" s="349"/>
      <c r="Q209" s="238"/>
      <c r="R209" s="47"/>
      <c r="S209" s="49"/>
      <c r="T209" s="34">
        <v>6</v>
      </c>
      <c r="U209" s="47"/>
      <c r="V209" s="48"/>
      <c r="W209" s="48"/>
      <c r="X209" s="51"/>
      <c r="Y209" s="349"/>
      <c r="Z209" s="238"/>
      <c r="AA209" s="47"/>
      <c r="AB209" s="49"/>
    </row>
    <row r="210" spans="1:28" ht="19.5" hidden="1" x14ac:dyDescent="0.25">
      <c r="B210" s="34">
        <v>7</v>
      </c>
      <c r="C210" s="47"/>
      <c r="D210" s="48"/>
      <c r="E210" s="48"/>
      <c r="F210" s="51"/>
      <c r="G210" s="349"/>
      <c r="H210" s="238"/>
      <c r="I210" s="47"/>
      <c r="J210" s="49"/>
      <c r="K210" s="34">
        <v>7</v>
      </c>
      <c r="L210" s="47"/>
      <c r="M210" s="48"/>
      <c r="N210" s="48"/>
      <c r="O210" s="51"/>
      <c r="P210" s="349"/>
      <c r="Q210" s="238"/>
      <c r="R210" s="47"/>
      <c r="S210" s="49"/>
      <c r="T210" s="34">
        <v>7</v>
      </c>
      <c r="U210" s="47"/>
      <c r="V210" s="48"/>
      <c r="W210" s="48"/>
      <c r="X210" s="51"/>
      <c r="Y210" s="349"/>
      <c r="Z210" s="238"/>
      <c r="AA210" s="47"/>
      <c r="AB210" s="49"/>
    </row>
    <row r="211" spans="1:28" ht="19.5" hidden="1" x14ac:dyDescent="0.25">
      <c r="B211" s="34">
        <v>8</v>
      </c>
      <c r="C211" s="47"/>
      <c r="D211" s="48"/>
      <c r="E211" s="48"/>
      <c r="F211" s="51"/>
      <c r="G211" s="239"/>
      <c r="H211" s="238"/>
      <c r="I211" s="47"/>
      <c r="J211" s="49"/>
      <c r="K211" s="34">
        <v>8</v>
      </c>
      <c r="L211" s="47"/>
      <c r="M211" s="48"/>
      <c r="N211" s="48"/>
      <c r="O211" s="51"/>
      <c r="P211" s="239"/>
      <c r="Q211" s="238"/>
      <c r="R211" s="47"/>
      <c r="S211" s="49"/>
      <c r="T211" s="34">
        <v>8</v>
      </c>
      <c r="U211" s="47"/>
      <c r="V211" s="48"/>
      <c r="W211" s="48"/>
      <c r="X211" s="51"/>
      <c r="Y211" s="239"/>
      <c r="Z211" s="238"/>
      <c r="AA211" s="47"/>
      <c r="AB211" s="49"/>
    </row>
    <row r="212" spans="1:28" ht="19.5" hidden="1" x14ac:dyDescent="0.25">
      <c r="B212" s="34">
        <v>9</v>
      </c>
      <c r="C212" s="47"/>
      <c r="D212" s="48"/>
      <c r="E212" s="48"/>
      <c r="F212" s="51"/>
      <c r="G212" s="239"/>
      <c r="H212" s="238"/>
      <c r="I212" s="47"/>
      <c r="J212" s="49"/>
      <c r="K212" s="34">
        <v>9</v>
      </c>
      <c r="L212" s="47"/>
      <c r="M212" s="48"/>
      <c r="N212" s="48"/>
      <c r="O212" s="51"/>
      <c r="P212" s="239"/>
      <c r="Q212" s="238"/>
      <c r="R212" s="47"/>
      <c r="S212" s="49"/>
      <c r="T212" s="34">
        <v>9</v>
      </c>
      <c r="U212" s="47"/>
      <c r="V212" s="48"/>
      <c r="W212" s="48"/>
      <c r="X212" s="51"/>
      <c r="Y212" s="239"/>
      <c r="Z212" s="238"/>
      <c r="AA212" s="47"/>
      <c r="AB212" s="49"/>
    </row>
    <row r="213" spans="1:28" ht="20.25" hidden="1" thickBot="1" x14ac:dyDescent="0.3">
      <c r="B213" s="34">
        <v>10</v>
      </c>
      <c r="C213" s="47"/>
      <c r="D213" s="48"/>
      <c r="E213" s="48"/>
      <c r="F213" s="50"/>
      <c r="G213" s="239"/>
      <c r="H213" s="238"/>
      <c r="I213" s="47"/>
      <c r="J213" s="49"/>
      <c r="K213" s="34">
        <v>10</v>
      </c>
      <c r="L213" s="47"/>
      <c r="M213" s="48"/>
      <c r="N213" s="48"/>
      <c r="O213" s="50"/>
      <c r="P213" s="239"/>
      <c r="Q213" s="238"/>
      <c r="R213" s="47"/>
      <c r="S213" s="49"/>
      <c r="T213" s="34">
        <v>10</v>
      </c>
      <c r="U213" s="47"/>
      <c r="V213" s="48"/>
      <c r="W213" s="48"/>
      <c r="X213" s="50"/>
      <c r="Y213" s="239"/>
      <c r="Z213" s="238"/>
      <c r="AA213" s="47"/>
      <c r="AB213" s="49"/>
    </row>
    <row r="214" spans="1:28" ht="23.25" hidden="1" thickBot="1" x14ac:dyDescent="0.35">
      <c r="B214" s="355" t="s">
        <v>29</v>
      </c>
      <c r="C214" s="356"/>
      <c r="D214" s="356"/>
      <c r="E214" s="356"/>
      <c r="F214" s="356"/>
      <c r="G214" s="356"/>
      <c r="H214" s="356"/>
      <c r="I214" s="357"/>
      <c r="J214" s="79">
        <f>SUM(J204:J213)</f>
        <v>0</v>
      </c>
      <c r="K214" s="355" t="s">
        <v>29</v>
      </c>
      <c r="L214" s="356"/>
      <c r="M214" s="356"/>
      <c r="N214" s="356"/>
      <c r="O214" s="356"/>
      <c r="P214" s="356"/>
      <c r="Q214" s="356"/>
      <c r="R214" s="357"/>
      <c r="S214" s="73">
        <f>SUM(S204:S213)</f>
        <v>0</v>
      </c>
      <c r="T214" s="355" t="s">
        <v>29</v>
      </c>
      <c r="U214" s="356"/>
      <c r="V214" s="356"/>
      <c r="W214" s="356"/>
      <c r="X214" s="356"/>
      <c r="Y214" s="356"/>
      <c r="Z214" s="356"/>
      <c r="AA214" s="357"/>
      <c r="AB214" s="73">
        <f>SUM(AB204:AB213)</f>
        <v>0</v>
      </c>
    </row>
    <row r="215" spans="1:28" ht="52.9" hidden="1" customHeight="1" thickBot="1" x14ac:dyDescent="0.3"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</row>
    <row r="216" spans="1:28" ht="88.5" thickBot="1" x14ac:dyDescent="1.1000000000000001">
      <c r="B216" s="246" t="s">
        <v>82</v>
      </c>
      <c r="C216" s="247"/>
      <c r="D216" s="247"/>
      <c r="E216" s="247"/>
      <c r="F216" s="247"/>
      <c r="G216" s="247"/>
      <c r="H216" s="247"/>
      <c r="I216" s="247"/>
      <c r="J216" s="247"/>
      <c r="K216" s="247"/>
      <c r="L216" s="247"/>
      <c r="M216" s="247"/>
      <c r="N216" s="247"/>
      <c r="O216" s="247"/>
      <c r="P216" s="247"/>
      <c r="Q216" s="247"/>
      <c r="R216" s="247"/>
      <c r="S216" s="247"/>
      <c r="T216" s="247"/>
      <c r="U216" s="247"/>
      <c r="V216" s="248"/>
      <c r="W216" s="246" t="s">
        <v>12</v>
      </c>
      <c r="X216" s="247"/>
      <c r="Y216" s="247"/>
      <c r="Z216" s="248"/>
      <c r="AA216" s="249">
        <v>1</v>
      </c>
      <c r="AB216" s="250"/>
    </row>
    <row r="217" spans="1:28" ht="32.25" x14ac:dyDescent="0.4">
      <c r="B217" s="341" t="s">
        <v>82</v>
      </c>
      <c r="C217" s="342"/>
      <c r="D217" s="342"/>
      <c r="E217" s="342"/>
      <c r="F217" s="342"/>
      <c r="G217" s="342"/>
      <c r="H217" s="342"/>
      <c r="I217" s="342"/>
      <c r="J217" s="343"/>
      <c r="K217" s="341"/>
      <c r="L217" s="342"/>
      <c r="M217" s="342"/>
      <c r="N217" s="342"/>
      <c r="O217" s="342"/>
      <c r="P217" s="342"/>
      <c r="Q217" s="342"/>
      <c r="R217" s="342"/>
      <c r="S217" s="344"/>
      <c r="T217" s="231"/>
      <c r="U217" s="232"/>
      <c r="V217" s="232"/>
      <c r="W217" s="232"/>
      <c r="X217" s="232"/>
      <c r="Y217" s="232"/>
      <c r="Z217" s="232"/>
      <c r="AA217" s="232"/>
      <c r="AB217" s="233"/>
    </row>
    <row r="218" spans="1:28" ht="39" x14ac:dyDescent="0.25">
      <c r="B218" s="21" t="s">
        <v>3</v>
      </c>
      <c r="C218" s="345" t="s">
        <v>4</v>
      </c>
      <c r="D218" s="345"/>
      <c r="E218" s="345"/>
      <c r="F218" s="346" t="s">
        <v>5</v>
      </c>
      <c r="G218" s="346"/>
      <c r="H218" s="346" t="s">
        <v>6</v>
      </c>
      <c r="I218" s="346"/>
      <c r="J218" s="347" t="s">
        <v>0</v>
      </c>
      <c r="K218" s="21" t="s">
        <v>3</v>
      </c>
      <c r="L218" s="345" t="s">
        <v>4</v>
      </c>
      <c r="M218" s="345"/>
      <c r="N218" s="345"/>
      <c r="O218" s="346" t="s">
        <v>5</v>
      </c>
      <c r="P218" s="346"/>
      <c r="Q218" s="346" t="s">
        <v>6</v>
      </c>
      <c r="R218" s="346"/>
      <c r="S218" s="348" t="s">
        <v>0</v>
      </c>
      <c r="T218" s="21" t="s">
        <v>3</v>
      </c>
      <c r="U218" s="345" t="s">
        <v>4</v>
      </c>
      <c r="V218" s="345"/>
      <c r="W218" s="345"/>
      <c r="X218" s="346" t="s">
        <v>5</v>
      </c>
      <c r="Y218" s="346"/>
      <c r="Z218" s="346" t="s">
        <v>6</v>
      </c>
      <c r="AA218" s="346"/>
      <c r="AB218" s="347" t="s">
        <v>0</v>
      </c>
    </row>
    <row r="219" spans="1:28" ht="14.45" customHeight="1" x14ac:dyDescent="0.25">
      <c r="B219" s="45" t="s">
        <v>3</v>
      </c>
      <c r="C219" s="151" t="s">
        <v>4</v>
      </c>
      <c r="D219" s="350" t="s">
        <v>8</v>
      </c>
      <c r="E219" s="350"/>
      <c r="F219" s="158" t="s">
        <v>10</v>
      </c>
      <c r="G219" s="151" t="s">
        <v>8</v>
      </c>
      <c r="H219" s="158" t="s">
        <v>9</v>
      </c>
      <c r="I219" s="151" t="s">
        <v>8</v>
      </c>
      <c r="J219" s="347"/>
      <c r="K219" s="45" t="s">
        <v>3</v>
      </c>
      <c r="L219" s="151" t="s">
        <v>4</v>
      </c>
      <c r="M219" s="350" t="s">
        <v>8</v>
      </c>
      <c r="N219" s="350"/>
      <c r="O219" s="158" t="s">
        <v>10</v>
      </c>
      <c r="P219" s="151" t="s">
        <v>8</v>
      </c>
      <c r="Q219" s="151" t="s">
        <v>9</v>
      </c>
      <c r="R219" s="151" t="s">
        <v>8</v>
      </c>
      <c r="S219" s="348"/>
      <c r="T219" s="12" t="s">
        <v>3</v>
      </c>
      <c r="U219" s="152" t="s">
        <v>4</v>
      </c>
      <c r="V219" s="351" t="s">
        <v>8</v>
      </c>
      <c r="W219" s="351"/>
      <c r="X219" s="11" t="s">
        <v>10</v>
      </c>
      <c r="Y219" s="152" t="s">
        <v>8</v>
      </c>
      <c r="Z219" s="152" t="s">
        <v>9</v>
      </c>
      <c r="AA219" s="152" t="s">
        <v>8</v>
      </c>
      <c r="AB219" s="347"/>
    </row>
    <row r="220" spans="1:28" ht="62.45" customHeight="1" x14ac:dyDescent="0.25">
      <c r="A220" s="38">
        <v>457000000</v>
      </c>
      <c r="B220" s="38">
        <v>457000000</v>
      </c>
      <c r="C220" s="65">
        <f xml:space="preserve"> 17206296222.29/($J$6)</f>
        <v>69.597049575536502</v>
      </c>
      <c r="D220" s="363">
        <f>IF(AND(C220&gt;0,C220&lt;=$AE$11),$AF$11,IF(AND(C220&gt;$AD$12,C220&lt;=$AE$12),$AF$12,IF(AND(C220&gt;$AD$13,C220&lt;=$AE$13),$AF$13,IF(AND(C220&gt;$AD$14),$AF$14))))</f>
        <v>120</v>
      </c>
      <c r="E220" s="363"/>
      <c r="F220" s="151">
        <v>4.51</v>
      </c>
      <c r="G220" s="153">
        <f>IF(AND(F220&gt;$AG$10,F220&lt;=$AH$10),$AI$10,IF(AND(F220&gt;$AG$11,F220&lt;=$AH$11),$AI$11,IF(AND(F220&gt;$AG$12,F220&lt;=$AH$12),$AI$12,IF(AND(F220&gt;$AG$13,F220&lt;=$AH$13),$AI$13,IF(AND(F220&gt;$AG$14),$AI$14)))))</f>
        <v>40</v>
      </c>
      <c r="H220" s="151">
        <v>1</v>
      </c>
      <c r="I220" s="153">
        <f>IF(AND(H220&gt;0,H220&lt;=$AK$11),$AL$11,IF(AND(H220&gt;$AK$11,H220&lt;=$AK$12),$AL$12,IF(AND(H220&gt;$AK$12),$AL$13)))</f>
        <v>20</v>
      </c>
      <c r="J220" s="347"/>
      <c r="K220" s="38">
        <v>0</v>
      </c>
      <c r="L220" s="65">
        <v>0</v>
      </c>
      <c r="M220" s="363" t="b">
        <f>IF(AND(L220&gt;0,L220&lt;=$AE$11),$AF$11,IF(AND(L220&gt;$AD$12,L220&lt;=$AE$12),$AF$12,IF(AND(L220&gt;$AD$13,L220&lt;=$AE$13),$AF$13,IF(AND(L220&gt;$AD$14),$AF$14))))</f>
        <v>0</v>
      </c>
      <c r="N220" s="363"/>
      <c r="O220" s="151">
        <v>0</v>
      </c>
      <c r="P220" s="153" t="b">
        <f>IF(AND(O220&gt;$AG$10,O220&lt;=$AH$10),$AI$10,IF(AND(O220&gt;$AG$11,O220&lt;=$AH$11),$AI$11,IF(AND(O220&gt;$AG$12,O220&lt;=$AH$12),$AI$12,IF(AND(O220&gt;$AG$13,O220&lt;=$AH$13),$AI$13,IF(AND(O220&gt;$AG$14),$AI$14)))))</f>
        <v>0</v>
      </c>
      <c r="Q220" s="151">
        <v>0</v>
      </c>
      <c r="R220" s="153" t="b">
        <f>IF(AND(Q220&gt;0,Q220&lt;=$AK$11),$AL$11,IF(AND(Q220&gt;$AK$11,Q220&lt;=$AK$12),$AL$12,IF(AND(Q220&gt;$AK$12),$AL$13)))</f>
        <v>0</v>
      </c>
      <c r="S220" s="348"/>
      <c r="T220" s="26">
        <v>0</v>
      </c>
      <c r="U220" s="27">
        <v>12</v>
      </c>
      <c r="V220" s="353">
        <f>IF(AND(U220&gt;0,U220&lt;=$AE$11),$AF$11,IF(AND(U220&gt;$AD$12,U220&lt;=$AE$12),$AF$12,IF(AND(U220&gt;$AD$13,U220&lt;=$AE$13),$AF$13,IF(AND(U220&gt;$AD$14),$AF$14))))</f>
        <v>120</v>
      </c>
      <c r="W220" s="353"/>
      <c r="X220" s="152">
        <v>0</v>
      </c>
      <c r="Y220" s="154" t="b">
        <f>IF(AND(X220&gt;$AG$10,X220&lt;=$AH$10),$AI$10,IF(AND(X220&gt;$AG$11,X220&lt;=$AH$11),$AI$11,IF(AND(X220&gt;$AG$12,X220&lt;=$AH$12),$AI$12,IF(AND(X220&gt;$AG$13,X220&lt;=$AH$13),$AI$13,IF(AND(X220&gt;$AG$14),$AI$14)))))</f>
        <v>0</v>
      </c>
      <c r="Z220" s="152">
        <v>0</v>
      </c>
      <c r="AA220" s="154" t="b">
        <f>IF(AND(Z220&gt;0,Z220&lt;=$AK$11),$AL$11,IF(AND(Z220&gt;$AK$11,Z220&lt;=$AK$12),$AL$12,IF(AND(Z220&gt;$AK$12),$AL$13)))</f>
        <v>0</v>
      </c>
      <c r="AB220" s="347"/>
    </row>
    <row r="221" spans="1:28" ht="138.6" customHeight="1" thickBot="1" x14ac:dyDescent="0.3">
      <c r="B221" s="22" t="s">
        <v>11</v>
      </c>
      <c r="C221" s="68">
        <f>B220*((D220+I220+G220)/100)-J237</f>
        <v>286329480.69277775</v>
      </c>
      <c r="D221" s="354" t="str">
        <f>IF(C221&gt;=$J$6,"CUMPLE","NO CUMPLE")</f>
        <v>CUMPLE</v>
      </c>
      <c r="E221" s="354"/>
      <c r="F221" s="354"/>
      <c r="G221" s="354"/>
      <c r="H221" s="354"/>
      <c r="I221" s="354"/>
      <c r="J221" s="211" t="s">
        <v>109</v>
      </c>
      <c r="K221" s="22" t="s">
        <v>11</v>
      </c>
      <c r="L221" s="68">
        <f>K220*((M220+R220+P220)/100)</f>
        <v>0</v>
      </c>
      <c r="M221" s="312" t="str">
        <f>IF(L221&gt;=$J$6,"CUMPLE",IF(AND(L221&lt;$J$6,L221&gt;0),"NO CUMPLE",IF(L221=0,"NO APLICA")))</f>
        <v>NO APLICA</v>
      </c>
      <c r="N221" s="313"/>
      <c r="O221" s="313"/>
      <c r="P221" s="313"/>
      <c r="Q221" s="313"/>
      <c r="R221" s="314"/>
      <c r="S221" s="42"/>
      <c r="T221" s="24" t="s">
        <v>11</v>
      </c>
      <c r="U221" s="76">
        <f>T220*((V220+AB220+Y220)/100)</f>
        <v>0</v>
      </c>
      <c r="V221" s="312" t="str">
        <f>IF(U221&gt;=$J$6,"CUMPLE",IF(AND(U221&lt;$J$6,U221&gt;0),"NO CUMPLE",IF(U221=0,"NO APLICA")))</f>
        <v>NO APLICA</v>
      </c>
      <c r="W221" s="313"/>
      <c r="X221" s="313"/>
      <c r="Y221" s="313"/>
      <c r="Z221" s="313"/>
      <c r="AA221" s="314"/>
      <c r="AB221" s="25"/>
    </row>
    <row r="222" spans="1:28" x14ac:dyDescent="0.25">
      <c r="B222" s="1"/>
      <c r="C222" s="2"/>
      <c r="D222" s="2"/>
      <c r="E222" s="1"/>
      <c r="F222" s="1"/>
      <c r="G222" s="2"/>
      <c r="H222" s="2"/>
      <c r="I222" s="2"/>
      <c r="J222" s="1"/>
      <c r="T222" s="4"/>
      <c r="U222" s="5"/>
      <c r="V222" s="5"/>
      <c r="W222" s="5"/>
      <c r="X222" s="5"/>
      <c r="Y222" s="5"/>
      <c r="Z222" s="5"/>
      <c r="AA222" s="5"/>
      <c r="AB222" s="6"/>
    </row>
    <row r="223" spans="1:28" ht="15.75" thickBot="1" x14ac:dyDescent="0.3">
      <c r="B223" s="1"/>
      <c r="C223" s="3"/>
      <c r="D223" s="3"/>
      <c r="E223" s="1"/>
      <c r="F223" s="1"/>
      <c r="G223" s="2"/>
      <c r="H223" s="2"/>
      <c r="I223" s="2"/>
      <c r="J223" s="1"/>
      <c r="T223" s="7"/>
      <c r="U223" s="8"/>
      <c r="V223" s="8"/>
      <c r="W223" s="8"/>
      <c r="X223" s="8"/>
      <c r="Y223" s="8"/>
      <c r="Z223" s="8"/>
      <c r="AA223" s="8"/>
      <c r="AB223" s="9"/>
    </row>
    <row r="224" spans="1:28" ht="92.45" customHeight="1" thickBot="1" x14ac:dyDescent="0.3">
      <c r="B224" s="358" t="s">
        <v>7</v>
      </c>
      <c r="C224" s="359"/>
      <c r="D224" s="359"/>
      <c r="E224" s="359"/>
      <c r="F224" s="359"/>
      <c r="G224" s="359"/>
      <c r="H224" s="360"/>
      <c r="I224" s="361">
        <f>C221+L221</f>
        <v>286329480.69277775</v>
      </c>
      <c r="J224" s="362"/>
      <c r="K224" s="304" t="str">
        <f>IF(I224&gt;=$J$6,"CUMPLE","NO CUMPLE")</f>
        <v>CUMPLE</v>
      </c>
      <c r="L224" s="305"/>
      <c r="M224" s="305"/>
      <c r="N224" s="305"/>
      <c r="O224" s="305"/>
      <c r="P224" s="305"/>
      <c r="Q224" s="305"/>
      <c r="R224" s="305"/>
      <c r="S224" s="305"/>
      <c r="T224" s="305"/>
      <c r="U224" s="305"/>
      <c r="V224" s="305"/>
      <c r="W224" s="305"/>
      <c r="X224" s="305"/>
      <c r="Y224" s="305"/>
      <c r="Z224" s="305"/>
      <c r="AA224" s="305"/>
      <c r="AB224" s="306"/>
    </row>
    <row r="225" spans="2:28" ht="30.75" thickBot="1" x14ac:dyDescent="0.3">
      <c r="B225" s="271" t="s">
        <v>22</v>
      </c>
      <c r="C225" s="272"/>
      <c r="D225" s="272"/>
      <c r="E225" s="272"/>
      <c r="F225" s="272"/>
      <c r="G225" s="272"/>
      <c r="H225" s="272"/>
      <c r="I225" s="272"/>
      <c r="J225" s="272"/>
      <c r="K225" s="272"/>
      <c r="L225" s="272"/>
      <c r="M225" s="272"/>
      <c r="N225" s="272"/>
      <c r="O225" s="272"/>
      <c r="P225" s="272"/>
      <c r="Q225" s="272"/>
      <c r="R225" s="272"/>
      <c r="S225" s="272"/>
      <c r="T225" s="272"/>
      <c r="U225" s="272"/>
      <c r="V225" s="272"/>
      <c r="W225" s="272"/>
      <c r="X225" s="272"/>
      <c r="Y225" s="272"/>
      <c r="Z225" s="272"/>
      <c r="AA225" s="272"/>
      <c r="AB225" s="273"/>
    </row>
    <row r="226" spans="2:28" ht="76.5" x14ac:dyDescent="0.35">
      <c r="B226" s="30" t="s">
        <v>1</v>
      </c>
      <c r="C226" s="157" t="s">
        <v>23</v>
      </c>
      <c r="D226" s="157" t="s">
        <v>24</v>
      </c>
      <c r="E226" s="52" t="s">
        <v>31</v>
      </c>
      <c r="F226" s="157" t="s">
        <v>25</v>
      </c>
      <c r="G226" s="257" t="s">
        <v>28</v>
      </c>
      <c r="H226" s="258"/>
      <c r="I226" s="157" t="s">
        <v>26</v>
      </c>
      <c r="J226" s="33" t="s">
        <v>27</v>
      </c>
      <c r="K226" s="30" t="s">
        <v>1</v>
      </c>
      <c r="L226" s="157" t="s">
        <v>23</v>
      </c>
      <c r="M226" s="157" t="s">
        <v>24</v>
      </c>
      <c r="N226" s="52" t="s">
        <v>31</v>
      </c>
      <c r="O226" s="157" t="s">
        <v>25</v>
      </c>
      <c r="P226" s="257" t="s">
        <v>28</v>
      </c>
      <c r="Q226" s="258"/>
      <c r="R226" s="157" t="s">
        <v>26</v>
      </c>
      <c r="S226" s="33" t="s">
        <v>27</v>
      </c>
      <c r="T226" s="30" t="s">
        <v>1</v>
      </c>
      <c r="U226" s="157" t="s">
        <v>23</v>
      </c>
      <c r="V226" s="157" t="s">
        <v>24</v>
      </c>
      <c r="W226" s="52" t="s">
        <v>31</v>
      </c>
      <c r="X226" s="157" t="s">
        <v>25</v>
      </c>
      <c r="Y226" s="257" t="s">
        <v>28</v>
      </c>
      <c r="Z226" s="258"/>
      <c r="AA226" s="157" t="s">
        <v>26</v>
      </c>
      <c r="AB226" s="33" t="s">
        <v>27</v>
      </c>
    </row>
    <row r="227" spans="2:28" ht="19.5" x14ac:dyDescent="0.25">
      <c r="B227" s="34">
        <v>1</v>
      </c>
      <c r="C227" s="208">
        <v>321812142.94999999</v>
      </c>
      <c r="D227" s="58">
        <v>3</v>
      </c>
      <c r="E227" s="77">
        <v>90</v>
      </c>
      <c r="F227" s="59">
        <v>19</v>
      </c>
      <c r="G227" s="259">
        <v>1</v>
      </c>
      <c r="H227" s="260"/>
      <c r="I227" s="71">
        <f>C227/E227</f>
        <v>3575690.4772222219</v>
      </c>
      <c r="J227" s="72">
        <f>I227*F227</f>
        <v>67938119.067222223</v>
      </c>
      <c r="K227" s="34">
        <v>1</v>
      </c>
      <c r="L227" s="47"/>
      <c r="M227" s="58"/>
      <c r="N227" s="77"/>
      <c r="O227" s="59"/>
      <c r="P227" s="149"/>
      <c r="Q227" s="150"/>
      <c r="R227" s="47"/>
      <c r="S227" s="72">
        <f>R227*P227*O227</f>
        <v>0</v>
      </c>
      <c r="T227" s="34">
        <v>1</v>
      </c>
      <c r="U227" s="47"/>
      <c r="V227" s="58"/>
      <c r="W227" s="77">
        <f>V227*$AV$45</f>
        <v>0</v>
      </c>
      <c r="X227" s="59"/>
      <c r="Y227" s="149"/>
      <c r="Z227" s="150"/>
      <c r="AA227" s="47"/>
      <c r="AB227" s="72">
        <f>AA227*Y227*X227</f>
        <v>0</v>
      </c>
    </row>
    <row r="228" spans="2:28" ht="19.5" x14ac:dyDescent="0.25">
      <c r="B228" s="34">
        <v>2</v>
      </c>
      <c r="C228" s="208">
        <v>308363304.92000002</v>
      </c>
      <c r="D228" s="58">
        <v>2.5</v>
      </c>
      <c r="E228" s="77">
        <v>75</v>
      </c>
      <c r="F228" s="58">
        <v>0</v>
      </c>
      <c r="G228" s="259">
        <v>1</v>
      </c>
      <c r="H228" s="260"/>
      <c r="I228" s="71">
        <f t="shared" ref="I228:I229" si="9">C228/E228</f>
        <v>4111510.7322666668</v>
      </c>
      <c r="J228" s="72">
        <f>E228*I228</f>
        <v>308363304.92000002</v>
      </c>
      <c r="K228" s="34">
        <v>2</v>
      </c>
      <c r="L228" s="47"/>
      <c r="M228" s="48"/>
      <c r="N228" s="48"/>
      <c r="O228" s="51"/>
      <c r="P228" s="349"/>
      <c r="Q228" s="238"/>
      <c r="R228" s="47"/>
      <c r="S228" s="49"/>
      <c r="T228" s="34">
        <v>2</v>
      </c>
      <c r="U228" s="47"/>
      <c r="V228" s="48"/>
      <c r="W228" s="48"/>
      <c r="X228" s="51"/>
      <c r="Y228" s="349"/>
      <c r="Z228" s="238"/>
      <c r="AA228" s="47"/>
      <c r="AB228" s="49"/>
    </row>
    <row r="229" spans="2:28" ht="19.5" x14ac:dyDescent="0.25">
      <c r="B229" s="34">
        <v>3</v>
      </c>
      <c r="C229" s="208">
        <f>246106300.5-86137205.18</f>
        <v>159969095.31999999</v>
      </c>
      <c r="D229" s="58">
        <v>2</v>
      </c>
      <c r="E229" s="77">
        <v>60</v>
      </c>
      <c r="F229" s="58">
        <v>0</v>
      </c>
      <c r="G229" s="349">
        <v>1</v>
      </c>
      <c r="H229" s="238"/>
      <c r="I229" s="71">
        <f t="shared" si="9"/>
        <v>2666151.5886666668</v>
      </c>
      <c r="J229" s="72">
        <f>E229*I229</f>
        <v>159969095.31999999</v>
      </c>
      <c r="K229" s="34">
        <v>3</v>
      </c>
      <c r="L229" s="47"/>
      <c r="M229" s="48"/>
      <c r="N229" s="48"/>
      <c r="O229" s="51"/>
      <c r="P229" s="349"/>
      <c r="Q229" s="238"/>
      <c r="R229" s="47"/>
      <c r="S229" s="49"/>
      <c r="T229" s="34">
        <v>3</v>
      </c>
      <c r="U229" s="47"/>
      <c r="V229" s="48"/>
      <c r="W229" s="48"/>
      <c r="X229" s="51"/>
      <c r="Y229" s="349"/>
      <c r="Z229" s="238"/>
      <c r="AA229" s="47"/>
      <c r="AB229" s="49"/>
    </row>
    <row r="230" spans="2:28" ht="19.5" x14ac:dyDescent="0.25">
      <c r="B230" s="34">
        <v>4</v>
      </c>
      <c r="C230" s="47"/>
      <c r="D230" s="48"/>
      <c r="E230" s="77"/>
      <c r="F230" s="51"/>
      <c r="G230" s="349"/>
      <c r="H230" s="238"/>
      <c r="I230" s="47"/>
      <c r="J230" s="49"/>
      <c r="K230" s="34">
        <v>4</v>
      </c>
      <c r="L230" s="47"/>
      <c r="M230" s="48"/>
      <c r="N230" s="48"/>
      <c r="O230" s="51"/>
      <c r="P230" s="349"/>
      <c r="Q230" s="238"/>
      <c r="R230" s="47"/>
      <c r="S230" s="49"/>
      <c r="T230" s="34">
        <v>4</v>
      </c>
      <c r="U230" s="47"/>
      <c r="V230" s="48"/>
      <c r="W230" s="48"/>
      <c r="X230" s="51"/>
      <c r="Y230" s="349"/>
      <c r="Z230" s="238"/>
      <c r="AA230" s="47"/>
      <c r="AB230" s="49"/>
    </row>
    <row r="231" spans="2:28" ht="19.5" x14ac:dyDescent="0.25">
      <c r="B231" s="34">
        <v>5</v>
      </c>
      <c r="C231" s="47"/>
      <c r="D231" s="48"/>
      <c r="E231" s="77"/>
      <c r="F231" s="51"/>
      <c r="G231" s="349"/>
      <c r="H231" s="238"/>
      <c r="I231" s="47"/>
      <c r="J231" s="49"/>
      <c r="K231" s="34">
        <v>5</v>
      </c>
      <c r="L231" s="47"/>
      <c r="M231" s="48"/>
      <c r="N231" s="48"/>
      <c r="O231" s="51"/>
      <c r="P231" s="349"/>
      <c r="Q231" s="238"/>
      <c r="R231" s="47"/>
      <c r="S231" s="49"/>
      <c r="T231" s="34">
        <v>5</v>
      </c>
      <c r="U231" s="47"/>
      <c r="V231" s="48"/>
      <c r="W231" s="48"/>
      <c r="X231" s="51"/>
      <c r="Y231" s="349"/>
      <c r="Z231" s="238"/>
      <c r="AA231" s="47"/>
      <c r="AB231" s="49"/>
    </row>
    <row r="232" spans="2:28" ht="19.5" x14ac:dyDescent="0.25">
      <c r="B232" s="34">
        <v>6</v>
      </c>
      <c r="C232" s="47"/>
      <c r="D232" s="48"/>
      <c r="E232" s="77"/>
      <c r="F232" s="51"/>
      <c r="G232" s="349"/>
      <c r="H232" s="238"/>
      <c r="I232" s="47"/>
      <c r="J232" s="49"/>
      <c r="K232" s="34">
        <v>6</v>
      </c>
      <c r="L232" s="47"/>
      <c r="M232" s="48"/>
      <c r="N232" s="48"/>
      <c r="O232" s="51"/>
      <c r="P232" s="349"/>
      <c r="Q232" s="238"/>
      <c r="R232" s="47"/>
      <c r="S232" s="49"/>
      <c r="T232" s="34">
        <v>6</v>
      </c>
      <c r="U232" s="47"/>
      <c r="V232" s="48"/>
      <c r="W232" s="48"/>
      <c r="X232" s="51"/>
      <c r="Y232" s="349"/>
      <c r="Z232" s="238"/>
      <c r="AA232" s="47"/>
      <c r="AB232" s="49"/>
    </row>
    <row r="233" spans="2:28" ht="19.5" x14ac:dyDescent="0.25">
      <c r="B233" s="34">
        <v>7</v>
      </c>
      <c r="C233" s="47"/>
      <c r="D233" s="48"/>
      <c r="E233" s="77"/>
      <c r="F233" s="51"/>
      <c r="G233" s="349"/>
      <c r="H233" s="238"/>
      <c r="I233" s="47"/>
      <c r="J233" s="49"/>
      <c r="K233" s="34">
        <v>7</v>
      </c>
      <c r="L233" s="47"/>
      <c r="M233" s="48"/>
      <c r="N233" s="48"/>
      <c r="O233" s="51"/>
      <c r="P233" s="349"/>
      <c r="Q233" s="238"/>
      <c r="R233" s="47"/>
      <c r="S233" s="49"/>
      <c r="T233" s="34">
        <v>7</v>
      </c>
      <c r="U233" s="47"/>
      <c r="V233" s="48"/>
      <c r="W233" s="48"/>
      <c r="X233" s="51"/>
      <c r="Y233" s="349"/>
      <c r="Z233" s="238"/>
      <c r="AA233" s="47"/>
      <c r="AB233" s="49"/>
    </row>
    <row r="234" spans="2:28" ht="19.5" x14ac:dyDescent="0.25">
      <c r="B234" s="34">
        <v>8</v>
      </c>
      <c r="C234" s="47"/>
      <c r="D234" s="48"/>
      <c r="E234" s="77"/>
      <c r="F234" s="51"/>
      <c r="G234" s="239"/>
      <c r="H234" s="238"/>
      <c r="I234" s="47"/>
      <c r="J234" s="49"/>
      <c r="K234" s="34">
        <v>8</v>
      </c>
      <c r="L234" s="47"/>
      <c r="M234" s="48"/>
      <c r="N234" s="48"/>
      <c r="O234" s="51"/>
      <c r="P234" s="239"/>
      <c r="Q234" s="238"/>
      <c r="R234" s="47"/>
      <c r="S234" s="49"/>
      <c r="T234" s="34">
        <v>8</v>
      </c>
      <c r="U234" s="47"/>
      <c r="V234" s="48"/>
      <c r="W234" s="48"/>
      <c r="X234" s="51"/>
      <c r="Y234" s="239"/>
      <c r="Z234" s="238"/>
      <c r="AA234" s="47"/>
      <c r="AB234" s="49"/>
    </row>
    <row r="235" spans="2:28" ht="19.5" x14ac:dyDescent="0.25">
      <c r="B235" s="34">
        <v>9</v>
      </c>
      <c r="C235" s="47"/>
      <c r="D235" s="48"/>
      <c r="E235" s="48"/>
      <c r="F235" s="51"/>
      <c r="G235" s="239"/>
      <c r="H235" s="238"/>
      <c r="I235" s="47"/>
      <c r="J235" s="49"/>
      <c r="K235" s="34">
        <v>9</v>
      </c>
      <c r="L235" s="47"/>
      <c r="M235" s="48"/>
      <c r="N235" s="48"/>
      <c r="O235" s="51"/>
      <c r="P235" s="239"/>
      <c r="Q235" s="238"/>
      <c r="R235" s="47"/>
      <c r="S235" s="49"/>
      <c r="T235" s="34">
        <v>9</v>
      </c>
      <c r="U235" s="47"/>
      <c r="V235" s="48"/>
      <c r="W235" s="48"/>
      <c r="X235" s="51"/>
      <c r="Y235" s="239"/>
      <c r="Z235" s="238"/>
      <c r="AA235" s="47"/>
      <c r="AB235" s="49"/>
    </row>
    <row r="236" spans="2:28" ht="20.25" thickBot="1" x14ac:dyDescent="0.3">
      <c r="B236" s="34">
        <v>10</v>
      </c>
      <c r="C236" s="47"/>
      <c r="D236" s="48"/>
      <c r="E236" s="48"/>
      <c r="F236" s="50"/>
      <c r="G236" s="239"/>
      <c r="H236" s="238"/>
      <c r="I236" s="47"/>
      <c r="J236" s="49"/>
      <c r="K236" s="34">
        <v>10</v>
      </c>
      <c r="L236" s="47"/>
      <c r="M236" s="48"/>
      <c r="N236" s="48"/>
      <c r="O236" s="50"/>
      <c r="P236" s="239"/>
      <c r="Q236" s="238"/>
      <c r="R236" s="47"/>
      <c r="S236" s="49"/>
      <c r="T236" s="34">
        <v>10</v>
      </c>
      <c r="U236" s="47"/>
      <c r="V236" s="48"/>
      <c r="W236" s="48"/>
      <c r="X236" s="50"/>
      <c r="Y236" s="239"/>
      <c r="Z236" s="238"/>
      <c r="AA236" s="47"/>
      <c r="AB236" s="49"/>
    </row>
    <row r="237" spans="2:28" ht="23.25" thickBot="1" x14ac:dyDescent="0.35">
      <c r="B237" s="355" t="s">
        <v>29</v>
      </c>
      <c r="C237" s="356"/>
      <c r="D237" s="356"/>
      <c r="E237" s="356"/>
      <c r="F237" s="356"/>
      <c r="G237" s="356"/>
      <c r="H237" s="356"/>
      <c r="I237" s="357"/>
      <c r="J237" s="79">
        <f>SUM(J227:J236)</f>
        <v>536270519.30722225</v>
      </c>
      <c r="K237" s="355" t="s">
        <v>29</v>
      </c>
      <c r="L237" s="356"/>
      <c r="M237" s="356"/>
      <c r="N237" s="356"/>
      <c r="O237" s="356"/>
      <c r="P237" s="356"/>
      <c r="Q237" s="356"/>
      <c r="R237" s="357"/>
      <c r="S237" s="73">
        <f>SUM(S227:S236)</f>
        <v>0</v>
      </c>
      <c r="T237" s="355" t="s">
        <v>29</v>
      </c>
      <c r="U237" s="356"/>
      <c r="V237" s="356"/>
      <c r="W237" s="356"/>
      <c r="X237" s="356"/>
      <c r="Y237" s="356"/>
      <c r="Z237" s="356"/>
      <c r="AA237" s="357"/>
      <c r="AB237" s="73">
        <f>SUM(AB227:AB236)</f>
        <v>0</v>
      </c>
    </row>
    <row r="238" spans="2:28" ht="40.15" customHeight="1" x14ac:dyDescent="0.25"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</row>
    <row r="242" spans="2:2" x14ac:dyDescent="0.25">
      <c r="B242" s="186" t="s">
        <v>110</v>
      </c>
    </row>
  </sheetData>
  <sheetProtection password="B06D" sheet="1" objects="1" scenarios="1"/>
  <mergeCells count="666">
    <mergeCell ref="B237:I237"/>
    <mergeCell ref="K237:R237"/>
    <mergeCell ref="T237:AA237"/>
    <mergeCell ref="G204:H204"/>
    <mergeCell ref="G234:H234"/>
    <mergeCell ref="P234:Q234"/>
    <mergeCell ref="Y234:Z234"/>
    <mergeCell ref="G235:H235"/>
    <mergeCell ref="P235:Q235"/>
    <mergeCell ref="Y235:Z235"/>
    <mergeCell ref="G236:H236"/>
    <mergeCell ref="P236:Q236"/>
    <mergeCell ref="Y236:Z236"/>
    <mergeCell ref="G231:H231"/>
    <mergeCell ref="P231:Q231"/>
    <mergeCell ref="Y231:Z231"/>
    <mergeCell ref="G232:H232"/>
    <mergeCell ref="P232:Q232"/>
    <mergeCell ref="Y232:Z232"/>
    <mergeCell ref="G233:H233"/>
    <mergeCell ref="P233:Q233"/>
    <mergeCell ref="Y233:Z233"/>
    <mergeCell ref="G228:H228"/>
    <mergeCell ref="P228:Q228"/>
    <mergeCell ref="Y228:Z228"/>
    <mergeCell ref="G229:H229"/>
    <mergeCell ref="P229:Q229"/>
    <mergeCell ref="Y229:Z229"/>
    <mergeCell ref="G230:H230"/>
    <mergeCell ref="P230:Q230"/>
    <mergeCell ref="Y230:Z230"/>
    <mergeCell ref="V220:W220"/>
    <mergeCell ref="D221:I221"/>
    <mergeCell ref="M221:R221"/>
    <mergeCell ref="V221:AA221"/>
    <mergeCell ref="B224:H224"/>
    <mergeCell ref="I224:J224"/>
    <mergeCell ref="K224:AB224"/>
    <mergeCell ref="B225:AB225"/>
    <mergeCell ref="G226:H226"/>
    <mergeCell ref="P226:Q226"/>
    <mergeCell ref="Y226:Z226"/>
    <mergeCell ref="G227:H227"/>
    <mergeCell ref="G112:H112"/>
    <mergeCell ref="B216:V216"/>
    <mergeCell ref="W216:Z216"/>
    <mergeCell ref="AA216:AB216"/>
    <mergeCell ref="B217:J217"/>
    <mergeCell ref="K217:S217"/>
    <mergeCell ref="T217:AB217"/>
    <mergeCell ref="C218:E218"/>
    <mergeCell ref="F218:G218"/>
    <mergeCell ref="H218:I218"/>
    <mergeCell ref="J218:J220"/>
    <mergeCell ref="L218:N218"/>
    <mergeCell ref="O218:P218"/>
    <mergeCell ref="Q218:R218"/>
    <mergeCell ref="S218:S220"/>
    <mergeCell ref="U218:W218"/>
    <mergeCell ref="X218:Y218"/>
    <mergeCell ref="Z218:AA218"/>
    <mergeCell ref="AB218:AB220"/>
    <mergeCell ref="D219:E219"/>
    <mergeCell ref="M219:N219"/>
    <mergeCell ref="V219:W219"/>
    <mergeCell ref="D220:E220"/>
    <mergeCell ref="M220:N220"/>
    <mergeCell ref="P135:Q135"/>
    <mergeCell ref="Y135:Z135"/>
    <mergeCell ref="G212:H212"/>
    <mergeCell ref="P212:Q212"/>
    <mergeCell ref="Y212:Z212"/>
    <mergeCell ref="G213:H213"/>
    <mergeCell ref="P213:Q213"/>
    <mergeCell ref="Y213:Z213"/>
    <mergeCell ref="G206:H206"/>
    <mergeCell ref="P206:Q206"/>
    <mergeCell ref="Y206:Z206"/>
    <mergeCell ref="G207:H207"/>
    <mergeCell ref="P207:Q207"/>
    <mergeCell ref="Y207:Z207"/>
    <mergeCell ref="G208:H208"/>
    <mergeCell ref="P208:Q208"/>
    <mergeCell ref="Y208:Z208"/>
    <mergeCell ref="B201:H201"/>
    <mergeCell ref="I201:J201"/>
    <mergeCell ref="K201:AB201"/>
    <mergeCell ref="B202:AB202"/>
    <mergeCell ref="G203:H203"/>
    <mergeCell ref="P203:Q203"/>
    <mergeCell ref="Y203:Z203"/>
    <mergeCell ref="B214:I214"/>
    <mergeCell ref="K214:R214"/>
    <mergeCell ref="T214:AA214"/>
    <mergeCell ref="G209:H209"/>
    <mergeCell ref="P209:Q209"/>
    <mergeCell ref="Y209:Z209"/>
    <mergeCell ref="G210:H210"/>
    <mergeCell ref="P210:Q210"/>
    <mergeCell ref="Y210:Z210"/>
    <mergeCell ref="G211:H211"/>
    <mergeCell ref="P211:Q211"/>
    <mergeCell ref="Y211:Z211"/>
    <mergeCell ref="G205:H205"/>
    <mergeCell ref="P205:Q205"/>
    <mergeCell ref="Y205:Z205"/>
    <mergeCell ref="D196:E196"/>
    <mergeCell ref="M196:N196"/>
    <mergeCell ref="V196:W196"/>
    <mergeCell ref="D197:E197"/>
    <mergeCell ref="M197:N197"/>
    <mergeCell ref="V197:W197"/>
    <mergeCell ref="D198:I198"/>
    <mergeCell ref="M198:R198"/>
    <mergeCell ref="V198:AA198"/>
    <mergeCell ref="B193:V193"/>
    <mergeCell ref="W193:Z193"/>
    <mergeCell ref="AA193:AB193"/>
    <mergeCell ref="B194:J194"/>
    <mergeCell ref="K194:S194"/>
    <mergeCell ref="T194:AB194"/>
    <mergeCell ref="C195:E195"/>
    <mergeCell ref="F195:G195"/>
    <mergeCell ref="H195:I195"/>
    <mergeCell ref="J195:J197"/>
    <mergeCell ref="L195:N195"/>
    <mergeCell ref="O195:P195"/>
    <mergeCell ref="Q195:R195"/>
    <mergeCell ref="S195:S197"/>
    <mergeCell ref="U195:W195"/>
    <mergeCell ref="X195:Y195"/>
    <mergeCell ref="Z195:AA195"/>
    <mergeCell ref="AB195:AB197"/>
    <mergeCell ref="Y121:Z121"/>
    <mergeCell ref="Y158:Z158"/>
    <mergeCell ref="P116:Q116"/>
    <mergeCell ref="Y116:Z116"/>
    <mergeCell ref="P117:Q117"/>
    <mergeCell ref="Y117:Z117"/>
    <mergeCell ref="P118:Q118"/>
    <mergeCell ref="Y118:Z118"/>
    <mergeCell ref="P119:Q119"/>
    <mergeCell ref="Y119:Z119"/>
    <mergeCell ref="P120:Q120"/>
    <mergeCell ref="Y120:Z120"/>
    <mergeCell ref="P158:Q158"/>
    <mergeCell ref="S149:S151"/>
    <mergeCell ref="U149:W149"/>
    <mergeCell ref="X149:Y149"/>
    <mergeCell ref="K125:S125"/>
    <mergeCell ref="T125:AB125"/>
    <mergeCell ref="Y157:Z157"/>
    <mergeCell ref="B124:V124"/>
    <mergeCell ref="W124:Z124"/>
    <mergeCell ref="AA124:AB124"/>
    <mergeCell ref="B125:J125"/>
    <mergeCell ref="G135:H135"/>
    <mergeCell ref="B179:AB179"/>
    <mergeCell ref="D175:I175"/>
    <mergeCell ref="M175:R175"/>
    <mergeCell ref="V175:AA175"/>
    <mergeCell ref="B178:H178"/>
    <mergeCell ref="I178:J178"/>
    <mergeCell ref="K178:AB178"/>
    <mergeCell ref="M174:N174"/>
    <mergeCell ref="V174:W174"/>
    <mergeCell ref="O172:P172"/>
    <mergeCell ref="Q172:R172"/>
    <mergeCell ref="S172:S174"/>
    <mergeCell ref="U172:W172"/>
    <mergeCell ref="X172:Y172"/>
    <mergeCell ref="AB172:AB174"/>
    <mergeCell ref="F172:G172"/>
    <mergeCell ref="H172:I172"/>
    <mergeCell ref="J172:J174"/>
    <mergeCell ref="L172:N172"/>
    <mergeCell ref="Z172:AA172"/>
    <mergeCell ref="Y164:Z164"/>
    <mergeCell ref="B170:V170"/>
    <mergeCell ref="G164:H164"/>
    <mergeCell ref="P164:Q164"/>
    <mergeCell ref="G161:H161"/>
    <mergeCell ref="P161:Q161"/>
    <mergeCell ref="Y161:Z161"/>
    <mergeCell ref="G162:H162"/>
    <mergeCell ref="P162:Q162"/>
    <mergeCell ref="Y162:Z162"/>
    <mergeCell ref="G163:H163"/>
    <mergeCell ref="P163:Q163"/>
    <mergeCell ref="Y163:Z163"/>
    <mergeCell ref="B168:I168"/>
    <mergeCell ref="K168:R168"/>
    <mergeCell ref="T168:AA168"/>
    <mergeCell ref="G165:H165"/>
    <mergeCell ref="P165:Q165"/>
    <mergeCell ref="Y165:Z165"/>
    <mergeCell ref="G166:H166"/>
    <mergeCell ref="P166:Q166"/>
    <mergeCell ref="Y166:Z166"/>
    <mergeCell ref="G167:H167"/>
    <mergeCell ref="P167:Q167"/>
    <mergeCell ref="Y167:Z167"/>
    <mergeCell ref="B156:AB156"/>
    <mergeCell ref="D152:I152"/>
    <mergeCell ref="M152:R152"/>
    <mergeCell ref="V152:AA152"/>
    <mergeCell ref="B155:H155"/>
    <mergeCell ref="I155:J155"/>
    <mergeCell ref="K155:AB155"/>
    <mergeCell ref="Z149:AA149"/>
    <mergeCell ref="AB149:AB151"/>
    <mergeCell ref="D150:E150"/>
    <mergeCell ref="M150:N150"/>
    <mergeCell ref="V150:W150"/>
    <mergeCell ref="D151:E151"/>
    <mergeCell ref="M151:N151"/>
    <mergeCell ref="V151:W151"/>
    <mergeCell ref="O149:P149"/>
    <mergeCell ref="Q149:R149"/>
    <mergeCell ref="C149:E149"/>
    <mergeCell ref="F149:G149"/>
    <mergeCell ref="H149:I149"/>
    <mergeCell ref="J149:J151"/>
    <mergeCell ref="L149:N149"/>
    <mergeCell ref="P157:Q157"/>
    <mergeCell ref="P136:Q136"/>
    <mergeCell ref="P137:Q137"/>
    <mergeCell ref="P138:Q138"/>
    <mergeCell ref="P139:Q139"/>
    <mergeCell ref="B148:J148"/>
    <mergeCell ref="K148:S148"/>
    <mergeCell ref="T148:AB148"/>
    <mergeCell ref="B145:I145"/>
    <mergeCell ref="K145:R145"/>
    <mergeCell ref="T145:AA145"/>
    <mergeCell ref="G142:H142"/>
    <mergeCell ref="G143:H143"/>
    <mergeCell ref="G144:H144"/>
    <mergeCell ref="P142:Q142"/>
    <mergeCell ref="P143:Q143"/>
    <mergeCell ref="P144:Q144"/>
    <mergeCell ref="Y142:Z142"/>
    <mergeCell ref="Y143:Z143"/>
    <mergeCell ref="Y144:Z144"/>
    <mergeCell ref="W147:Z147"/>
    <mergeCell ref="AA147:AB147"/>
    <mergeCell ref="B147:V147"/>
    <mergeCell ref="Y141:Z141"/>
    <mergeCell ref="H126:I126"/>
    <mergeCell ref="J126:J128"/>
    <mergeCell ref="L126:N126"/>
    <mergeCell ref="G140:H140"/>
    <mergeCell ref="P140:Q140"/>
    <mergeCell ref="Y140:Z140"/>
    <mergeCell ref="B133:AB133"/>
    <mergeCell ref="D129:I129"/>
    <mergeCell ref="M129:R129"/>
    <mergeCell ref="V129:AA129"/>
    <mergeCell ref="B132:H132"/>
    <mergeCell ref="I132:J132"/>
    <mergeCell ref="K132:AB132"/>
    <mergeCell ref="Z126:AA126"/>
    <mergeCell ref="AB126:AB128"/>
    <mergeCell ref="D127:E127"/>
    <mergeCell ref="C126:E126"/>
    <mergeCell ref="F126:G126"/>
    <mergeCell ref="G134:H134"/>
    <mergeCell ref="G136:H136"/>
    <mergeCell ref="G137:H137"/>
    <mergeCell ref="G138:H138"/>
    <mergeCell ref="G139:H139"/>
    <mergeCell ref="P134:Q134"/>
    <mergeCell ref="K122:R122"/>
    <mergeCell ref="T122:AA122"/>
    <mergeCell ref="G115:H115"/>
    <mergeCell ref="G116:H116"/>
    <mergeCell ref="G117:H117"/>
    <mergeCell ref="G118:H118"/>
    <mergeCell ref="G119:H119"/>
    <mergeCell ref="D106:I106"/>
    <mergeCell ref="M106:R106"/>
    <mergeCell ref="V106:AA106"/>
    <mergeCell ref="B109:H109"/>
    <mergeCell ref="I109:J109"/>
    <mergeCell ref="K109:AB109"/>
    <mergeCell ref="G114:H114"/>
    <mergeCell ref="P111:Q111"/>
    <mergeCell ref="Y111:Z111"/>
    <mergeCell ref="P112:Q112"/>
    <mergeCell ref="P113:Q113"/>
    <mergeCell ref="Y113:Z113"/>
    <mergeCell ref="P114:Q114"/>
    <mergeCell ref="Y114:Z114"/>
    <mergeCell ref="P115:Q115"/>
    <mergeCell ref="Y115:Z115"/>
    <mergeCell ref="P121:Q121"/>
    <mergeCell ref="Z103:AA103"/>
    <mergeCell ref="AB103:AB105"/>
    <mergeCell ref="D104:E104"/>
    <mergeCell ref="M104:N104"/>
    <mergeCell ref="V104:W104"/>
    <mergeCell ref="D105:E105"/>
    <mergeCell ref="M105:N105"/>
    <mergeCell ref="V105:W105"/>
    <mergeCell ref="O103:P103"/>
    <mergeCell ref="Q103:R103"/>
    <mergeCell ref="S103:S105"/>
    <mergeCell ref="U103:W103"/>
    <mergeCell ref="X103:Y103"/>
    <mergeCell ref="C103:E103"/>
    <mergeCell ref="F103:G103"/>
    <mergeCell ref="H103:I103"/>
    <mergeCell ref="J103:J105"/>
    <mergeCell ref="L103:N103"/>
    <mergeCell ref="B86:H86"/>
    <mergeCell ref="I86:J86"/>
    <mergeCell ref="K86:AB86"/>
    <mergeCell ref="Z80:AA80"/>
    <mergeCell ref="AB80:AB82"/>
    <mergeCell ref="D81:E81"/>
    <mergeCell ref="M81:N81"/>
    <mergeCell ref="V81:W81"/>
    <mergeCell ref="D82:E82"/>
    <mergeCell ref="M82:N82"/>
    <mergeCell ref="V82:W82"/>
    <mergeCell ref="O80:P80"/>
    <mergeCell ref="Q80:R80"/>
    <mergeCell ref="S80:S82"/>
    <mergeCell ref="U80:W80"/>
    <mergeCell ref="X80:Y80"/>
    <mergeCell ref="F80:G80"/>
    <mergeCell ref="H80:I80"/>
    <mergeCell ref="J80:J82"/>
    <mergeCell ref="G97:H97"/>
    <mergeCell ref="G98:H98"/>
    <mergeCell ref="P97:Q97"/>
    <mergeCell ref="P98:Q98"/>
    <mergeCell ref="Y96:Z96"/>
    <mergeCell ref="Y97:Z97"/>
    <mergeCell ref="Y98:Z98"/>
    <mergeCell ref="AA78:AB78"/>
    <mergeCell ref="B79:J79"/>
    <mergeCell ref="K79:S79"/>
    <mergeCell ref="T79:AB79"/>
    <mergeCell ref="Y88:Z88"/>
    <mergeCell ref="Y89:Z89"/>
    <mergeCell ref="Y90:Z90"/>
    <mergeCell ref="Y91:Z91"/>
    <mergeCell ref="Y92:Z92"/>
    <mergeCell ref="Y93:Z93"/>
    <mergeCell ref="Y94:Z94"/>
    <mergeCell ref="Y95:Z95"/>
    <mergeCell ref="L80:N80"/>
    <mergeCell ref="B87:AB87"/>
    <mergeCell ref="D83:I83"/>
    <mergeCell ref="M83:R83"/>
    <mergeCell ref="V83:AA83"/>
    <mergeCell ref="B101:V101"/>
    <mergeCell ref="W101:Z101"/>
    <mergeCell ref="AA101:AB101"/>
    <mergeCell ref="B102:J102"/>
    <mergeCell ref="K102:S102"/>
    <mergeCell ref="T102:AB102"/>
    <mergeCell ref="B99:I99"/>
    <mergeCell ref="K99:R99"/>
    <mergeCell ref="T99:AA99"/>
    <mergeCell ref="W78:Z78"/>
    <mergeCell ref="G73:H73"/>
    <mergeCell ref="G74:H74"/>
    <mergeCell ref="G75:H75"/>
    <mergeCell ref="P68:Q68"/>
    <mergeCell ref="P69:Q69"/>
    <mergeCell ref="P70:Q70"/>
    <mergeCell ref="P71:Q71"/>
    <mergeCell ref="P72:Q72"/>
    <mergeCell ref="Y73:Z73"/>
    <mergeCell ref="Y74:Z74"/>
    <mergeCell ref="Y75:Z75"/>
    <mergeCell ref="B76:I76"/>
    <mergeCell ref="G68:H68"/>
    <mergeCell ref="G69:H69"/>
    <mergeCell ref="G70:H70"/>
    <mergeCell ref="G71:H71"/>
    <mergeCell ref="G72:H72"/>
    <mergeCell ref="K76:R76"/>
    <mergeCell ref="T76:AA76"/>
    <mergeCell ref="P73:Q73"/>
    <mergeCell ref="P74:Q74"/>
    <mergeCell ref="P75:Q75"/>
    <mergeCell ref="P67:Q67"/>
    <mergeCell ref="Y69:Z69"/>
    <mergeCell ref="Y70:Z70"/>
    <mergeCell ref="Y71:Z71"/>
    <mergeCell ref="Y72:Z72"/>
    <mergeCell ref="D60:I60"/>
    <mergeCell ref="M60:R60"/>
    <mergeCell ref="V60:AA60"/>
    <mergeCell ref="B63:H63"/>
    <mergeCell ref="I63:J63"/>
    <mergeCell ref="K63:AB63"/>
    <mergeCell ref="G65:H65"/>
    <mergeCell ref="Y67:Z67"/>
    <mergeCell ref="Y68:Z68"/>
    <mergeCell ref="G67:H67"/>
    <mergeCell ref="G66:H66"/>
    <mergeCell ref="X57:Y57"/>
    <mergeCell ref="Z57:AA57"/>
    <mergeCell ref="AB57:AB59"/>
    <mergeCell ref="D58:E58"/>
    <mergeCell ref="P65:Q65"/>
    <mergeCell ref="M58:N58"/>
    <mergeCell ref="V58:W58"/>
    <mergeCell ref="D59:E59"/>
    <mergeCell ref="M59:N59"/>
    <mergeCell ref="V59:W59"/>
    <mergeCell ref="C57:E57"/>
    <mergeCell ref="F57:G57"/>
    <mergeCell ref="H57:I57"/>
    <mergeCell ref="J57:J59"/>
    <mergeCell ref="L57:N57"/>
    <mergeCell ref="O57:P57"/>
    <mergeCell ref="Q57:R57"/>
    <mergeCell ref="S57:S59"/>
    <mergeCell ref="U57:W57"/>
    <mergeCell ref="Y65:Z65"/>
    <mergeCell ref="B64:AB64"/>
    <mergeCell ref="X49:Z49"/>
    <mergeCell ref="X50:Z50"/>
    <mergeCell ref="X47:Z47"/>
    <mergeCell ref="X48:Z48"/>
    <mergeCell ref="K53:R53"/>
    <mergeCell ref="T53:AA53"/>
    <mergeCell ref="B55:V55"/>
    <mergeCell ref="W55:Z55"/>
    <mergeCell ref="AA55:AB55"/>
    <mergeCell ref="P47:Q47"/>
    <mergeCell ref="P48:Q48"/>
    <mergeCell ref="P49:Q49"/>
    <mergeCell ref="P50:Q50"/>
    <mergeCell ref="P51:Q51"/>
    <mergeCell ref="P52:Q52"/>
    <mergeCell ref="G47:H47"/>
    <mergeCell ref="G48:H48"/>
    <mergeCell ref="G49:H49"/>
    <mergeCell ref="G50:H50"/>
    <mergeCell ref="G51:H51"/>
    <mergeCell ref="G52:H52"/>
    <mergeCell ref="X46:Z46"/>
    <mergeCell ref="X43:Z43"/>
    <mergeCell ref="X44:Z44"/>
    <mergeCell ref="B40:H40"/>
    <mergeCell ref="I40:J40"/>
    <mergeCell ref="K40:AB40"/>
    <mergeCell ref="B41:AB41"/>
    <mergeCell ref="X42:Z42"/>
    <mergeCell ref="G46:H46"/>
    <mergeCell ref="P42:Q42"/>
    <mergeCell ref="P44:Q44"/>
    <mergeCell ref="P45:Q45"/>
    <mergeCell ref="P46:Q46"/>
    <mergeCell ref="G43:H43"/>
    <mergeCell ref="P43:Q43"/>
    <mergeCell ref="F29:H29"/>
    <mergeCell ref="O24:Q24"/>
    <mergeCell ref="AA32:AB32"/>
    <mergeCell ref="X45:Z45"/>
    <mergeCell ref="B33:J33"/>
    <mergeCell ref="K33:S33"/>
    <mergeCell ref="T33:AB33"/>
    <mergeCell ref="D37:I37"/>
    <mergeCell ref="M37:R37"/>
    <mergeCell ref="V37:AA37"/>
    <mergeCell ref="G42:H42"/>
    <mergeCell ref="G44:H44"/>
    <mergeCell ref="G45:H45"/>
    <mergeCell ref="C34:E34"/>
    <mergeCell ref="F34:G34"/>
    <mergeCell ref="H34:I34"/>
    <mergeCell ref="J34:J36"/>
    <mergeCell ref="L34:N34"/>
    <mergeCell ref="O34:P34"/>
    <mergeCell ref="Q34:R34"/>
    <mergeCell ref="S34:S36"/>
    <mergeCell ref="U34:W34"/>
    <mergeCell ref="W32:Z32"/>
    <mergeCell ref="B30:I30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X20:Z20"/>
    <mergeCell ref="X21:Z21"/>
    <mergeCell ref="X22:Z22"/>
    <mergeCell ref="X23:Z23"/>
    <mergeCell ref="O26:Q26"/>
    <mergeCell ref="O27:Q27"/>
    <mergeCell ref="O28:Q28"/>
    <mergeCell ref="O29:Q29"/>
    <mergeCell ref="K30:R30"/>
    <mergeCell ref="O20:Q20"/>
    <mergeCell ref="O21:Q21"/>
    <mergeCell ref="O22:Q22"/>
    <mergeCell ref="O23:Q23"/>
    <mergeCell ref="T30:AA30"/>
    <mergeCell ref="X28:Z28"/>
    <mergeCell ref="X29:Z29"/>
    <mergeCell ref="AG7:AI7"/>
    <mergeCell ref="Z11:AA11"/>
    <mergeCell ref="AB11:AB13"/>
    <mergeCell ref="V12:W12"/>
    <mergeCell ref="AJ9:AL9"/>
    <mergeCell ref="AA9:AB9"/>
    <mergeCell ref="B9:V9"/>
    <mergeCell ref="X19:Z19"/>
    <mergeCell ref="O19:Q19"/>
    <mergeCell ref="B18:AB18"/>
    <mergeCell ref="F19:H19"/>
    <mergeCell ref="AD9:AF9"/>
    <mergeCell ref="K17:AB17"/>
    <mergeCell ref="I17:J17"/>
    <mergeCell ref="B17:H17"/>
    <mergeCell ref="V14:AA14"/>
    <mergeCell ref="M14:R14"/>
    <mergeCell ref="D14:I14"/>
    <mergeCell ref="V13:W13"/>
    <mergeCell ref="M13:N13"/>
    <mergeCell ref="D13:E13"/>
    <mergeCell ref="M12:N12"/>
    <mergeCell ref="D12:E12"/>
    <mergeCell ref="U11:W11"/>
    <mergeCell ref="G94:H94"/>
    <mergeCell ref="G95:H95"/>
    <mergeCell ref="G96:H96"/>
    <mergeCell ref="G89:H89"/>
    <mergeCell ref="B1:AB4"/>
    <mergeCell ref="B6:I6"/>
    <mergeCell ref="J6:L6"/>
    <mergeCell ref="W9:Z9"/>
    <mergeCell ref="O25:Q25"/>
    <mergeCell ref="X24:Z24"/>
    <mergeCell ref="X25:Z25"/>
    <mergeCell ref="X34:Y34"/>
    <mergeCell ref="Z34:AA34"/>
    <mergeCell ref="AB34:AB36"/>
    <mergeCell ref="D35:E35"/>
    <mergeCell ref="M35:N35"/>
    <mergeCell ref="V35:W35"/>
    <mergeCell ref="D36:E36"/>
    <mergeCell ref="M36:N36"/>
    <mergeCell ref="V36:W36"/>
    <mergeCell ref="B32:V32"/>
    <mergeCell ref="X26:Z26"/>
    <mergeCell ref="X27:Z27"/>
    <mergeCell ref="X11:Y11"/>
    <mergeCell ref="D128:E128"/>
    <mergeCell ref="B78:V78"/>
    <mergeCell ref="C80:E80"/>
    <mergeCell ref="M128:N128"/>
    <mergeCell ref="V128:W128"/>
    <mergeCell ref="O126:P126"/>
    <mergeCell ref="Q126:R126"/>
    <mergeCell ref="G120:H120"/>
    <mergeCell ref="G121:H121"/>
    <mergeCell ref="B110:AB110"/>
    <mergeCell ref="P88:Q88"/>
    <mergeCell ref="P89:Q89"/>
    <mergeCell ref="P90:Q90"/>
    <mergeCell ref="P91:Q91"/>
    <mergeCell ref="P92:Q92"/>
    <mergeCell ref="P93:Q93"/>
    <mergeCell ref="P94:Q94"/>
    <mergeCell ref="P95:Q95"/>
    <mergeCell ref="P96:Q96"/>
    <mergeCell ref="G88:H88"/>
    <mergeCell ref="G90:H90"/>
    <mergeCell ref="G91:H91"/>
    <mergeCell ref="G92:H92"/>
    <mergeCell ref="G93:H93"/>
    <mergeCell ref="G180:H180"/>
    <mergeCell ref="G159:H159"/>
    <mergeCell ref="P159:Q159"/>
    <mergeCell ref="Y159:Z159"/>
    <mergeCell ref="G160:H160"/>
    <mergeCell ref="P160:Q160"/>
    <mergeCell ref="Y160:Z160"/>
    <mergeCell ref="G111:H111"/>
    <mergeCell ref="G113:H113"/>
    <mergeCell ref="M127:N127"/>
    <mergeCell ref="V127:W127"/>
    <mergeCell ref="G158:H158"/>
    <mergeCell ref="G157:H157"/>
    <mergeCell ref="Y134:Z134"/>
    <mergeCell ref="Y136:Z136"/>
    <mergeCell ref="Y137:Z137"/>
    <mergeCell ref="Y138:Z138"/>
    <mergeCell ref="Y139:Z139"/>
    <mergeCell ref="S126:S128"/>
    <mergeCell ref="U126:W126"/>
    <mergeCell ref="X126:Y126"/>
    <mergeCell ref="G141:H141"/>
    <mergeCell ref="P141:Q141"/>
    <mergeCell ref="B122:I122"/>
    <mergeCell ref="AA170:AB170"/>
    <mergeCell ref="B171:J171"/>
    <mergeCell ref="K171:S171"/>
    <mergeCell ref="T171:AB171"/>
    <mergeCell ref="B191:I191"/>
    <mergeCell ref="K191:R191"/>
    <mergeCell ref="T191:AA191"/>
    <mergeCell ref="G188:H188"/>
    <mergeCell ref="P188:Q188"/>
    <mergeCell ref="Y188:Z188"/>
    <mergeCell ref="G189:H189"/>
    <mergeCell ref="D173:E173"/>
    <mergeCell ref="G187:H187"/>
    <mergeCell ref="P187:Q187"/>
    <mergeCell ref="Y187:Z187"/>
    <mergeCell ref="P180:Q180"/>
    <mergeCell ref="Y180:Z180"/>
    <mergeCell ref="G182:H182"/>
    <mergeCell ref="P182:Q182"/>
    <mergeCell ref="Y182:Z182"/>
    <mergeCell ref="G183:H183"/>
    <mergeCell ref="P183:Q183"/>
    <mergeCell ref="Y183:Z183"/>
    <mergeCell ref="G181:H181"/>
    <mergeCell ref="B56:J56"/>
    <mergeCell ref="K56:S56"/>
    <mergeCell ref="T56:AB56"/>
    <mergeCell ref="X51:Z51"/>
    <mergeCell ref="X52:Z52"/>
    <mergeCell ref="P189:Q189"/>
    <mergeCell ref="Y189:Z189"/>
    <mergeCell ref="G190:H190"/>
    <mergeCell ref="G184:H184"/>
    <mergeCell ref="P184:Q184"/>
    <mergeCell ref="Y184:Z184"/>
    <mergeCell ref="G185:H185"/>
    <mergeCell ref="P185:Q185"/>
    <mergeCell ref="Y185:Z185"/>
    <mergeCell ref="G186:H186"/>
    <mergeCell ref="P186:Q186"/>
    <mergeCell ref="Y186:Z186"/>
    <mergeCell ref="P190:Q190"/>
    <mergeCell ref="Y190:Z190"/>
    <mergeCell ref="C172:E172"/>
    <mergeCell ref="M173:N173"/>
    <mergeCell ref="V173:W173"/>
    <mergeCell ref="D174:E174"/>
    <mergeCell ref="W170:Z170"/>
    <mergeCell ref="Q11:R11"/>
    <mergeCell ref="O11:P11"/>
    <mergeCell ref="L11:N11"/>
    <mergeCell ref="J11:J13"/>
    <mergeCell ref="H11:I11"/>
    <mergeCell ref="F11:G11"/>
    <mergeCell ref="C11:E11"/>
    <mergeCell ref="T10:AB10"/>
    <mergeCell ref="K10:S10"/>
    <mergeCell ref="B10:J10"/>
    <mergeCell ref="S11:S13"/>
  </mergeCells>
  <conditionalFormatting sqref="J14 D14">
    <cfRule type="iconSet" priority="925">
      <iconSet>
        <cfvo type="percent" val="0"/>
        <cfvo type="percent" val="33"/>
        <cfvo type="percent" val="67"/>
      </iconSet>
    </cfRule>
    <cfRule type="colorScale" priority="926">
      <colorScale>
        <cfvo type="formula" val="$D$14"/>
        <cfvo type="formula" val="$D$14"/>
        <color rgb="FFFF0000"/>
        <color rgb="FF00B050"/>
      </colorScale>
    </cfRule>
  </conditionalFormatting>
  <conditionalFormatting sqref="AB14">
    <cfRule type="iconSet" priority="921">
      <iconSet>
        <cfvo type="percent" val="0"/>
        <cfvo type="percent" val="33"/>
        <cfvo type="percent" val="67"/>
      </iconSet>
    </cfRule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I14 D83:I83 D152:I152 D175:I175">
    <cfRule type="containsText" dxfId="126" priority="916" operator="containsText" text="NO CUMPLE">
      <formula>NOT(ISERROR(SEARCH("NO CUMPLE",D14)))</formula>
    </cfRule>
    <cfRule type="colorScale" priority="920">
      <colorScale>
        <cfvo type="formula" val="$D$14"/>
        <cfvo type="formula" val="$D$14"/>
        <color rgb="FFFF0000"/>
        <color rgb="FF00B050"/>
      </colorScale>
    </cfRule>
  </conditionalFormatting>
  <conditionalFormatting sqref="D14:I14">
    <cfRule type="containsText" dxfId="125" priority="914" stopIfTrue="1" operator="containsText" text="CUMPLE">
      <formula>NOT(ISERROR(SEARCH("CUMPLE",D14)))</formula>
    </cfRule>
  </conditionalFormatting>
  <conditionalFormatting sqref="D14:I14">
    <cfRule type="containsText" dxfId="124" priority="913" stopIfTrue="1" operator="containsText" text="NO CUMPLE">
      <formula>NOT(ISERROR(SEARCH("NO CUMPLE",D14)))</formula>
    </cfRule>
  </conditionalFormatting>
  <conditionalFormatting sqref="K17:AB17">
    <cfRule type="containsText" dxfId="123" priority="911" stopIfTrue="1" operator="containsText" text="NO CUMPLE">
      <formula>NOT(ISERROR(SEARCH("NO CUMPLE",K17)))</formula>
    </cfRule>
    <cfRule type="containsText" dxfId="122" priority="912" stopIfTrue="1" operator="containsText" text="CUMPLE">
      <formula>NOT(ISERROR(SEARCH("CUMPLE",K17)))</formula>
    </cfRule>
  </conditionalFormatting>
  <conditionalFormatting sqref="S14">
    <cfRule type="iconSet" priority="909">
      <iconSet>
        <cfvo type="percent" val="0"/>
        <cfvo type="percent" val="33"/>
        <cfvo type="percent" val="67"/>
      </iconSet>
    </cfRule>
    <cfRule type="colorScale" priority="910">
      <colorScale>
        <cfvo type="formula" val="$D$14"/>
        <cfvo type="formula" val="$D$14"/>
        <color rgb="FFFF0000"/>
        <color rgb="FF00B050"/>
      </colorScale>
    </cfRule>
  </conditionalFormatting>
  <conditionalFormatting sqref="D83:I83 D152:I152 D175:I175">
    <cfRule type="containsText" dxfId="121" priority="878" stopIfTrue="1" operator="containsText" text="CUMPLE">
      <formula>NOT(ISERROR(SEARCH("CUMPLE",D83)))</formula>
    </cfRule>
  </conditionalFormatting>
  <conditionalFormatting sqref="D83:I83 D152:I152 D175:I175">
    <cfRule type="containsText" dxfId="120" priority="877" stopIfTrue="1" operator="containsText" text="NO CUMPLE">
      <formula>NOT(ISERROR(SEARCH("NO CUMPLE",D83)))</formula>
    </cfRule>
  </conditionalFormatting>
  <conditionalFormatting sqref="K86:AB86 K155:AB155 K178:AB178">
    <cfRule type="containsText" dxfId="119" priority="875" stopIfTrue="1" operator="containsText" text="NO CUMPLE">
      <formula>NOT(ISERROR(SEARCH("NO CUMPLE",K86)))</formula>
    </cfRule>
    <cfRule type="containsText" dxfId="118" priority="876" stopIfTrue="1" operator="containsText" text="CUMPLE">
      <formula>NOT(ISERROR(SEARCH("CUMPLE",K86)))</formula>
    </cfRule>
  </conditionalFormatting>
  <conditionalFormatting sqref="V175:AA175">
    <cfRule type="containsText" dxfId="117" priority="815" stopIfTrue="1" operator="containsText" text="CUMPLE">
      <formula>NOT(ISERROR(SEARCH("CUMPLE",V175)))</formula>
    </cfRule>
  </conditionalFormatting>
  <conditionalFormatting sqref="V175:AA175">
    <cfRule type="containsText" dxfId="116" priority="814" stopIfTrue="1" operator="containsText" text="NO CUMPLE">
      <formula>NOT(ISERROR(SEARCH("NO CUMPLE",V175)))</formula>
    </cfRule>
  </conditionalFormatting>
  <conditionalFormatting sqref="V83">
    <cfRule type="iconSet" priority="851">
      <iconSet>
        <cfvo type="percent" val="0"/>
        <cfvo type="percent" val="33"/>
        <cfvo type="percent" val="67"/>
      </iconSet>
    </cfRule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3:AA83">
    <cfRule type="containsText" dxfId="115" priority="850" stopIfTrue="1" operator="containsText" text="CUMPLE">
      <formula>NOT(ISERROR(SEARCH("CUMPLE",V83)))</formula>
    </cfRule>
  </conditionalFormatting>
  <conditionalFormatting sqref="V83:AA83">
    <cfRule type="containsText" dxfId="114" priority="849" stopIfTrue="1" operator="containsText" text="NO CUMPLE">
      <formula>NOT(ISERROR(SEARCH("NO CUMPLE",V83)))</formula>
    </cfRule>
  </conditionalFormatting>
  <conditionalFormatting sqref="V152">
    <cfRule type="iconSet" priority="831">
      <iconSet>
        <cfvo type="percent" val="0"/>
        <cfvo type="percent" val="33"/>
        <cfvo type="percent" val="67"/>
      </iconSet>
    </cfRule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2:AA152">
    <cfRule type="containsText" dxfId="113" priority="830" stopIfTrue="1" operator="containsText" text="CUMPLE">
      <formula>NOT(ISERROR(SEARCH("CUMPLE",V152)))</formula>
    </cfRule>
  </conditionalFormatting>
  <conditionalFormatting sqref="V152:AA152">
    <cfRule type="containsText" dxfId="112" priority="829" stopIfTrue="1" operator="containsText" text="NO CUMPLE">
      <formula>NOT(ISERROR(SEARCH("NO CUMPLE",V152)))</formula>
    </cfRule>
  </conditionalFormatting>
  <conditionalFormatting sqref="V175">
    <cfRule type="iconSet" priority="816">
      <iconSet>
        <cfvo type="percent" val="0"/>
        <cfvo type="percent" val="33"/>
        <cfvo type="percent" val="67"/>
      </iconSet>
    </cfRule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3 J175 D83 D152 D175 J152">
    <cfRule type="iconSet" priority="1701">
      <iconSet>
        <cfvo type="percent" val="0"/>
        <cfvo type="percent" val="33"/>
        <cfvo type="percent" val="67"/>
      </iconSet>
    </cfRule>
    <cfRule type="colorScale" priority="1702">
      <colorScale>
        <cfvo type="formula" val="$D$14"/>
        <cfvo type="formula" val="$D$14"/>
        <color rgb="FFFF0000"/>
        <color rgb="FF00B050"/>
      </colorScale>
    </cfRule>
  </conditionalFormatting>
  <conditionalFormatting sqref="AB83 AB175 AB152">
    <cfRule type="iconSet" priority="1733">
      <iconSet>
        <cfvo type="percent" val="0"/>
        <cfvo type="percent" val="33"/>
        <cfvo type="percent" val="67"/>
      </iconSet>
    </cfRule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3 S175">
    <cfRule type="iconSet" priority="1749">
      <iconSet>
        <cfvo type="percent" val="0"/>
        <cfvo type="percent" val="33"/>
        <cfvo type="percent" val="67"/>
      </iconSet>
    </cfRule>
    <cfRule type="colorScale" priority="1750">
      <colorScale>
        <cfvo type="formula" val="$D$14"/>
        <cfvo type="formula" val="$D$14"/>
        <color rgb="FFFF0000"/>
        <color rgb="FF00B050"/>
      </colorScale>
    </cfRule>
  </conditionalFormatting>
  <conditionalFormatting sqref="M14">
    <cfRule type="iconSet" priority="351">
      <iconSet>
        <cfvo type="percent" val="0"/>
        <cfvo type="percent" val="33"/>
        <cfvo type="percent" val="67"/>
      </iconSet>
    </cfRule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R14">
    <cfRule type="containsText" dxfId="111" priority="350" stopIfTrue="1" operator="containsText" text="CUMPLE">
      <formula>NOT(ISERROR(SEARCH("CUMPLE",M14)))</formula>
    </cfRule>
  </conditionalFormatting>
  <conditionalFormatting sqref="M14:R14">
    <cfRule type="containsText" dxfId="110" priority="349" stopIfTrue="1" operator="containsText" text="NO CUMPLE">
      <formula>NOT(ISERROR(SEARCH("NO CUMPLE",M14)))</formula>
    </cfRule>
  </conditionalFormatting>
  <conditionalFormatting sqref="V14">
    <cfRule type="iconSet" priority="346">
      <iconSet>
        <cfvo type="percent" val="0"/>
        <cfvo type="percent" val="33"/>
        <cfvo type="percent" val="67"/>
      </iconSet>
    </cfRule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AA14">
    <cfRule type="containsText" dxfId="109" priority="345" stopIfTrue="1" operator="containsText" text="CUMPLE">
      <formula>NOT(ISERROR(SEARCH("CUMPLE",V14)))</formula>
    </cfRule>
  </conditionalFormatting>
  <conditionalFormatting sqref="V14:AA14">
    <cfRule type="containsText" dxfId="108" priority="344" stopIfTrue="1" operator="containsText" text="NO CUMPLE">
      <formula>NOT(ISERROR(SEARCH("NO CUMPLE",V14)))</formula>
    </cfRule>
  </conditionalFormatting>
  <conditionalFormatting sqref="M175">
    <cfRule type="iconSet" priority="314">
      <iconSet>
        <cfvo type="percent" val="0"/>
        <cfvo type="percent" val="33"/>
        <cfvo type="percent" val="67"/>
      </iconSet>
    </cfRule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5:R175">
    <cfRule type="containsText" dxfId="107" priority="313" stopIfTrue="1" operator="containsText" text="CUMPLE">
      <formula>NOT(ISERROR(SEARCH("CUMPLE",M175)))</formula>
    </cfRule>
  </conditionalFormatting>
  <conditionalFormatting sqref="M175:R175">
    <cfRule type="containsText" dxfId="106" priority="312" stopIfTrue="1" operator="containsText" text="NO CUMPLE">
      <formula>NOT(ISERROR(SEARCH("NO CUMPLE",M175)))</formula>
    </cfRule>
  </conditionalFormatting>
  <conditionalFormatting sqref="D37:I37">
    <cfRule type="containsText" dxfId="105" priority="303" operator="containsText" text="NO CUMPLE">
      <formula>NOT(ISERROR(SEARCH("NO CUMPLE",D37)))</formula>
    </cfRule>
    <cfRule type="colorScale" priority="304">
      <colorScale>
        <cfvo type="formula" val="$D$14"/>
        <cfvo type="formula" val="$D$14"/>
        <color rgb="FFFF0000"/>
        <color rgb="FF00B050"/>
      </colorScale>
    </cfRule>
  </conditionalFormatting>
  <conditionalFormatting sqref="D37:I37">
    <cfRule type="containsText" dxfId="104" priority="301" stopIfTrue="1" operator="containsText" text="CUMPLE">
      <formula>NOT(ISERROR(SEARCH("CUMPLE",D37)))</formula>
    </cfRule>
  </conditionalFormatting>
  <conditionalFormatting sqref="D37:I37">
    <cfRule type="containsText" dxfId="103" priority="300" stopIfTrue="1" operator="containsText" text="NO CUMPLE">
      <formula>NOT(ISERROR(SEARCH("NO CUMPLE",D37)))</formula>
    </cfRule>
  </conditionalFormatting>
  <conditionalFormatting sqref="K40:AB40">
    <cfRule type="containsText" dxfId="102" priority="298" stopIfTrue="1" operator="containsText" text="NO CUMPLE">
      <formula>NOT(ISERROR(SEARCH("NO CUMPLE",K40)))</formula>
    </cfRule>
    <cfRule type="containsText" dxfId="101" priority="299" stopIfTrue="1" operator="containsText" text="CUMPLE">
      <formula>NOT(ISERROR(SEARCH("CUMPLE",K40)))</formula>
    </cfRule>
  </conditionalFormatting>
  <conditionalFormatting sqref="V37">
    <cfRule type="iconSet" priority="296">
      <iconSet>
        <cfvo type="percent" val="0"/>
        <cfvo type="percent" val="33"/>
        <cfvo type="percent" val="67"/>
      </iconSet>
    </cfRule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7:AA37">
    <cfRule type="containsText" dxfId="100" priority="295" stopIfTrue="1" operator="containsText" text="CUMPLE">
      <formula>NOT(ISERROR(SEARCH("CUMPLE",V37)))</formula>
    </cfRule>
  </conditionalFormatting>
  <conditionalFormatting sqref="V37:AA37">
    <cfRule type="containsText" dxfId="99" priority="294" stopIfTrue="1" operator="containsText" text="NO CUMPLE">
      <formula>NOT(ISERROR(SEARCH("NO CUMPLE",V37)))</formula>
    </cfRule>
  </conditionalFormatting>
  <conditionalFormatting sqref="D37">
    <cfRule type="iconSet" priority="305">
      <iconSet>
        <cfvo type="percent" val="0"/>
        <cfvo type="percent" val="33"/>
        <cfvo type="percent" val="67"/>
      </iconSet>
    </cfRule>
    <cfRule type="colorScale" priority="306">
      <colorScale>
        <cfvo type="formula" val="$D$14"/>
        <cfvo type="formula" val="$D$14"/>
        <color rgb="FFFF0000"/>
        <color rgb="FF00B050"/>
      </colorScale>
    </cfRule>
  </conditionalFormatting>
  <conditionalFormatting sqref="AB37">
    <cfRule type="iconSet" priority="307">
      <iconSet>
        <cfvo type="percent" val="0"/>
        <cfvo type="percent" val="33"/>
        <cfvo type="percent" val="67"/>
      </iconSet>
    </cfRule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7">
    <cfRule type="iconSet" priority="309">
      <iconSet>
        <cfvo type="percent" val="0"/>
        <cfvo type="percent" val="33"/>
        <cfvo type="percent" val="67"/>
      </iconSet>
    </cfRule>
    <cfRule type="colorScale" priority="310">
      <colorScale>
        <cfvo type="formula" val="$D$14"/>
        <cfvo type="formula" val="$D$14"/>
        <color rgb="FFFF0000"/>
        <color rgb="FF00B050"/>
      </colorScale>
    </cfRule>
  </conditionalFormatting>
  <conditionalFormatting sqref="D60:I60">
    <cfRule type="containsText" dxfId="98" priority="280" operator="containsText" text="NO CUMPLE">
      <formula>NOT(ISERROR(SEARCH("NO CUMPLE",D60)))</formula>
    </cfRule>
    <cfRule type="colorScale" priority="281">
      <colorScale>
        <cfvo type="formula" val="$D$14"/>
        <cfvo type="formula" val="$D$14"/>
        <color rgb="FFFF0000"/>
        <color rgb="FF00B050"/>
      </colorScale>
    </cfRule>
  </conditionalFormatting>
  <conditionalFormatting sqref="D60:I60">
    <cfRule type="containsText" dxfId="97" priority="278" stopIfTrue="1" operator="containsText" text="CUMPLE">
      <formula>NOT(ISERROR(SEARCH("CUMPLE",D60)))</formula>
    </cfRule>
  </conditionalFormatting>
  <conditionalFormatting sqref="D60:I60">
    <cfRule type="containsText" dxfId="96" priority="277" stopIfTrue="1" operator="containsText" text="NO CUMPLE">
      <formula>NOT(ISERROR(SEARCH("NO CUMPLE",D60)))</formula>
    </cfRule>
  </conditionalFormatting>
  <conditionalFormatting sqref="K63:AB63">
    <cfRule type="containsText" dxfId="95" priority="275" stopIfTrue="1" operator="containsText" text="NO CUMPLE">
      <formula>NOT(ISERROR(SEARCH("NO CUMPLE",K63)))</formula>
    </cfRule>
    <cfRule type="containsText" dxfId="94" priority="276" stopIfTrue="1" operator="containsText" text="CUMPLE">
      <formula>NOT(ISERROR(SEARCH("CUMPLE",K63)))</formula>
    </cfRule>
  </conditionalFormatting>
  <conditionalFormatting sqref="V60">
    <cfRule type="iconSet" priority="273">
      <iconSet>
        <cfvo type="percent" val="0"/>
        <cfvo type="percent" val="33"/>
        <cfvo type="percent" val="67"/>
      </iconSet>
    </cfRule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60:AA60">
    <cfRule type="containsText" dxfId="93" priority="272" stopIfTrue="1" operator="containsText" text="CUMPLE">
      <formula>NOT(ISERROR(SEARCH("CUMPLE",V60)))</formula>
    </cfRule>
  </conditionalFormatting>
  <conditionalFormatting sqref="V60:AA60">
    <cfRule type="containsText" dxfId="92" priority="271" stopIfTrue="1" operator="containsText" text="NO CUMPLE">
      <formula>NOT(ISERROR(SEARCH("NO CUMPLE",V60)))</formula>
    </cfRule>
  </conditionalFormatting>
  <conditionalFormatting sqref="D60">
    <cfRule type="iconSet" priority="282">
      <iconSet>
        <cfvo type="percent" val="0"/>
        <cfvo type="percent" val="33"/>
        <cfvo type="percent" val="67"/>
      </iconSet>
    </cfRule>
    <cfRule type="colorScale" priority="283">
      <colorScale>
        <cfvo type="formula" val="$D$14"/>
        <cfvo type="formula" val="$D$14"/>
        <color rgb="FFFF0000"/>
        <color rgb="FF00B050"/>
      </colorScale>
    </cfRule>
  </conditionalFormatting>
  <conditionalFormatting sqref="AB60">
    <cfRule type="iconSet" priority="284">
      <iconSet>
        <cfvo type="percent" val="0"/>
        <cfvo type="percent" val="33"/>
        <cfvo type="percent" val="67"/>
      </iconSet>
    </cfRule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60">
    <cfRule type="iconSet" priority="286">
      <iconSet>
        <cfvo type="percent" val="0"/>
        <cfvo type="percent" val="33"/>
        <cfvo type="percent" val="67"/>
      </iconSet>
    </cfRule>
    <cfRule type="colorScale" priority="287">
      <colorScale>
        <cfvo type="formula" val="$D$14"/>
        <cfvo type="formula" val="$D$14"/>
        <color rgb="FFFF0000"/>
        <color rgb="FF00B050"/>
      </colorScale>
    </cfRule>
  </conditionalFormatting>
  <conditionalFormatting sqref="M60:R60">
    <cfRule type="containsText" dxfId="91" priority="267" stopIfTrue="1" operator="containsText" text="CUMPLE">
      <formula>NOT(ISERROR(SEARCH("CUMPLE",M60)))</formula>
    </cfRule>
  </conditionalFormatting>
  <conditionalFormatting sqref="M60:R60">
    <cfRule type="containsText" dxfId="90" priority="266" stopIfTrue="1" operator="containsText" text="NO CUMPLE">
      <formula>NOT(ISERROR(SEARCH("NO CUMPLE",M60)))</formula>
    </cfRule>
  </conditionalFormatting>
  <conditionalFormatting sqref="M60">
    <cfRule type="iconSet" priority="268">
      <iconSet>
        <cfvo type="percent" val="0"/>
        <cfvo type="percent" val="33"/>
        <cfvo type="percent" val="67"/>
      </iconSet>
    </cfRule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3:R83">
    <cfRule type="containsText" dxfId="89" priority="262" stopIfTrue="1" operator="containsText" text="CUMPLE">
      <formula>NOT(ISERROR(SEARCH("CUMPLE",M83)))</formula>
    </cfRule>
  </conditionalFormatting>
  <conditionalFormatting sqref="M83:R83">
    <cfRule type="containsText" dxfId="88" priority="261" stopIfTrue="1" operator="containsText" text="NO CUMPLE">
      <formula>NOT(ISERROR(SEARCH("NO CUMPLE",M83)))</formula>
    </cfRule>
  </conditionalFormatting>
  <conditionalFormatting sqref="M83">
    <cfRule type="iconSet" priority="263">
      <iconSet>
        <cfvo type="percent" val="0"/>
        <cfvo type="percent" val="33"/>
        <cfvo type="percent" val="67"/>
      </iconSet>
    </cfRule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2">
    <cfRule type="iconSet" priority="235">
      <iconSet>
        <cfvo type="percent" val="0"/>
        <cfvo type="percent" val="33"/>
        <cfvo type="percent" val="67"/>
      </iconSet>
    </cfRule>
    <cfRule type="colorScale" priority="236">
      <colorScale>
        <cfvo type="formula" val="$D$14"/>
        <cfvo type="formula" val="$D$14"/>
        <color rgb="FFFF0000"/>
        <color rgb="FF00B050"/>
      </colorScale>
    </cfRule>
  </conditionalFormatting>
  <conditionalFormatting sqref="K201:AB201">
    <cfRule type="containsText" dxfId="87" priority="220" stopIfTrue="1" operator="containsText" text="NO CUMPLE">
      <formula>NOT(ISERROR(SEARCH("NO CUMPLE",K201)))</formula>
    </cfRule>
    <cfRule type="containsText" dxfId="86" priority="221" stopIfTrue="1" operator="containsText" text="CUMPLE">
      <formula>NOT(ISERROR(SEARCH("CUMPLE",K201)))</formula>
    </cfRule>
  </conditionalFormatting>
  <conditionalFormatting sqref="V198">
    <cfRule type="iconSet" priority="218">
      <iconSet>
        <cfvo type="percent" val="0"/>
        <cfvo type="percent" val="33"/>
        <cfvo type="percent" val="67"/>
      </iconSet>
    </cfRule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8:AA198">
    <cfRule type="containsText" dxfId="85" priority="217" stopIfTrue="1" operator="containsText" text="CUMPLE">
      <formula>NOT(ISERROR(SEARCH("CUMPLE",V198)))</formula>
    </cfRule>
  </conditionalFormatting>
  <conditionalFormatting sqref="V198:AA198">
    <cfRule type="containsText" dxfId="84" priority="216" stopIfTrue="1" operator="containsText" text="NO CUMPLE">
      <formula>NOT(ISERROR(SEARCH("NO CUMPLE",V198)))</formula>
    </cfRule>
  </conditionalFormatting>
  <conditionalFormatting sqref="J198">
    <cfRule type="iconSet" priority="227">
      <iconSet>
        <cfvo type="percent" val="0"/>
        <cfvo type="percent" val="33"/>
        <cfvo type="percent" val="67"/>
      </iconSet>
    </cfRule>
    <cfRule type="colorScale" priority="228">
      <colorScale>
        <cfvo type="formula" val="$D$14"/>
        <cfvo type="formula" val="$D$14"/>
        <color rgb="FFFF0000"/>
        <color rgb="FF00B050"/>
      </colorScale>
    </cfRule>
  </conditionalFormatting>
  <conditionalFormatting sqref="AB198">
    <cfRule type="iconSet" priority="229">
      <iconSet>
        <cfvo type="percent" val="0"/>
        <cfvo type="percent" val="33"/>
        <cfvo type="percent" val="67"/>
      </iconSet>
    </cfRule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8">
    <cfRule type="iconSet" priority="231">
      <iconSet>
        <cfvo type="percent" val="0"/>
        <cfvo type="percent" val="33"/>
        <cfvo type="percent" val="67"/>
      </iconSet>
    </cfRule>
    <cfRule type="colorScale" priority="232">
      <colorScale>
        <cfvo type="formula" val="$D$14"/>
        <cfvo type="formula" val="$D$14"/>
        <color rgb="FFFF0000"/>
        <color rgb="FF00B050"/>
      </colorScale>
    </cfRule>
  </conditionalFormatting>
  <conditionalFormatting sqref="M198:R198">
    <cfRule type="containsText" dxfId="83" priority="212" stopIfTrue="1" operator="containsText" text="CUMPLE">
      <formula>NOT(ISERROR(SEARCH("CUMPLE",M198)))</formula>
    </cfRule>
  </conditionalFormatting>
  <conditionalFormatting sqref="M198:R198">
    <cfRule type="containsText" dxfId="82" priority="211" stopIfTrue="1" operator="containsText" text="NO CUMPLE">
      <formula>NOT(ISERROR(SEARCH("NO CUMPLE",M198)))</formula>
    </cfRule>
  </conditionalFormatting>
  <conditionalFormatting sqref="M198">
    <cfRule type="iconSet" priority="213">
      <iconSet>
        <cfvo type="percent" val="0"/>
        <cfvo type="percent" val="33"/>
        <cfvo type="percent" val="67"/>
      </iconSet>
    </cfRule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9:I129">
    <cfRule type="containsText" dxfId="81" priority="202" operator="containsText" text="NO CUMPLE">
      <formula>NOT(ISERROR(SEARCH("NO CUMPLE",D129)))</formula>
    </cfRule>
    <cfRule type="colorScale" priority="203">
      <colorScale>
        <cfvo type="formula" val="$D$14"/>
        <cfvo type="formula" val="$D$14"/>
        <color rgb="FFFF0000"/>
        <color rgb="FF00B050"/>
      </colorScale>
    </cfRule>
  </conditionalFormatting>
  <conditionalFormatting sqref="D129:I129">
    <cfRule type="containsText" dxfId="80" priority="200" stopIfTrue="1" operator="containsText" text="CUMPLE">
      <formula>NOT(ISERROR(SEARCH("CUMPLE",D129)))</formula>
    </cfRule>
  </conditionalFormatting>
  <conditionalFormatting sqref="D129:I129">
    <cfRule type="containsText" dxfId="79" priority="199" stopIfTrue="1" operator="containsText" text="NO CUMPLE">
      <formula>NOT(ISERROR(SEARCH("NO CUMPLE",D129)))</formula>
    </cfRule>
  </conditionalFormatting>
  <conditionalFormatting sqref="K132:AB132">
    <cfRule type="containsText" dxfId="78" priority="197" stopIfTrue="1" operator="containsText" text="NO CUMPLE">
      <formula>NOT(ISERROR(SEARCH("NO CUMPLE",K132)))</formula>
    </cfRule>
    <cfRule type="containsText" dxfId="77" priority="198" stopIfTrue="1" operator="containsText" text="CUMPLE">
      <formula>NOT(ISERROR(SEARCH("CUMPLE",K132)))</formula>
    </cfRule>
  </conditionalFormatting>
  <conditionalFormatting sqref="V129">
    <cfRule type="iconSet" priority="195">
      <iconSet>
        <cfvo type="percent" val="0"/>
        <cfvo type="percent" val="33"/>
        <cfvo type="percent" val="67"/>
      </iconSet>
    </cfRule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9:AA129">
    <cfRule type="containsText" dxfId="76" priority="194" stopIfTrue="1" operator="containsText" text="CUMPLE">
      <formula>NOT(ISERROR(SEARCH("CUMPLE",V129)))</formula>
    </cfRule>
  </conditionalFormatting>
  <conditionalFormatting sqref="V129:AA129">
    <cfRule type="containsText" dxfId="75" priority="193" stopIfTrue="1" operator="containsText" text="NO CUMPLE">
      <formula>NOT(ISERROR(SEARCH("NO CUMPLE",V129)))</formula>
    </cfRule>
  </conditionalFormatting>
  <conditionalFormatting sqref="J129 D129">
    <cfRule type="iconSet" priority="204">
      <iconSet>
        <cfvo type="percent" val="0"/>
        <cfvo type="percent" val="33"/>
        <cfvo type="percent" val="67"/>
      </iconSet>
    </cfRule>
    <cfRule type="colorScale" priority="205">
      <colorScale>
        <cfvo type="formula" val="$D$14"/>
        <cfvo type="formula" val="$D$14"/>
        <color rgb="FFFF0000"/>
        <color rgb="FF00B050"/>
      </colorScale>
    </cfRule>
  </conditionalFormatting>
  <conditionalFormatting sqref="AB129">
    <cfRule type="iconSet" priority="206">
      <iconSet>
        <cfvo type="percent" val="0"/>
        <cfvo type="percent" val="33"/>
        <cfvo type="percent" val="67"/>
      </iconSet>
    </cfRule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9">
    <cfRule type="iconSet" priority="208">
      <iconSet>
        <cfvo type="percent" val="0"/>
        <cfvo type="percent" val="33"/>
        <cfvo type="percent" val="67"/>
      </iconSet>
    </cfRule>
    <cfRule type="colorScale" priority="209">
      <colorScale>
        <cfvo type="formula" val="$D$14"/>
        <cfvo type="formula" val="$D$14"/>
        <color rgb="FFFF0000"/>
        <color rgb="FF00B050"/>
      </colorScale>
    </cfRule>
  </conditionalFormatting>
  <conditionalFormatting sqref="M129">
    <cfRule type="iconSet" priority="185">
      <iconSet>
        <cfvo type="percent" val="0"/>
        <cfvo type="percent" val="33"/>
        <cfvo type="percent" val="67"/>
      </iconSet>
    </cfRule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9:R129">
    <cfRule type="containsText" dxfId="74" priority="184" stopIfTrue="1" operator="containsText" text="CUMPLE">
      <formula>NOT(ISERROR(SEARCH("CUMPLE",M129)))</formula>
    </cfRule>
  </conditionalFormatting>
  <conditionalFormatting sqref="M129:R129">
    <cfRule type="containsText" dxfId="73" priority="183" stopIfTrue="1" operator="containsText" text="NO CUMPLE">
      <formula>NOT(ISERROR(SEARCH("NO CUMPLE",M129)))</formula>
    </cfRule>
  </conditionalFormatting>
  <conditionalFormatting sqref="V106">
    <cfRule type="iconSet" priority="167">
      <iconSet>
        <cfvo type="percent" val="0"/>
        <cfvo type="percent" val="33"/>
        <cfvo type="percent" val="67"/>
      </iconSet>
    </cfRule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6:AA106">
    <cfRule type="containsText" dxfId="72" priority="166" stopIfTrue="1" operator="containsText" text="CUMPLE">
      <formula>NOT(ISERROR(SEARCH("CUMPLE",V106)))</formula>
    </cfRule>
  </conditionalFormatting>
  <conditionalFormatting sqref="V106:AA106">
    <cfRule type="containsText" dxfId="71" priority="165" stopIfTrue="1" operator="containsText" text="NO CUMPLE">
      <formula>NOT(ISERROR(SEARCH("NO CUMPLE",V106)))</formula>
    </cfRule>
  </conditionalFormatting>
  <conditionalFormatting sqref="J106">
    <cfRule type="iconSet" priority="176">
      <iconSet>
        <cfvo type="percent" val="0"/>
        <cfvo type="percent" val="33"/>
        <cfvo type="percent" val="67"/>
      </iconSet>
    </cfRule>
    <cfRule type="colorScale" priority="177">
      <colorScale>
        <cfvo type="formula" val="$D$14"/>
        <cfvo type="formula" val="$D$14"/>
        <color rgb="FFFF0000"/>
        <color rgb="FF00B050"/>
      </colorScale>
    </cfRule>
  </conditionalFormatting>
  <conditionalFormatting sqref="AB106">
    <cfRule type="iconSet" priority="178">
      <iconSet>
        <cfvo type="percent" val="0"/>
        <cfvo type="percent" val="33"/>
        <cfvo type="percent" val="67"/>
      </iconSet>
    </cfRule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6">
    <cfRule type="iconSet" priority="155">
      <iconSet>
        <cfvo type="percent" val="0"/>
        <cfvo type="percent" val="33"/>
        <cfvo type="percent" val="67"/>
      </iconSet>
    </cfRule>
    <cfRule type="colorScale" priority="156">
      <colorScale>
        <cfvo type="formula" val="$D$14"/>
        <cfvo type="formula" val="$D$14"/>
        <color rgb="FFFF0000"/>
        <color rgb="FF00B050"/>
      </colorScale>
    </cfRule>
  </conditionalFormatting>
  <conditionalFormatting sqref="M152:R152">
    <cfRule type="containsText" dxfId="70" priority="109" stopIfTrue="1" operator="containsText" text="CUMPLE">
      <formula>NOT(ISERROR(SEARCH("CUMPLE",M152)))</formula>
    </cfRule>
  </conditionalFormatting>
  <conditionalFormatting sqref="M152:R152">
    <cfRule type="containsText" dxfId="69" priority="108" stopIfTrue="1" operator="containsText" text="NO CUMPLE">
      <formula>NOT(ISERROR(SEARCH("NO CUMPLE",M152)))</formula>
    </cfRule>
  </conditionalFormatting>
  <conditionalFormatting sqref="M221:R221">
    <cfRule type="containsText" dxfId="68" priority="86" stopIfTrue="1" operator="containsText" text="CUMPLE">
      <formula>NOT(ISERROR(SEARCH("CUMPLE",M221)))</formula>
    </cfRule>
  </conditionalFormatting>
  <conditionalFormatting sqref="M221:R221">
    <cfRule type="containsText" dxfId="67" priority="85" stopIfTrue="1" operator="containsText" text="NO CUMPLE">
      <formula>NOT(ISERROR(SEARCH("NO CUMPLE",M221)))</formula>
    </cfRule>
  </conditionalFormatting>
  <conditionalFormatting sqref="K109:AB109">
    <cfRule type="containsText" dxfId="66" priority="126" stopIfTrue="1" operator="containsText" text="NO CUMPLE">
      <formula>NOT(ISERROR(SEARCH("NO CUMPLE",K109)))</formula>
    </cfRule>
    <cfRule type="containsText" dxfId="65" priority="127" stopIfTrue="1" operator="containsText" text="CUMPLE">
      <formula>NOT(ISERROR(SEARCH("CUMPLE",K109)))</formula>
    </cfRule>
  </conditionalFormatting>
  <conditionalFormatting sqref="D106:I106">
    <cfRule type="containsText" dxfId="64" priority="122" operator="containsText" text="NO CUMPLE">
      <formula>NOT(ISERROR(SEARCH("NO CUMPLE",D106)))</formula>
    </cfRule>
    <cfRule type="colorScale" priority="123">
      <colorScale>
        <cfvo type="formula" val="$D$14"/>
        <cfvo type="formula" val="$D$14"/>
        <color rgb="FFFF0000"/>
        <color rgb="FF00B050"/>
      </colorScale>
    </cfRule>
  </conditionalFormatting>
  <conditionalFormatting sqref="D106:I106">
    <cfRule type="containsText" dxfId="63" priority="120" stopIfTrue="1" operator="containsText" text="CUMPLE">
      <formula>NOT(ISERROR(SEARCH("CUMPLE",D106)))</formula>
    </cfRule>
  </conditionalFormatting>
  <conditionalFormatting sqref="D106:I106">
    <cfRule type="containsText" dxfId="62" priority="119" stopIfTrue="1" operator="containsText" text="NO CUMPLE">
      <formula>NOT(ISERROR(SEARCH("NO CUMPLE",D106)))</formula>
    </cfRule>
  </conditionalFormatting>
  <conditionalFormatting sqref="D106">
    <cfRule type="iconSet" priority="124">
      <iconSet>
        <cfvo type="percent" val="0"/>
        <cfvo type="percent" val="33"/>
        <cfvo type="percent" val="67"/>
      </iconSet>
    </cfRule>
    <cfRule type="colorScale" priority="125">
      <colorScale>
        <cfvo type="formula" val="$D$14"/>
        <cfvo type="formula" val="$D$14"/>
        <color rgb="FFFF0000"/>
        <color rgb="FF00B050"/>
      </colorScale>
    </cfRule>
  </conditionalFormatting>
  <conditionalFormatting sqref="M152">
    <cfRule type="iconSet" priority="110">
      <iconSet>
        <cfvo type="percent" val="0"/>
        <cfvo type="percent" val="33"/>
        <cfvo type="percent" val="67"/>
      </iconSet>
    </cfRule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21:I221">
    <cfRule type="containsText" dxfId="61" priority="99" operator="containsText" text="NO CUMPLE">
      <formula>NOT(ISERROR(SEARCH("NO CUMPLE",D221)))</formula>
    </cfRule>
    <cfRule type="colorScale" priority="100">
      <colorScale>
        <cfvo type="formula" val="$D$14"/>
        <cfvo type="formula" val="$D$14"/>
        <color rgb="FFFF0000"/>
        <color rgb="FF00B050"/>
      </colorScale>
    </cfRule>
  </conditionalFormatting>
  <conditionalFormatting sqref="D221:I221">
    <cfRule type="containsText" dxfId="60" priority="97" stopIfTrue="1" operator="containsText" text="CUMPLE">
      <formula>NOT(ISERROR(SEARCH("CUMPLE",D221)))</formula>
    </cfRule>
  </conditionalFormatting>
  <conditionalFormatting sqref="D221:I221">
    <cfRule type="containsText" dxfId="59" priority="96" stopIfTrue="1" operator="containsText" text="NO CUMPLE">
      <formula>NOT(ISERROR(SEARCH("NO CUMPLE",D221)))</formula>
    </cfRule>
  </conditionalFormatting>
  <conditionalFormatting sqref="K224:AB224">
    <cfRule type="containsText" dxfId="58" priority="94" stopIfTrue="1" operator="containsText" text="NO CUMPLE">
      <formula>NOT(ISERROR(SEARCH("NO CUMPLE",K224)))</formula>
    </cfRule>
    <cfRule type="containsText" dxfId="57" priority="95" stopIfTrue="1" operator="containsText" text="CUMPLE">
      <formula>NOT(ISERROR(SEARCH("CUMPLE",K224)))</formula>
    </cfRule>
  </conditionalFormatting>
  <conditionalFormatting sqref="V221">
    <cfRule type="iconSet" priority="92">
      <iconSet>
        <cfvo type="percent" val="0"/>
        <cfvo type="percent" val="33"/>
        <cfvo type="percent" val="67"/>
      </iconSet>
    </cfRule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21:AA221">
    <cfRule type="containsText" dxfId="56" priority="91" stopIfTrue="1" operator="containsText" text="CUMPLE">
      <formula>NOT(ISERROR(SEARCH("CUMPLE",V221)))</formula>
    </cfRule>
  </conditionalFormatting>
  <conditionalFormatting sqref="V221:AA221">
    <cfRule type="containsText" dxfId="55" priority="90" stopIfTrue="1" operator="containsText" text="NO CUMPLE">
      <formula>NOT(ISERROR(SEARCH("NO CUMPLE",V221)))</formula>
    </cfRule>
  </conditionalFormatting>
  <conditionalFormatting sqref="D221 J221">
    <cfRule type="iconSet" priority="101">
      <iconSet>
        <cfvo type="percent" val="0"/>
        <cfvo type="percent" val="33"/>
        <cfvo type="percent" val="67"/>
      </iconSet>
    </cfRule>
    <cfRule type="colorScale" priority="102">
      <colorScale>
        <cfvo type="formula" val="$D$14"/>
        <cfvo type="formula" val="$D$14"/>
        <color rgb="FFFF0000"/>
        <color rgb="FF00B050"/>
      </colorScale>
    </cfRule>
  </conditionalFormatting>
  <conditionalFormatting sqref="AB221">
    <cfRule type="iconSet" priority="103">
      <iconSet>
        <cfvo type="percent" val="0"/>
        <cfvo type="percent" val="33"/>
        <cfvo type="percent" val="67"/>
      </iconSet>
    </cfRule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21">
    <cfRule type="iconSet" priority="105">
      <iconSet>
        <cfvo type="percent" val="0"/>
        <cfvo type="percent" val="33"/>
        <cfvo type="percent" val="67"/>
      </iconSet>
    </cfRule>
    <cfRule type="colorScale" priority="106">
      <colorScale>
        <cfvo type="formula" val="$D$14"/>
        <cfvo type="formula" val="$D$14"/>
        <color rgb="FFFF0000"/>
        <color rgb="FF00B050"/>
      </colorScale>
    </cfRule>
  </conditionalFormatting>
  <conditionalFormatting sqref="M221">
    <cfRule type="iconSet" priority="87">
      <iconSet>
        <cfvo type="percent" val="0"/>
        <cfvo type="percent" val="33"/>
        <cfvo type="percent" val="67"/>
      </iconSet>
    </cfRule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60">
    <cfRule type="iconSet" priority="82">
      <iconSet>
        <cfvo type="percent" val="0"/>
        <cfvo type="percent" val="33"/>
        <cfvo type="percent" val="67"/>
      </iconSet>
    </cfRule>
    <cfRule type="colorScale" priority="83">
      <colorScale>
        <cfvo type="formula" val="$D$14"/>
        <cfvo type="formula" val="$D$14"/>
        <color rgb="FFFF0000"/>
        <color rgb="FF00B050"/>
      </colorScale>
    </cfRule>
  </conditionalFormatting>
  <conditionalFormatting sqref="J37">
    <cfRule type="iconSet" priority="80">
      <iconSet>
        <cfvo type="percent" val="0"/>
        <cfvo type="percent" val="33"/>
        <cfvo type="percent" val="67"/>
      </iconSet>
    </cfRule>
    <cfRule type="colorScale" priority="81">
      <colorScale>
        <cfvo type="formula" val="$D$14"/>
        <cfvo type="formula" val="$D$14"/>
        <color rgb="FFFF0000"/>
        <color rgb="FF00B050"/>
      </colorScale>
    </cfRule>
  </conditionalFormatting>
  <conditionalFormatting sqref="M37:R37">
    <cfRule type="containsText" dxfId="54" priority="76" operator="containsText" text="NO CUMPLE">
      <formula>NOT(ISERROR(SEARCH("NO CUMPLE",M37)))</formula>
    </cfRule>
    <cfRule type="colorScale" priority="77">
      <colorScale>
        <cfvo type="formula" val="$D$14"/>
        <cfvo type="formula" val="$D$14"/>
        <color rgb="FFFF0000"/>
        <color rgb="FF00B050"/>
      </colorScale>
    </cfRule>
  </conditionalFormatting>
  <conditionalFormatting sqref="M37:R37">
    <cfRule type="containsText" dxfId="53" priority="74" stopIfTrue="1" operator="containsText" text="CUMPLE">
      <formula>NOT(ISERROR(SEARCH("CUMPLE",M37)))</formula>
    </cfRule>
  </conditionalFormatting>
  <conditionalFormatting sqref="M37:R37">
    <cfRule type="containsText" dxfId="52" priority="73" stopIfTrue="1" operator="containsText" text="NO CUMPLE">
      <formula>NOT(ISERROR(SEARCH("NO CUMPLE",M37)))</formula>
    </cfRule>
  </conditionalFormatting>
  <conditionalFormatting sqref="M37">
    <cfRule type="iconSet" priority="78">
      <iconSet>
        <cfvo type="percent" val="0"/>
        <cfvo type="percent" val="33"/>
        <cfvo type="percent" val="67"/>
      </iconSet>
    </cfRule>
    <cfRule type="colorScale" priority="79">
      <colorScale>
        <cfvo type="formula" val="$D$14"/>
        <cfvo type="formula" val="$D$14"/>
        <color rgb="FFFF0000"/>
        <color rgb="FF00B050"/>
      </colorScale>
    </cfRule>
  </conditionalFormatting>
  <conditionalFormatting sqref="M106">
    <cfRule type="iconSet" priority="71">
      <iconSet>
        <cfvo type="percent" val="0"/>
        <cfvo type="percent" val="33"/>
        <cfvo type="percent" val="67"/>
      </iconSet>
    </cfRule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6:R106">
    <cfRule type="containsText" dxfId="51" priority="70" stopIfTrue="1" operator="containsText" text="CUMPLE">
      <formula>NOT(ISERROR(SEARCH("CUMPLE",M106)))</formula>
    </cfRule>
  </conditionalFormatting>
  <conditionalFormatting sqref="M106:R106">
    <cfRule type="containsText" dxfId="50" priority="69" stopIfTrue="1" operator="containsText" text="NO CUMPLE">
      <formula>NOT(ISERROR(SEARCH("NO CUMPLE",M106)))</formula>
    </cfRule>
  </conditionalFormatting>
  <conditionalFormatting sqref="D198:I198">
    <cfRule type="containsText" dxfId="49" priority="57" operator="containsText" text="NO CUMPLE">
      <formula>NOT(ISERROR(SEARCH("NO CUMPLE",D198)))</formula>
    </cfRule>
    <cfRule type="colorScale" priority="58">
      <colorScale>
        <cfvo type="formula" val="$D$14"/>
        <cfvo type="formula" val="$D$14"/>
        <color rgb="FFFF0000"/>
        <color rgb="FF00B050"/>
      </colorScale>
    </cfRule>
  </conditionalFormatting>
  <conditionalFormatting sqref="D198:I198">
    <cfRule type="containsText" dxfId="48" priority="55" stopIfTrue="1" operator="containsText" text="CUMPLE">
      <formula>NOT(ISERROR(SEARCH("CUMPLE",D198)))</formula>
    </cfRule>
  </conditionalFormatting>
  <conditionalFormatting sqref="D198:I198">
    <cfRule type="containsText" dxfId="47" priority="54" stopIfTrue="1" operator="containsText" text="NO CUMPLE">
      <formula>NOT(ISERROR(SEARCH("NO CUMPLE",D198)))</formula>
    </cfRule>
  </conditionalFormatting>
  <conditionalFormatting sqref="D198">
    <cfRule type="iconSet" priority="59">
      <iconSet>
        <cfvo type="percent" val="0"/>
        <cfvo type="percent" val="33"/>
        <cfvo type="percent" val="67"/>
      </iconSet>
    </cfRule>
    <cfRule type="colorScale" priority="60">
      <colorScale>
        <cfvo type="formula" val="$D$14"/>
        <cfvo type="formula" val="$D$14"/>
        <color rgb="FFFF0000"/>
        <color rgb="FF00B050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15" operator="containsText" id="{9C6A0A28-70B2-417F-8998-BC0716301AF4}">
            <xm:f>NOT(ISERROR(SEARCH($D$14,D14)))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D14:I14 D83:I83 D152:I152 D175:I175</xm:sqref>
        </x14:conditionalFormatting>
        <x14:conditionalFormatting xmlns:xm="http://schemas.microsoft.com/office/excel/2006/main">
          <x14:cfRule type="containsText" priority="813" operator="containsText" id="{156F7EF6-6409-4526-A58A-FB7584F1592E}">
            <xm:f>NOT(ISERROR(SEARCH($V$37,V175)))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V175:AA175</xm:sqref>
        </x14:conditionalFormatting>
        <x14:conditionalFormatting xmlns:xm="http://schemas.microsoft.com/office/excel/2006/main">
          <x14:cfRule type="containsText" priority="848" operator="containsText" id="{B879EFC6-341D-4F7C-ADCE-97E2D966E331}">
            <xm:f>NOT(ISERROR(SEARCH($V$37,V83)))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V83:AA83</xm:sqref>
        </x14:conditionalFormatting>
        <x14:conditionalFormatting xmlns:xm="http://schemas.microsoft.com/office/excel/2006/main">
          <x14:cfRule type="containsText" priority="828" operator="containsText" id="{0D33C8CC-79CB-4325-BFC1-7C7817577765}">
            <xm:f>NOT(ISERROR(SEARCH($V$37,V152)))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V152:AA152</xm:sqref>
        </x14:conditionalFormatting>
        <x14:conditionalFormatting xmlns:xm="http://schemas.microsoft.com/office/excel/2006/main">
          <x14:cfRule type="containsText" priority="348" operator="containsText" id="{1BEE67F8-80B2-4CBF-9BD2-7E78D016EAB5}">
            <xm:f>NOT(ISERROR(SEARCH($V$37,M14)))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M14:R14</xm:sqref>
        </x14:conditionalFormatting>
        <x14:conditionalFormatting xmlns:xm="http://schemas.microsoft.com/office/excel/2006/main">
          <x14:cfRule type="containsText" priority="343" operator="containsText" id="{8877FAF8-0E6E-42E9-AED1-7B5AEAF92B05}">
            <xm:f>NOT(ISERROR(SEARCH($V$37,V14)))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V14:AA14</xm:sqref>
        </x14:conditionalFormatting>
        <x14:conditionalFormatting xmlns:xm="http://schemas.microsoft.com/office/excel/2006/main">
          <x14:cfRule type="containsText" priority="311" operator="containsText" id="{4F9B327F-4223-4D11-BC20-F707ED6E7140}">
            <xm:f>NOT(ISERROR(SEARCH($V$37,M175)))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M175:R175</xm:sqref>
        </x14:conditionalFormatting>
        <x14:conditionalFormatting xmlns:xm="http://schemas.microsoft.com/office/excel/2006/main">
          <x14:cfRule type="containsText" priority="302" operator="containsText" id="{3F8406ED-07C5-4A45-983A-12FBA260DABC}">
            <xm:f>NOT(ISERROR(SEARCH($D$14,D37)))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D37:I37</xm:sqref>
        </x14:conditionalFormatting>
        <x14:conditionalFormatting xmlns:xm="http://schemas.microsoft.com/office/excel/2006/main">
          <x14:cfRule type="containsText" priority="293" operator="containsText" id="{07FAA35E-4294-454A-84D0-C8B8C3510F91}">
            <xm:f>NOT(ISERROR(SEARCH($V$37,V37)))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V37:AA37</xm:sqref>
        </x14:conditionalFormatting>
        <x14:conditionalFormatting xmlns:xm="http://schemas.microsoft.com/office/excel/2006/main">
          <x14:cfRule type="containsText" priority="279" operator="containsText" id="{352E259B-C281-4101-89C3-8FE3BBC45F36}">
            <xm:f>NOT(ISERROR(SEARCH($D$14,D60)))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D60:I60</xm:sqref>
        </x14:conditionalFormatting>
        <x14:conditionalFormatting xmlns:xm="http://schemas.microsoft.com/office/excel/2006/main">
          <x14:cfRule type="containsText" priority="270" operator="containsText" id="{D2C7776A-2DE3-4B28-B026-8A33DB11A200}">
            <xm:f>NOT(ISERROR(SEARCH($V$37,V60)))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V60:AA60</xm:sqref>
        </x14:conditionalFormatting>
        <x14:conditionalFormatting xmlns:xm="http://schemas.microsoft.com/office/excel/2006/main">
          <x14:cfRule type="containsText" priority="265" operator="containsText" id="{A9298178-5FC0-4A81-9C56-3A8474D66F49}">
            <xm:f>NOT(ISERROR(SEARCH($V$37,M60)))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M60:R60</xm:sqref>
        </x14:conditionalFormatting>
        <x14:conditionalFormatting xmlns:xm="http://schemas.microsoft.com/office/excel/2006/main">
          <x14:cfRule type="containsText" priority="260" operator="containsText" id="{5DB160C3-0C5E-41E2-B5FB-F49B175D3191}">
            <xm:f>NOT(ISERROR(SEARCH($V$37,M83)))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M83:R83</xm:sqref>
        </x14:conditionalFormatting>
        <x14:conditionalFormatting xmlns:xm="http://schemas.microsoft.com/office/excel/2006/main">
          <x14:cfRule type="containsText" priority="215" operator="containsText" id="{FED511EE-0A90-4951-9237-53A3ACD5FB93}">
            <xm:f>NOT(ISERROR(SEARCH($V$37,V198)))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V198:AA198</xm:sqref>
        </x14:conditionalFormatting>
        <x14:conditionalFormatting xmlns:xm="http://schemas.microsoft.com/office/excel/2006/main">
          <x14:cfRule type="containsText" priority="210" operator="containsText" id="{744C2379-DDCC-4BF6-AFFD-74CCAFDB5151}">
            <xm:f>NOT(ISERROR(SEARCH($V$37,M198)))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M198:R198</xm:sqref>
        </x14:conditionalFormatting>
        <x14:conditionalFormatting xmlns:xm="http://schemas.microsoft.com/office/excel/2006/main">
          <x14:cfRule type="containsText" priority="201" operator="containsText" id="{BD87E35C-B77D-4DD1-B3E2-16FD6DC8A6F9}">
            <xm:f>NOT(ISERROR(SEARCH($D$14,D129)))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D129:I129</xm:sqref>
        </x14:conditionalFormatting>
        <x14:conditionalFormatting xmlns:xm="http://schemas.microsoft.com/office/excel/2006/main">
          <x14:cfRule type="containsText" priority="192" operator="containsText" id="{F0286EE3-EBDE-4421-B605-4A10EF784DE6}">
            <xm:f>NOT(ISERROR(SEARCH($V$37,V129)))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V129:AA129</xm:sqref>
        </x14:conditionalFormatting>
        <x14:conditionalFormatting xmlns:xm="http://schemas.microsoft.com/office/excel/2006/main">
          <x14:cfRule type="containsText" priority="182" operator="containsText" id="{CF4BF296-6187-400D-ADB0-534C4DB96ACA}">
            <xm:f>NOT(ISERROR(SEARCH($V$37,M129)))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M129:R129</xm:sqref>
        </x14:conditionalFormatting>
        <x14:conditionalFormatting xmlns:xm="http://schemas.microsoft.com/office/excel/2006/main">
          <x14:cfRule type="containsText" priority="164" operator="containsText" id="{E64C8ED0-2CE4-457F-9E61-912C58BC71D0}">
            <xm:f>NOT(ISERROR(SEARCH($V$37,V106)))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V106:AA106</xm:sqref>
        </x14:conditionalFormatting>
        <x14:conditionalFormatting xmlns:xm="http://schemas.microsoft.com/office/excel/2006/main">
          <x14:cfRule type="containsText" priority="107" operator="containsText" id="{939B0800-6AB4-42CC-A02F-CF1494648AD1}">
            <xm:f>NOT(ISERROR(SEARCH($V$37,M152)))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M152:R152</xm:sqref>
        </x14:conditionalFormatting>
        <x14:conditionalFormatting xmlns:xm="http://schemas.microsoft.com/office/excel/2006/main">
          <x14:cfRule type="containsText" priority="84" operator="containsText" id="{93B1F364-A969-48AD-9FC0-51262BFE5C15}">
            <xm:f>NOT(ISERROR(SEARCH($V$37,M221)))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M221:R221</xm:sqref>
        </x14:conditionalFormatting>
        <x14:conditionalFormatting xmlns:xm="http://schemas.microsoft.com/office/excel/2006/main">
          <x14:cfRule type="containsText" priority="121" operator="containsText" id="{3975702E-72FF-4430-AE4A-063295CC6EAF}">
            <xm:f>NOT(ISERROR(SEARCH($D$14,D106)))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D106:I106</xm:sqref>
        </x14:conditionalFormatting>
        <x14:conditionalFormatting xmlns:xm="http://schemas.microsoft.com/office/excel/2006/main">
          <x14:cfRule type="containsText" priority="98" operator="containsText" id="{7FD1EF8E-461A-4797-B5CD-BE7960A74DA9}">
            <xm:f>NOT(ISERROR(SEARCH($D$14,D221)))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D221:I221</xm:sqref>
        </x14:conditionalFormatting>
        <x14:conditionalFormatting xmlns:xm="http://schemas.microsoft.com/office/excel/2006/main">
          <x14:cfRule type="containsText" priority="89" operator="containsText" id="{6C1109D0-E07C-4822-9188-90ED5163ECDF}">
            <xm:f>NOT(ISERROR(SEARCH($V$37,V221)))</xm:f>
            <xm:f>$V$37</xm:f>
            <x14:dxf>
              <fill>
                <patternFill>
                  <bgColor rgb="FFFFFF00"/>
                </patternFill>
              </fill>
            </x14:dxf>
          </x14:cfRule>
          <xm:sqref>V221:AA221</xm:sqref>
        </x14:conditionalFormatting>
        <x14:conditionalFormatting xmlns:xm="http://schemas.microsoft.com/office/excel/2006/main">
          <x14:cfRule type="containsText" priority="75" operator="containsText" id="{04042BF2-4CFC-44B6-AF2F-15E78D96719A}">
            <xm:f>NOT(ISERROR(SEARCH($D$14,M37)))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M37:R37</xm:sqref>
        </x14:conditionalFormatting>
        <x14:conditionalFormatting xmlns:xm="http://schemas.microsoft.com/office/excel/2006/main">
          <x14:cfRule type="containsText" priority="68" operator="containsText" id="{3DCAC1F1-05C1-442D-A7E3-BB1A204969CA}">
            <xm:f>NOT(ISERROR(SEARCH($V$37,M106)))</xm:f>
            <xm:f>$V$37</xm:f>
            <x14:dxf>
              <fill>
                <patternFill>
                  <bgColor rgb="FFFFFF00"/>
                </patternFill>
              </fill>
            </x14:dxf>
          </x14:cfRule>
          <xm:sqref>M106:R106</xm:sqref>
        </x14:conditionalFormatting>
        <x14:conditionalFormatting xmlns:xm="http://schemas.microsoft.com/office/excel/2006/main">
          <x14:cfRule type="containsText" priority="56" operator="containsText" id="{DB6F5D5B-D2DF-4FA4-AB41-815319E9CBE0}">
            <xm:f>NOT(ISERROR(SEARCH($D$14,D198)))</xm:f>
            <xm:f>$D$14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D198:I198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/>
  <dimension ref="A1:IZ34"/>
  <sheetViews>
    <sheetView view="pageBreakPreview" topLeftCell="A26" zoomScale="70" zoomScaleNormal="50" zoomScaleSheetLayoutView="70" workbookViewId="0">
      <pane xSplit="7" topLeftCell="H1" activePane="topRight" state="frozen"/>
      <selection pane="topRight" activeCell="K31" sqref="K31"/>
    </sheetView>
  </sheetViews>
  <sheetFormatPr baseColWidth="10" defaultRowHeight="15" x14ac:dyDescent="0.25"/>
  <cols>
    <col min="1" max="1" width="4.5703125" hidden="1" customWidth="1"/>
    <col min="2" max="2" width="9.28515625" customWidth="1"/>
    <col min="3" max="3" width="36.42578125" customWidth="1"/>
    <col min="4" max="4" width="7.140625" customWidth="1"/>
    <col min="5" max="5" width="16.28515625" customWidth="1"/>
    <col min="6" max="6" width="18" customWidth="1"/>
    <col min="7" max="7" width="25.28515625" customWidth="1"/>
    <col min="8" max="8" width="23" hidden="1" customWidth="1"/>
    <col min="9" max="9" width="30.28515625" hidden="1" customWidth="1"/>
    <col min="10" max="10" width="50.28515625" hidden="1" customWidth="1"/>
    <col min="11" max="11" width="38.28515625" customWidth="1"/>
    <col min="12" max="12" width="36.7109375" customWidth="1"/>
    <col min="13" max="13" width="55.5703125" customWidth="1"/>
    <col min="14" max="260" width="11.5703125" style="94"/>
  </cols>
  <sheetData>
    <row r="1" spans="1:260" ht="66.599999999999994" customHeight="1" x14ac:dyDescent="0.25"/>
    <row r="2" spans="1:260" ht="161.44999999999999" customHeight="1" x14ac:dyDescent="0.25">
      <c r="A2" s="381" t="s">
        <v>103</v>
      </c>
      <c r="B2" s="381"/>
      <c r="C2" s="381"/>
      <c r="D2" s="381"/>
      <c r="E2" s="381"/>
      <c r="F2" s="381"/>
      <c r="G2" s="381"/>
      <c r="H2" s="205">
        <v>1</v>
      </c>
      <c r="I2" s="394" t="s">
        <v>78</v>
      </c>
      <c r="J2" s="394"/>
      <c r="K2" s="205">
        <v>1</v>
      </c>
      <c r="L2" s="395" t="s">
        <v>82</v>
      </c>
      <c r="M2" s="395"/>
    </row>
    <row r="3" spans="1:260" s="96" customFormat="1" ht="16.149999999999999" customHeight="1" x14ac:dyDescent="0.35">
      <c r="A3" s="381" t="s">
        <v>33</v>
      </c>
      <c r="B3" s="381" t="s">
        <v>34</v>
      </c>
      <c r="C3" s="381" t="s">
        <v>35</v>
      </c>
      <c r="D3" s="381" t="s">
        <v>36</v>
      </c>
      <c r="E3" s="381" t="s">
        <v>37</v>
      </c>
      <c r="F3" s="382" t="s">
        <v>38</v>
      </c>
      <c r="G3" s="382" t="s">
        <v>39</v>
      </c>
      <c r="H3" s="396"/>
      <c r="I3" s="396"/>
      <c r="J3" s="396"/>
      <c r="K3" s="396"/>
      <c r="L3" s="396"/>
      <c r="M3" s="396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95"/>
      <c r="EW3" s="95"/>
      <c r="EX3" s="95"/>
      <c r="EY3" s="95"/>
      <c r="EZ3" s="95"/>
      <c r="FA3" s="95"/>
      <c r="FB3" s="95"/>
      <c r="FC3" s="95"/>
      <c r="FD3" s="95"/>
      <c r="FE3" s="95"/>
      <c r="FF3" s="95"/>
      <c r="FG3" s="95"/>
      <c r="FH3" s="95"/>
      <c r="FI3" s="95"/>
      <c r="FJ3" s="95"/>
      <c r="FK3" s="95"/>
      <c r="FL3" s="95"/>
      <c r="FM3" s="95"/>
      <c r="FN3" s="95"/>
      <c r="FO3" s="95"/>
      <c r="FP3" s="95"/>
      <c r="FQ3" s="95"/>
      <c r="FR3" s="95"/>
      <c r="FS3" s="95"/>
      <c r="FT3" s="95"/>
      <c r="FU3" s="95"/>
      <c r="FV3" s="95"/>
      <c r="FW3" s="95"/>
      <c r="FX3" s="95"/>
      <c r="FY3" s="95"/>
      <c r="FZ3" s="95"/>
      <c r="GA3" s="95"/>
      <c r="GB3" s="95"/>
      <c r="GC3" s="95"/>
      <c r="GD3" s="95"/>
      <c r="GE3" s="95"/>
      <c r="GF3" s="95"/>
      <c r="GG3" s="95"/>
      <c r="GH3" s="95"/>
      <c r="GI3" s="95"/>
      <c r="GJ3" s="95"/>
      <c r="GK3" s="95"/>
      <c r="GL3" s="95"/>
      <c r="GM3" s="95"/>
      <c r="GN3" s="95"/>
      <c r="GO3" s="95"/>
      <c r="GP3" s="95"/>
      <c r="GQ3" s="95"/>
      <c r="GR3" s="95"/>
      <c r="GS3" s="95"/>
      <c r="GT3" s="95"/>
      <c r="GU3" s="95"/>
      <c r="GV3" s="95"/>
      <c r="GW3" s="95"/>
      <c r="GX3" s="95"/>
      <c r="GY3" s="95"/>
      <c r="GZ3" s="95"/>
      <c r="HA3" s="95"/>
      <c r="HB3" s="95"/>
      <c r="HC3" s="95"/>
      <c r="HD3" s="95"/>
      <c r="HE3" s="95"/>
      <c r="HF3" s="95"/>
      <c r="HG3" s="95"/>
      <c r="HH3" s="95"/>
      <c r="HI3" s="95"/>
      <c r="HJ3" s="95"/>
      <c r="HK3" s="95"/>
      <c r="HL3" s="95"/>
      <c r="HM3" s="95"/>
      <c r="HN3" s="95"/>
      <c r="HO3" s="95"/>
      <c r="HP3" s="95"/>
      <c r="HQ3" s="95"/>
      <c r="HR3" s="95"/>
      <c r="HS3" s="95"/>
      <c r="HT3" s="95"/>
      <c r="HU3" s="95"/>
      <c r="HV3" s="95"/>
      <c r="HW3" s="95"/>
      <c r="HX3" s="95"/>
      <c r="HY3" s="95"/>
      <c r="HZ3" s="95"/>
      <c r="IA3" s="95"/>
      <c r="IB3" s="95"/>
      <c r="IC3" s="95"/>
      <c r="ID3" s="95"/>
      <c r="IE3" s="95"/>
      <c r="IF3" s="95"/>
      <c r="IG3" s="95"/>
      <c r="IH3" s="95"/>
      <c r="II3" s="95"/>
      <c r="IJ3" s="95"/>
      <c r="IK3" s="95"/>
      <c r="IL3" s="95"/>
      <c r="IM3" s="95"/>
      <c r="IN3" s="95"/>
      <c r="IO3" s="95"/>
      <c r="IP3" s="95"/>
      <c r="IQ3" s="95"/>
      <c r="IR3" s="95"/>
      <c r="IS3" s="95"/>
      <c r="IT3" s="95"/>
      <c r="IU3" s="95"/>
      <c r="IV3" s="95"/>
      <c r="IW3" s="95"/>
      <c r="IX3" s="95"/>
      <c r="IY3" s="95"/>
      <c r="IZ3" s="95"/>
    </row>
    <row r="4" spans="1:260" s="96" customFormat="1" ht="12.6" customHeight="1" x14ac:dyDescent="0.35">
      <c r="A4" s="381"/>
      <c r="B4" s="381"/>
      <c r="C4" s="381"/>
      <c r="D4" s="381"/>
      <c r="E4" s="381"/>
      <c r="F4" s="382"/>
      <c r="G4" s="382"/>
      <c r="H4" s="396"/>
      <c r="I4" s="396"/>
      <c r="J4" s="396"/>
      <c r="K4" s="396"/>
      <c r="L4" s="396"/>
      <c r="M4" s="396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95"/>
      <c r="FP4" s="95"/>
      <c r="FQ4" s="95"/>
      <c r="FR4" s="95"/>
      <c r="FS4" s="95"/>
      <c r="FT4" s="95"/>
      <c r="FU4" s="95"/>
      <c r="FV4" s="95"/>
      <c r="FW4" s="95"/>
      <c r="FX4" s="95"/>
      <c r="FY4" s="95"/>
      <c r="FZ4" s="95"/>
      <c r="GA4" s="95"/>
      <c r="GB4" s="95"/>
      <c r="GC4" s="95"/>
      <c r="GD4" s="95"/>
      <c r="GE4" s="95"/>
      <c r="GF4" s="95"/>
      <c r="GG4" s="95"/>
      <c r="GH4" s="95"/>
      <c r="GI4" s="95"/>
      <c r="GJ4" s="95"/>
      <c r="GK4" s="95"/>
      <c r="GL4" s="95"/>
      <c r="GM4" s="95"/>
      <c r="GN4" s="95"/>
      <c r="GO4" s="95"/>
      <c r="GP4" s="95"/>
      <c r="GQ4" s="95"/>
      <c r="GR4" s="95"/>
      <c r="GS4" s="95"/>
      <c r="GT4" s="95"/>
      <c r="GU4" s="95"/>
      <c r="GV4" s="95"/>
      <c r="GW4" s="95"/>
      <c r="GX4" s="95"/>
      <c r="GY4" s="95"/>
      <c r="GZ4" s="95"/>
      <c r="HA4" s="95"/>
      <c r="HB4" s="95"/>
      <c r="HC4" s="95"/>
      <c r="HD4" s="95"/>
      <c r="HE4" s="95"/>
      <c r="HF4" s="95"/>
      <c r="HG4" s="95"/>
      <c r="HH4" s="95"/>
      <c r="HI4" s="95"/>
      <c r="HJ4" s="95"/>
      <c r="HK4" s="95"/>
      <c r="HL4" s="95"/>
      <c r="HM4" s="95"/>
      <c r="HN4" s="95"/>
      <c r="HO4" s="95"/>
      <c r="HP4" s="95"/>
      <c r="HQ4" s="95"/>
      <c r="HR4" s="95"/>
      <c r="HS4" s="95"/>
      <c r="HT4" s="95"/>
      <c r="HU4" s="95"/>
      <c r="HV4" s="95"/>
      <c r="HW4" s="95"/>
      <c r="HX4" s="95"/>
      <c r="HY4" s="95"/>
      <c r="HZ4" s="95"/>
      <c r="IA4" s="95"/>
      <c r="IB4" s="95"/>
      <c r="IC4" s="95"/>
      <c r="ID4" s="95"/>
      <c r="IE4" s="95"/>
      <c r="IF4" s="95"/>
      <c r="IG4" s="95"/>
      <c r="IH4" s="95"/>
      <c r="II4" s="95"/>
      <c r="IJ4" s="95"/>
      <c r="IK4" s="95"/>
      <c r="IL4" s="95"/>
      <c r="IM4" s="95"/>
      <c r="IN4" s="95"/>
      <c r="IO4" s="95"/>
      <c r="IP4" s="95"/>
      <c r="IQ4" s="95"/>
      <c r="IR4" s="95"/>
      <c r="IS4" s="95"/>
      <c r="IT4" s="95"/>
      <c r="IU4" s="95"/>
      <c r="IV4" s="95"/>
      <c r="IW4" s="95"/>
      <c r="IX4" s="95"/>
      <c r="IY4" s="95"/>
      <c r="IZ4" s="95"/>
    </row>
    <row r="5" spans="1:260" s="98" customFormat="1" ht="35.450000000000003" customHeight="1" thickBot="1" x14ac:dyDescent="0.3">
      <c r="A5" s="387"/>
      <c r="B5" s="387"/>
      <c r="C5" s="387"/>
      <c r="D5" s="387"/>
      <c r="E5" s="387"/>
      <c r="F5" s="387"/>
      <c r="G5" s="387"/>
      <c r="H5" s="206" t="s">
        <v>38</v>
      </c>
      <c r="I5" s="206" t="s">
        <v>50</v>
      </c>
      <c r="J5" s="206" t="s">
        <v>45</v>
      </c>
      <c r="K5" s="206" t="s">
        <v>38</v>
      </c>
      <c r="L5" s="206" t="s">
        <v>50</v>
      </c>
      <c r="M5" s="206" t="s">
        <v>45</v>
      </c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97"/>
      <c r="DB5" s="97"/>
      <c r="DC5" s="97"/>
      <c r="DD5" s="97"/>
      <c r="DE5" s="97"/>
      <c r="DF5" s="97"/>
      <c r="DG5" s="97"/>
      <c r="DH5" s="97"/>
      <c r="DI5" s="97"/>
      <c r="DJ5" s="97"/>
      <c r="DK5" s="97"/>
      <c r="DL5" s="97"/>
      <c r="DM5" s="97"/>
      <c r="DN5" s="97"/>
      <c r="DO5" s="97"/>
      <c r="DP5" s="97"/>
      <c r="DQ5" s="97"/>
      <c r="DR5" s="97"/>
      <c r="DS5" s="97"/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7"/>
      <c r="EU5" s="97"/>
      <c r="EV5" s="97"/>
      <c r="EW5" s="97"/>
      <c r="EX5" s="97"/>
      <c r="EY5" s="97"/>
      <c r="EZ5" s="97"/>
      <c r="FA5" s="97"/>
      <c r="FB5" s="97"/>
      <c r="FC5" s="97"/>
      <c r="FD5" s="97"/>
      <c r="FE5" s="97"/>
      <c r="FF5" s="97"/>
      <c r="FG5" s="97"/>
      <c r="FH5" s="97"/>
      <c r="FI5" s="97"/>
      <c r="FJ5" s="97"/>
      <c r="FK5" s="97"/>
      <c r="FL5" s="97"/>
      <c r="FM5" s="97"/>
      <c r="FN5" s="97"/>
      <c r="FO5" s="97"/>
      <c r="FP5" s="97"/>
      <c r="FQ5" s="97"/>
      <c r="FR5" s="97"/>
      <c r="FS5" s="97"/>
      <c r="FT5" s="97"/>
      <c r="FU5" s="97"/>
      <c r="FV5" s="97"/>
      <c r="FW5" s="97"/>
      <c r="FX5" s="97"/>
      <c r="FY5" s="97"/>
      <c r="FZ5" s="97"/>
      <c r="GA5" s="97"/>
      <c r="GB5" s="97"/>
      <c r="GC5" s="97"/>
      <c r="GD5" s="97"/>
      <c r="GE5" s="97"/>
      <c r="GF5" s="97"/>
      <c r="GG5" s="97"/>
      <c r="GH5" s="97"/>
      <c r="GI5" s="97"/>
      <c r="GJ5" s="97"/>
      <c r="GK5" s="97"/>
      <c r="GL5" s="97"/>
      <c r="GM5" s="97"/>
      <c r="GN5" s="97"/>
      <c r="GO5" s="97"/>
      <c r="GP5" s="97"/>
      <c r="GQ5" s="97"/>
      <c r="GR5" s="97"/>
      <c r="GS5" s="97"/>
      <c r="GT5" s="97"/>
      <c r="GU5" s="97"/>
      <c r="GV5" s="97"/>
      <c r="GW5" s="97"/>
      <c r="GX5" s="97"/>
      <c r="GY5" s="97"/>
      <c r="GZ5" s="97"/>
      <c r="HA5" s="97"/>
      <c r="HB5" s="97"/>
      <c r="HC5" s="97"/>
      <c r="HD5" s="97"/>
      <c r="HE5" s="97"/>
      <c r="HF5" s="97"/>
      <c r="HG5" s="97"/>
      <c r="HH5" s="97"/>
      <c r="HI5" s="97"/>
      <c r="HJ5" s="97"/>
      <c r="HK5" s="97"/>
      <c r="HL5" s="97"/>
      <c r="HM5" s="97"/>
      <c r="HN5" s="97"/>
      <c r="HO5" s="97"/>
      <c r="HP5" s="97"/>
      <c r="HQ5" s="97"/>
      <c r="HR5" s="97"/>
      <c r="HS5" s="97"/>
      <c r="HT5" s="97"/>
      <c r="HU5" s="97"/>
      <c r="HV5" s="97"/>
      <c r="HW5" s="97"/>
      <c r="HX5" s="97"/>
      <c r="HY5" s="97"/>
      <c r="HZ5" s="97"/>
      <c r="IA5" s="97"/>
      <c r="IB5" s="97"/>
      <c r="IC5" s="97"/>
      <c r="ID5" s="97"/>
      <c r="IE5" s="97"/>
      <c r="IF5" s="97"/>
      <c r="IG5" s="97"/>
      <c r="IH5" s="97"/>
      <c r="II5" s="97"/>
      <c r="IJ5" s="97"/>
      <c r="IK5" s="97"/>
      <c r="IL5" s="97"/>
      <c r="IM5" s="97"/>
      <c r="IN5" s="97"/>
      <c r="IO5" s="97"/>
      <c r="IP5" s="97"/>
      <c r="IQ5" s="97"/>
      <c r="IR5" s="97"/>
      <c r="IS5" s="97"/>
      <c r="IT5" s="97"/>
      <c r="IU5" s="97"/>
      <c r="IV5" s="97"/>
      <c r="IW5" s="97"/>
      <c r="IX5" s="97"/>
      <c r="IY5" s="97"/>
      <c r="IZ5" s="97"/>
    </row>
    <row r="6" spans="1:260" ht="44.45" customHeight="1" thickBot="1" x14ac:dyDescent="0.3">
      <c r="A6" s="108">
        <v>1</v>
      </c>
      <c r="B6" s="109">
        <v>1</v>
      </c>
      <c r="C6" s="212" t="s">
        <v>99</v>
      </c>
      <c r="D6" s="215" t="s">
        <v>92</v>
      </c>
      <c r="E6" s="216">
        <v>650</v>
      </c>
      <c r="F6" s="209">
        <v>16917.599999999999</v>
      </c>
      <c r="G6" s="181">
        <f>F6*E6</f>
        <v>10996439.999999998</v>
      </c>
      <c r="H6" s="110">
        <v>14000</v>
      </c>
      <c r="I6" s="111">
        <f>H6*E6</f>
        <v>9100000</v>
      </c>
      <c r="J6" s="207" t="str">
        <f>IF(I6&lt;=$G$11,"VÁLIDO - ADMITIDO","NO VÁLIDO - RECHAZADO")</f>
        <v>VÁLIDO - ADMITIDO</v>
      </c>
      <c r="K6" s="221">
        <v>16917</v>
      </c>
      <c r="L6" s="111">
        <f>K6*E6</f>
        <v>10996050</v>
      </c>
      <c r="M6" s="207" t="str">
        <f>IF(L6&lt;=G6,"VÁLIDO - ADMITIDO","NO VÁLIDO - RECHAZADO")</f>
        <v>VÁLIDO - ADMITIDO</v>
      </c>
    </row>
    <row r="7" spans="1:260" ht="55.15" customHeight="1" thickBot="1" x14ac:dyDescent="0.3">
      <c r="A7" s="108">
        <v>2</v>
      </c>
      <c r="B7" s="109">
        <v>2</v>
      </c>
      <c r="C7" s="213" t="s">
        <v>100</v>
      </c>
      <c r="D7" s="217" t="s">
        <v>98</v>
      </c>
      <c r="E7" s="218">
        <v>213</v>
      </c>
      <c r="F7" s="210">
        <v>36906.17</v>
      </c>
      <c r="G7" s="181">
        <f t="shared" ref="G7:G17" si="0">F7*E7</f>
        <v>7861014.21</v>
      </c>
      <c r="H7" s="110">
        <v>121000</v>
      </c>
      <c r="I7" s="111">
        <f t="shared" ref="I7:I10" si="1">H7*E7</f>
        <v>25773000</v>
      </c>
      <c r="J7" s="207" t="str">
        <f>IF(I7&lt;=$G$12,"VÁLIDO - ADMITIDO","NO VÁLIDO - RECHAZADO")</f>
        <v>NO VÁLIDO - RECHAZADO</v>
      </c>
      <c r="K7" s="222">
        <v>36906</v>
      </c>
      <c r="L7" s="111">
        <f t="shared" ref="L7:L17" si="2">K7*E7</f>
        <v>7860978</v>
      </c>
      <c r="M7" s="207" t="str">
        <f t="shared" ref="M7:M9" si="3">IF(L7&lt;=G7,"VÁLIDO - ADMITIDO","NO VÁLIDO - RECHAZADO")</f>
        <v>VÁLIDO - ADMITIDO</v>
      </c>
    </row>
    <row r="8" spans="1:260" ht="57.75" thickBot="1" x14ac:dyDescent="0.3">
      <c r="A8" s="108">
        <v>3</v>
      </c>
      <c r="B8" s="109">
        <v>3</v>
      </c>
      <c r="C8" s="213" t="s">
        <v>101</v>
      </c>
      <c r="D8" s="217" t="s">
        <v>40</v>
      </c>
      <c r="E8" s="218">
        <v>97.5</v>
      </c>
      <c r="F8" s="210">
        <v>148948.03</v>
      </c>
      <c r="G8" s="181">
        <f t="shared" si="0"/>
        <v>14522432.925000001</v>
      </c>
      <c r="H8" s="110">
        <v>1015000</v>
      </c>
      <c r="I8" s="111">
        <f t="shared" si="1"/>
        <v>98962500</v>
      </c>
      <c r="J8" s="207" t="str">
        <f>IF(I8&lt;=$G$13,"VÁLIDO - ADMITIDO","NO VÁLIDO - RECHAZADO")</f>
        <v>NO VÁLIDO - RECHAZADO</v>
      </c>
      <c r="K8" s="222">
        <v>148948</v>
      </c>
      <c r="L8" s="111">
        <f t="shared" si="2"/>
        <v>14522430</v>
      </c>
      <c r="M8" s="207" t="str">
        <f t="shared" si="3"/>
        <v>VÁLIDO - ADMITIDO</v>
      </c>
    </row>
    <row r="9" spans="1:260" ht="44.45" customHeight="1" thickBot="1" x14ac:dyDescent="0.3">
      <c r="A9" s="108">
        <v>4</v>
      </c>
      <c r="B9" s="109">
        <v>4</v>
      </c>
      <c r="C9" s="213" t="s">
        <v>89</v>
      </c>
      <c r="D9" s="217" t="s">
        <v>40</v>
      </c>
      <c r="E9" s="218">
        <v>156</v>
      </c>
      <c r="F9" s="210">
        <v>30947.77</v>
      </c>
      <c r="G9" s="181">
        <f t="shared" si="0"/>
        <v>4827852.12</v>
      </c>
      <c r="H9" s="178">
        <v>67000</v>
      </c>
      <c r="I9" s="179">
        <f t="shared" si="1"/>
        <v>10452000</v>
      </c>
      <c r="J9" s="207" t="str">
        <f t="shared" ref="J9:J10" si="4">IF(I9&lt;=$G$13,"VÁLIDO - ADMITIDO","NO VÁLIDO - RECHAZADO")</f>
        <v>VÁLIDO - ADMITIDO</v>
      </c>
      <c r="K9" s="222">
        <v>30947</v>
      </c>
      <c r="L9" s="111">
        <f t="shared" si="2"/>
        <v>4827732</v>
      </c>
      <c r="M9" s="207" t="str">
        <f t="shared" si="3"/>
        <v>VÁLIDO - ADMITIDO</v>
      </c>
    </row>
    <row r="10" spans="1:260" ht="51.6" customHeight="1" thickBot="1" x14ac:dyDescent="0.3">
      <c r="A10" s="108">
        <v>5</v>
      </c>
      <c r="B10" s="109">
        <v>5</v>
      </c>
      <c r="C10" s="213" t="s">
        <v>90</v>
      </c>
      <c r="D10" s="217" t="s">
        <v>40</v>
      </c>
      <c r="E10" s="218">
        <v>156</v>
      </c>
      <c r="F10" s="210">
        <v>26863.34</v>
      </c>
      <c r="G10" s="181">
        <f t="shared" si="0"/>
        <v>4190681.04</v>
      </c>
      <c r="H10" s="110">
        <v>102000</v>
      </c>
      <c r="I10" s="111">
        <f t="shared" si="1"/>
        <v>15912000</v>
      </c>
      <c r="J10" s="207" t="str">
        <f t="shared" si="4"/>
        <v>VÁLIDO - ADMITIDO</v>
      </c>
      <c r="K10" s="222">
        <v>26863</v>
      </c>
      <c r="L10" s="111">
        <f t="shared" si="2"/>
        <v>4190628</v>
      </c>
      <c r="M10" s="207" t="str">
        <f>IF(L10&lt;=G10,"VÁLIDO - ADMITIDO","NO VÁLIDO - RECHAZADO")</f>
        <v>VÁLIDO - ADMITIDO</v>
      </c>
    </row>
    <row r="11" spans="1:260" ht="44.45" customHeight="1" thickBot="1" x14ac:dyDescent="0.3">
      <c r="A11" s="108">
        <v>1</v>
      </c>
      <c r="B11" s="109">
        <v>6</v>
      </c>
      <c r="C11" s="213" t="s">
        <v>91</v>
      </c>
      <c r="D11" s="217" t="s">
        <v>92</v>
      </c>
      <c r="E11" s="218">
        <v>650</v>
      </c>
      <c r="F11" s="210">
        <v>14699.16</v>
      </c>
      <c r="G11" s="181">
        <f t="shared" si="0"/>
        <v>9554454</v>
      </c>
      <c r="H11" s="110">
        <v>14000</v>
      </c>
      <c r="I11" s="111">
        <f>H11*E11</f>
        <v>9100000</v>
      </c>
      <c r="J11" s="207" t="str">
        <f>IF(I11&lt;=$G$11,"VÁLIDO - ADMITIDO","NO VÁLIDO - RECHAZADO")</f>
        <v>VÁLIDO - ADMITIDO</v>
      </c>
      <c r="K11" s="222">
        <v>14699</v>
      </c>
      <c r="L11" s="111">
        <f t="shared" si="2"/>
        <v>9554350</v>
      </c>
      <c r="M11" s="207" t="str">
        <f>IF(L11&lt;=G11,"VÁLIDO - ADMITIDO","NO VÁLIDO - RECHAZADO")</f>
        <v>VÁLIDO - ADMITIDO</v>
      </c>
    </row>
    <row r="12" spans="1:260" ht="55.15" customHeight="1" thickBot="1" x14ac:dyDescent="0.3">
      <c r="A12" s="108">
        <v>2</v>
      </c>
      <c r="B12" s="109">
        <v>7</v>
      </c>
      <c r="C12" s="213" t="s">
        <v>93</v>
      </c>
      <c r="D12" s="217" t="s">
        <v>40</v>
      </c>
      <c r="E12" s="218">
        <v>162.5</v>
      </c>
      <c r="F12" s="210">
        <v>133989.32</v>
      </c>
      <c r="G12" s="181">
        <f t="shared" si="0"/>
        <v>21773264.5</v>
      </c>
      <c r="H12" s="110">
        <v>121000</v>
      </c>
      <c r="I12" s="111">
        <f t="shared" ref="I12:I13" si="5">H12*E12</f>
        <v>19662500</v>
      </c>
      <c r="J12" s="207" t="str">
        <f>IF(I12&lt;=$G$12,"VÁLIDO - ADMITIDO","NO VÁLIDO - RECHAZADO")</f>
        <v>VÁLIDO - ADMITIDO</v>
      </c>
      <c r="K12" s="222">
        <v>133989</v>
      </c>
      <c r="L12" s="111">
        <f t="shared" si="2"/>
        <v>21773212.5</v>
      </c>
      <c r="M12" s="207" t="str">
        <f t="shared" ref="M12:M16" si="6">IF(L12&lt;=G12,"VÁLIDO - ADMITIDO","NO VÁLIDO - RECHAZADO")</f>
        <v>VÁLIDO - ADMITIDO</v>
      </c>
    </row>
    <row r="13" spans="1:260" ht="29.25" thickBot="1" x14ac:dyDescent="0.3">
      <c r="A13" s="108">
        <v>3</v>
      </c>
      <c r="B13" s="109">
        <v>8</v>
      </c>
      <c r="C13" s="213" t="s">
        <v>102</v>
      </c>
      <c r="D13" s="217" t="s">
        <v>40</v>
      </c>
      <c r="E13" s="218">
        <v>97.5</v>
      </c>
      <c r="F13" s="210">
        <v>242070.52</v>
      </c>
      <c r="G13" s="181">
        <f t="shared" si="0"/>
        <v>23601875.699999999</v>
      </c>
      <c r="H13" s="110">
        <v>1015000</v>
      </c>
      <c r="I13" s="111">
        <f t="shared" si="5"/>
        <v>98962500</v>
      </c>
      <c r="J13" s="207" t="str">
        <f>IF(I13&lt;=$G$13,"VÁLIDO - ADMITIDO","NO VÁLIDO - RECHAZADO")</f>
        <v>NO VÁLIDO - RECHAZADO</v>
      </c>
      <c r="K13" s="222">
        <v>242070</v>
      </c>
      <c r="L13" s="111">
        <f t="shared" si="2"/>
        <v>23601825</v>
      </c>
      <c r="M13" s="207" t="str">
        <f t="shared" si="6"/>
        <v>VÁLIDO - ADMITIDO</v>
      </c>
    </row>
    <row r="14" spans="1:260" ht="44.45" customHeight="1" thickBot="1" x14ac:dyDescent="0.3">
      <c r="A14" s="108">
        <v>4</v>
      </c>
      <c r="B14" s="109">
        <v>9</v>
      </c>
      <c r="C14" s="213" t="s">
        <v>94</v>
      </c>
      <c r="D14" s="217" t="s">
        <v>40</v>
      </c>
      <c r="E14" s="218">
        <v>117</v>
      </c>
      <c r="F14" s="210">
        <v>1066203.81</v>
      </c>
      <c r="G14" s="181">
        <f t="shared" si="0"/>
        <v>124745845.77000001</v>
      </c>
      <c r="H14" s="178">
        <v>67000</v>
      </c>
      <c r="I14" s="179">
        <f t="shared" ref="I14:I17" si="7">H14*E14</f>
        <v>7839000</v>
      </c>
      <c r="J14" s="207" t="str">
        <f t="shared" ref="J14:J17" si="8">IF(I14&lt;=$G$13,"VÁLIDO - ADMITIDO","NO VÁLIDO - RECHAZADO")</f>
        <v>VÁLIDO - ADMITIDO</v>
      </c>
      <c r="K14" s="222">
        <v>1066203</v>
      </c>
      <c r="L14" s="111">
        <f t="shared" si="2"/>
        <v>124745751</v>
      </c>
      <c r="M14" s="207" t="str">
        <f t="shared" si="6"/>
        <v>VÁLIDO - ADMITIDO</v>
      </c>
    </row>
    <row r="15" spans="1:260" ht="44.45" customHeight="1" thickBot="1" x14ac:dyDescent="0.3">
      <c r="A15" s="108"/>
      <c r="B15" s="109">
        <v>10</v>
      </c>
      <c r="C15" s="213" t="s">
        <v>96</v>
      </c>
      <c r="D15" s="217" t="s">
        <v>95</v>
      </c>
      <c r="E15" s="218">
        <v>4</v>
      </c>
      <c r="F15" s="210">
        <v>248136.77</v>
      </c>
      <c r="G15" s="181">
        <f t="shared" si="0"/>
        <v>992547.08</v>
      </c>
      <c r="H15" s="178"/>
      <c r="I15" s="179"/>
      <c r="J15" s="207"/>
      <c r="K15" s="222">
        <v>248136</v>
      </c>
      <c r="L15" s="111">
        <f t="shared" si="2"/>
        <v>992544</v>
      </c>
      <c r="M15" s="207" t="str">
        <f t="shared" si="6"/>
        <v>VÁLIDO - ADMITIDO</v>
      </c>
    </row>
    <row r="16" spans="1:260" ht="44.45" customHeight="1" thickBot="1" x14ac:dyDescent="0.3">
      <c r="A16" s="108"/>
      <c r="B16" s="109">
        <v>11</v>
      </c>
      <c r="C16" s="214" t="s">
        <v>104</v>
      </c>
      <c r="D16" s="219" t="s">
        <v>105</v>
      </c>
      <c r="E16" s="215">
        <v>115</v>
      </c>
      <c r="F16" s="210">
        <v>9739.59</v>
      </c>
      <c r="G16" s="181">
        <f t="shared" si="0"/>
        <v>1120052.8500000001</v>
      </c>
      <c r="H16" s="178"/>
      <c r="I16" s="179"/>
      <c r="J16" s="207"/>
      <c r="K16" s="222">
        <v>9739</v>
      </c>
      <c r="L16" s="111">
        <f>K16*E16</f>
        <v>1119985</v>
      </c>
      <c r="M16" s="207" t="str">
        <f t="shared" si="6"/>
        <v>VÁLIDO - ADMITIDO</v>
      </c>
    </row>
    <row r="17" spans="1:260" ht="51.6" customHeight="1" thickBot="1" x14ac:dyDescent="0.3">
      <c r="A17" s="108">
        <v>5</v>
      </c>
      <c r="B17" s="109">
        <v>12</v>
      </c>
      <c r="C17" s="213" t="s">
        <v>97</v>
      </c>
      <c r="D17" s="217" t="s">
        <v>98</v>
      </c>
      <c r="E17" s="218">
        <v>200</v>
      </c>
      <c r="F17" s="210">
        <v>115204.6</v>
      </c>
      <c r="G17" s="181">
        <f t="shared" si="0"/>
        <v>23040920</v>
      </c>
      <c r="H17" s="110">
        <v>102000</v>
      </c>
      <c r="I17" s="111">
        <f t="shared" si="7"/>
        <v>20400000</v>
      </c>
      <c r="J17" s="207" t="str">
        <f t="shared" si="8"/>
        <v>VÁLIDO - ADMITIDO</v>
      </c>
      <c r="K17" s="222">
        <v>115204</v>
      </c>
      <c r="L17" s="111">
        <f t="shared" si="2"/>
        <v>23040800</v>
      </c>
      <c r="M17" s="207" t="str">
        <f>IF(L17&lt;=G17,"VÁLIDO - ADMITIDO","NO VÁLIDO - RECHAZADO")</f>
        <v>VÁLIDO - ADMITIDO</v>
      </c>
    </row>
    <row r="18" spans="1:260" s="91" customFormat="1" x14ac:dyDescent="0.25">
      <c r="A18" s="197"/>
      <c r="B18" s="198"/>
      <c r="C18" s="198"/>
      <c r="D18" s="198"/>
      <c r="E18" s="198"/>
      <c r="F18" s="199"/>
      <c r="G18" s="200"/>
      <c r="H18" s="201"/>
      <c r="I18" s="202"/>
      <c r="J18" s="203"/>
      <c r="K18" s="201"/>
      <c r="L18" s="204"/>
      <c r="M18" s="203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4"/>
      <c r="FG18" s="94"/>
      <c r="FH18" s="94"/>
      <c r="FI18" s="94"/>
      <c r="FJ18" s="94"/>
      <c r="FK18" s="94"/>
      <c r="FL18" s="94"/>
      <c r="FM18" s="94"/>
      <c r="FN18" s="94"/>
      <c r="FO18" s="94"/>
      <c r="FP18" s="94"/>
      <c r="FQ18" s="94"/>
      <c r="FR18" s="94"/>
      <c r="FS18" s="94"/>
      <c r="FT18" s="94"/>
      <c r="FU18" s="94"/>
      <c r="FV18" s="94"/>
      <c r="FW18" s="94"/>
      <c r="FX18" s="94"/>
      <c r="FY18" s="94"/>
      <c r="FZ18" s="94"/>
      <c r="GA18" s="94"/>
      <c r="GB18" s="94"/>
      <c r="GC18" s="94"/>
      <c r="GD18" s="94"/>
      <c r="GE18" s="94"/>
      <c r="GF18" s="94"/>
      <c r="GG18" s="94"/>
      <c r="GH18" s="94"/>
      <c r="GI18" s="94"/>
      <c r="GJ18" s="94"/>
      <c r="GK18" s="94"/>
      <c r="GL18" s="94"/>
      <c r="GM18" s="94"/>
      <c r="GN18" s="94"/>
      <c r="GO18" s="94"/>
      <c r="GP18" s="94"/>
      <c r="GQ18" s="94"/>
      <c r="GR18" s="94"/>
      <c r="GS18" s="94"/>
      <c r="GT18" s="94"/>
      <c r="GU18" s="94"/>
      <c r="GV18" s="94"/>
      <c r="GW18" s="94"/>
      <c r="GX18" s="94"/>
      <c r="GY18" s="94"/>
      <c r="GZ18" s="94"/>
      <c r="HA18" s="94"/>
      <c r="HB18" s="94"/>
      <c r="HC18" s="94"/>
      <c r="HD18" s="94"/>
      <c r="HE18" s="94"/>
      <c r="HF18" s="94"/>
      <c r="HG18" s="94"/>
      <c r="HH18" s="94"/>
      <c r="HI18" s="94"/>
      <c r="HJ18" s="94"/>
      <c r="HK18" s="94"/>
      <c r="HL18" s="94"/>
      <c r="HM18" s="94"/>
      <c r="HN18" s="94"/>
      <c r="HO18" s="94"/>
      <c r="HP18" s="94"/>
      <c r="HQ18" s="94"/>
      <c r="HR18" s="94"/>
      <c r="HS18" s="94"/>
      <c r="HT18" s="94"/>
      <c r="HU18" s="94"/>
      <c r="HV18" s="94"/>
      <c r="HW18" s="94"/>
      <c r="HX18" s="94"/>
      <c r="HY18" s="94"/>
      <c r="HZ18" s="94"/>
      <c r="IA18" s="94"/>
      <c r="IB18" s="94"/>
      <c r="IC18" s="94"/>
      <c r="ID18" s="94"/>
      <c r="IE18" s="94"/>
      <c r="IF18" s="94"/>
      <c r="IG18" s="94"/>
      <c r="IH18" s="94"/>
      <c r="II18" s="94"/>
      <c r="IJ18" s="94"/>
      <c r="IK18" s="94"/>
      <c r="IL18" s="94"/>
      <c r="IM18" s="94"/>
      <c r="IN18" s="94"/>
      <c r="IO18" s="94"/>
      <c r="IP18" s="94"/>
      <c r="IQ18" s="94"/>
      <c r="IR18" s="94"/>
      <c r="IS18" s="94"/>
      <c r="IT18" s="94"/>
      <c r="IU18" s="94"/>
      <c r="IV18" s="94"/>
      <c r="IW18" s="94"/>
      <c r="IX18" s="94"/>
      <c r="IY18" s="94"/>
      <c r="IZ18" s="94"/>
    </row>
    <row r="19" spans="1:260" ht="34.15" customHeight="1" x14ac:dyDescent="0.25">
      <c r="A19" s="83"/>
      <c r="B19" s="84"/>
      <c r="C19" s="388" t="s">
        <v>41</v>
      </c>
      <c r="D19" s="389"/>
      <c r="E19" s="389"/>
      <c r="F19" s="390"/>
      <c r="G19" s="220">
        <f>SUM(G6:G17)</f>
        <v>247227380.19499999</v>
      </c>
      <c r="H19" s="397"/>
      <c r="I19" s="101" t="e">
        <f>#REF!</f>
        <v>#REF!</v>
      </c>
      <c r="J19" s="92" t="e">
        <f>IF(I19&lt;=$G$19,"VÁLIDO - ADMITIDO","NO VÁLIDO - RECHAZADO")</f>
        <v>#REF!</v>
      </c>
      <c r="K19" s="182" t="s">
        <v>41</v>
      </c>
      <c r="L19" s="115">
        <f>SUM(L6:L18)</f>
        <v>247226285.5</v>
      </c>
      <c r="M19" s="112" t="str">
        <f>IF(L19&lt;=G19,"VÁLIDO - ADMITIDO","NO VÁLIDO - RECHAZADO")</f>
        <v>VÁLIDO - ADMITIDO</v>
      </c>
    </row>
    <row r="20" spans="1:260" ht="33.6" customHeight="1" x14ac:dyDescent="0.25">
      <c r="A20" s="83"/>
      <c r="B20" s="85"/>
      <c r="C20" s="391" t="s">
        <v>42</v>
      </c>
      <c r="D20" s="392"/>
      <c r="E20" s="392"/>
      <c r="F20" s="393"/>
      <c r="G20" s="89"/>
      <c r="H20" s="398"/>
      <c r="I20" s="100"/>
      <c r="J20" s="92"/>
      <c r="K20" s="182" t="s">
        <v>42</v>
      </c>
      <c r="L20" s="99"/>
      <c r="M20" s="92"/>
    </row>
    <row r="21" spans="1:260" s="86" customFormat="1" ht="32.450000000000003" customHeight="1" x14ac:dyDescent="0.25">
      <c r="A21" s="87"/>
      <c r="B21" s="88"/>
      <c r="C21" s="367" t="s">
        <v>43</v>
      </c>
      <c r="D21" s="368"/>
      <c r="E21" s="368"/>
      <c r="F21" s="369"/>
      <c r="G21" s="90">
        <f>G19+G20</f>
        <v>247227380.19499999</v>
      </c>
      <c r="H21" s="398"/>
      <c r="I21" s="102" t="e">
        <f>I19</f>
        <v>#REF!</v>
      </c>
      <c r="J21" s="93" t="e">
        <f>IF(I21&lt;=$G$21,"VÁLIDO - ADMITIDO","NO VÁLIDO - RECHAZADO")</f>
        <v>#REF!</v>
      </c>
      <c r="K21" s="182" t="s">
        <v>43</v>
      </c>
      <c r="L21" s="116">
        <f>L19-L20</f>
        <v>247226285.5</v>
      </c>
      <c r="M21" s="112" t="str">
        <f>IF(L21&lt;=G21,"VÁLIDO - ADMITIDO","NO VÁLIDO - RECHAZADO")</f>
        <v>VÁLIDO - ADMITIDO</v>
      </c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4"/>
      <c r="DO21" s="94"/>
      <c r="DP21" s="94"/>
      <c r="DQ21" s="94"/>
      <c r="DR21" s="94"/>
      <c r="DS21" s="94"/>
      <c r="DT21" s="94"/>
      <c r="DU21" s="94"/>
      <c r="DV21" s="94"/>
      <c r="DW21" s="94"/>
      <c r="DX21" s="94"/>
      <c r="DY21" s="94"/>
      <c r="DZ21" s="94"/>
      <c r="EA21" s="94"/>
      <c r="EB21" s="94"/>
      <c r="EC21" s="94"/>
      <c r="ED21" s="94"/>
      <c r="EE21" s="94"/>
      <c r="EF21" s="94"/>
      <c r="EG21" s="94"/>
      <c r="EH21" s="94"/>
      <c r="EI21" s="94"/>
      <c r="EJ21" s="94"/>
      <c r="EK21" s="94"/>
      <c r="EL21" s="94"/>
      <c r="EM21" s="94"/>
      <c r="EN21" s="94"/>
      <c r="EO21" s="94"/>
      <c r="EP21" s="94"/>
      <c r="EQ21" s="94"/>
      <c r="ER21" s="94"/>
      <c r="ES21" s="94"/>
      <c r="ET21" s="94"/>
      <c r="EU21" s="94"/>
      <c r="EV21" s="94"/>
      <c r="EW21" s="94"/>
      <c r="EX21" s="94"/>
      <c r="EY21" s="94"/>
      <c r="EZ21" s="94"/>
      <c r="FA21" s="94"/>
      <c r="FB21" s="94"/>
      <c r="FC21" s="94"/>
      <c r="FD21" s="94"/>
      <c r="FE21" s="94"/>
      <c r="FF21" s="94"/>
      <c r="FG21" s="94"/>
      <c r="FH21" s="94"/>
      <c r="FI21" s="94"/>
      <c r="FJ21" s="94"/>
      <c r="FK21" s="94"/>
      <c r="FL21" s="94"/>
      <c r="FM21" s="94"/>
      <c r="FN21" s="94"/>
      <c r="FO21" s="94"/>
      <c r="FP21" s="94"/>
      <c r="FQ21" s="94"/>
      <c r="FR21" s="94"/>
      <c r="FS21" s="94"/>
      <c r="FT21" s="94"/>
      <c r="FU21" s="94"/>
      <c r="FV21" s="94"/>
      <c r="FW21" s="94"/>
      <c r="FX21" s="94"/>
      <c r="FY21" s="94"/>
      <c r="FZ21" s="94"/>
      <c r="GA21" s="94"/>
      <c r="GB21" s="94"/>
      <c r="GC21" s="94"/>
      <c r="GD21" s="94"/>
      <c r="GE21" s="94"/>
      <c r="GF21" s="94"/>
      <c r="GG21" s="94"/>
      <c r="GH21" s="94"/>
      <c r="GI21" s="94"/>
      <c r="GJ21" s="94"/>
      <c r="GK21" s="94"/>
      <c r="GL21" s="94"/>
      <c r="GM21" s="94"/>
      <c r="GN21" s="94"/>
      <c r="GO21" s="94"/>
      <c r="GP21" s="94"/>
      <c r="GQ21" s="94"/>
      <c r="GR21" s="94"/>
      <c r="GS21" s="94"/>
      <c r="GT21" s="94"/>
      <c r="GU21" s="94"/>
      <c r="GV21" s="94"/>
      <c r="GW21" s="94"/>
      <c r="GX21" s="94"/>
      <c r="GY21" s="94"/>
      <c r="GZ21" s="94"/>
      <c r="HA21" s="94"/>
      <c r="HB21" s="94"/>
      <c r="HC21" s="94"/>
      <c r="HD21" s="94"/>
      <c r="HE21" s="94"/>
      <c r="HF21" s="94"/>
      <c r="HG21" s="94"/>
      <c r="HH21" s="94"/>
      <c r="HI21" s="94"/>
      <c r="HJ21" s="94"/>
      <c r="HK21" s="94"/>
      <c r="HL21" s="94"/>
      <c r="HM21" s="94"/>
      <c r="HN21" s="94"/>
      <c r="HO21" s="94"/>
      <c r="HP21" s="94"/>
      <c r="HQ21" s="94"/>
      <c r="HR21" s="94"/>
      <c r="HS21" s="94"/>
      <c r="HT21" s="94"/>
      <c r="HU21" s="94"/>
      <c r="HV21" s="94"/>
      <c r="HW21" s="94"/>
      <c r="HX21" s="94"/>
      <c r="HY21" s="94"/>
      <c r="HZ21" s="94"/>
      <c r="IA21" s="94"/>
      <c r="IB21" s="94"/>
      <c r="IC21" s="94"/>
      <c r="ID21" s="94"/>
      <c r="IE21" s="94"/>
      <c r="IF21" s="94"/>
      <c r="IG21" s="94"/>
      <c r="IH21" s="94"/>
      <c r="II21" s="94"/>
      <c r="IJ21" s="94"/>
      <c r="IK21" s="94"/>
      <c r="IL21" s="94"/>
      <c r="IM21" s="94"/>
      <c r="IN21" s="94"/>
      <c r="IO21" s="94"/>
      <c r="IP21" s="94"/>
      <c r="IQ21" s="94"/>
      <c r="IR21" s="94"/>
      <c r="IS21" s="94"/>
      <c r="IT21" s="94"/>
      <c r="IU21" s="94"/>
      <c r="IV21" s="94"/>
      <c r="IW21" s="94"/>
      <c r="IX21" s="94"/>
      <c r="IY21" s="94"/>
      <c r="IZ21" s="94"/>
    </row>
    <row r="22" spans="1:260" ht="5.45" customHeight="1" x14ac:dyDescent="0.25"/>
    <row r="23" spans="1:260" ht="34.15" customHeight="1" x14ac:dyDescent="0.25">
      <c r="A23" s="83"/>
      <c r="B23" s="370" t="s">
        <v>83</v>
      </c>
      <c r="C23" s="371"/>
      <c r="D23" s="371"/>
      <c r="E23" s="371"/>
      <c r="F23" s="193" t="s">
        <v>84</v>
      </c>
      <c r="G23" s="194">
        <v>0.25</v>
      </c>
      <c r="H23" s="397"/>
      <c r="I23" s="101" t="e">
        <f>#REF!</f>
        <v>#REF!</v>
      </c>
      <c r="J23" s="92" t="e">
        <f>IF(I23&lt;=$G$19,"VÁLIDO - ADMITIDO","NO VÁLIDO - RECHAZADO")</f>
        <v>#REF!</v>
      </c>
      <c r="K23" s="193" t="s">
        <v>84</v>
      </c>
      <c r="L23" s="194">
        <v>0.25</v>
      </c>
      <c r="M23" s="112" t="str">
        <f t="shared" ref="M23:M26" si="9">IF(L23&lt;=G23,"VÁLIDO - ADMITIDO","NO VÁLIDO - RECHAZADO")</f>
        <v>VÁLIDO - ADMITIDO</v>
      </c>
    </row>
    <row r="24" spans="1:260" ht="33.6" customHeight="1" x14ac:dyDescent="0.25">
      <c r="A24" s="83"/>
      <c r="B24" s="372"/>
      <c r="C24" s="373"/>
      <c r="D24" s="373"/>
      <c r="E24" s="373"/>
      <c r="F24" s="193" t="s">
        <v>85</v>
      </c>
      <c r="G24" s="194">
        <v>0.03</v>
      </c>
      <c r="H24" s="398"/>
      <c r="I24" s="100"/>
      <c r="J24" s="92"/>
      <c r="K24" s="193" t="s">
        <v>85</v>
      </c>
      <c r="L24" s="194">
        <v>0.03</v>
      </c>
      <c r="M24" s="92"/>
    </row>
    <row r="25" spans="1:260" s="86" customFormat="1" ht="32.450000000000003" customHeight="1" x14ac:dyDescent="0.25">
      <c r="A25" s="87"/>
      <c r="B25" s="374"/>
      <c r="C25" s="375"/>
      <c r="D25" s="375"/>
      <c r="E25" s="375"/>
      <c r="F25" s="195" t="s">
        <v>86</v>
      </c>
      <c r="G25" s="194">
        <v>0.05</v>
      </c>
      <c r="H25" s="398"/>
      <c r="I25" s="102" t="e">
        <f>I23</f>
        <v>#REF!</v>
      </c>
      <c r="J25" s="93" t="e">
        <f>IF(I25&lt;=$G$21,"VÁLIDO - ADMITIDO","NO VÁLIDO - RECHAZADO")</f>
        <v>#REF!</v>
      </c>
      <c r="K25" s="195" t="s">
        <v>86</v>
      </c>
      <c r="L25" s="194">
        <v>0.05</v>
      </c>
      <c r="M25" s="112" t="str">
        <f t="shared" si="9"/>
        <v>VÁLIDO - ADMITIDO</v>
      </c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  <c r="DN25" s="94"/>
      <c r="DO25" s="94"/>
      <c r="DP25" s="94"/>
      <c r="DQ25" s="94"/>
      <c r="DR25" s="94"/>
      <c r="DS25" s="94"/>
      <c r="DT25" s="94"/>
      <c r="DU25" s="94"/>
      <c r="DV25" s="94"/>
      <c r="DW25" s="94"/>
      <c r="DX25" s="94"/>
      <c r="DY25" s="94"/>
      <c r="DZ25" s="94"/>
      <c r="EA25" s="94"/>
      <c r="EB25" s="94"/>
      <c r="EC25" s="94"/>
      <c r="ED25" s="94"/>
      <c r="EE25" s="94"/>
      <c r="EF25" s="94"/>
      <c r="EG25" s="94"/>
      <c r="EH25" s="94"/>
      <c r="EI25" s="94"/>
      <c r="EJ25" s="94"/>
      <c r="EK25" s="94"/>
      <c r="EL25" s="94"/>
      <c r="EM25" s="94"/>
      <c r="EN25" s="94"/>
      <c r="EO25" s="94"/>
      <c r="EP25" s="94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4"/>
      <c r="FB25" s="94"/>
      <c r="FC25" s="94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4"/>
      <c r="FO25" s="94"/>
      <c r="FP25" s="94"/>
      <c r="FQ25" s="94"/>
      <c r="FR25" s="94"/>
      <c r="FS25" s="94"/>
      <c r="FT25" s="94"/>
      <c r="FU25" s="94"/>
      <c r="FV25" s="94"/>
      <c r="FW25" s="94"/>
      <c r="FX25" s="94"/>
      <c r="FY25" s="94"/>
      <c r="FZ25" s="94"/>
      <c r="GA25" s="94"/>
      <c r="GB25" s="94"/>
      <c r="GC25" s="94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4"/>
      <c r="GO25" s="94"/>
      <c r="GP25" s="94"/>
      <c r="GQ25" s="94"/>
      <c r="GR25" s="94"/>
      <c r="GS25" s="94"/>
      <c r="GT25" s="94"/>
      <c r="GU25" s="94"/>
      <c r="GV25" s="94"/>
      <c r="GW25" s="94"/>
      <c r="GX25" s="94"/>
      <c r="GY25" s="94"/>
      <c r="GZ25" s="94"/>
      <c r="HA25" s="94"/>
      <c r="HB25" s="94"/>
      <c r="HC25" s="94"/>
      <c r="HD25" s="94"/>
      <c r="HE25" s="94"/>
      <c r="HF25" s="94"/>
      <c r="HG25" s="94"/>
      <c r="HH25" s="94"/>
      <c r="HI25" s="94"/>
      <c r="HJ25" s="94"/>
      <c r="HK25" s="94"/>
      <c r="HL25" s="94"/>
      <c r="HM25" s="94"/>
      <c r="HN25" s="94"/>
      <c r="HO25" s="94"/>
      <c r="HP25" s="94"/>
      <c r="HQ25" s="94"/>
      <c r="HR25" s="94"/>
      <c r="HS25" s="94"/>
      <c r="HT25" s="94"/>
      <c r="HU25" s="94"/>
      <c r="HV25" s="94"/>
      <c r="HW25" s="94"/>
      <c r="HX25" s="94"/>
      <c r="HY25" s="94"/>
      <c r="HZ25" s="94"/>
      <c r="IA25" s="94"/>
      <c r="IB25" s="94"/>
      <c r="IC25" s="94"/>
      <c r="ID25" s="94"/>
      <c r="IE25" s="94"/>
      <c r="IF25" s="94"/>
      <c r="IG25" s="94"/>
      <c r="IH25" s="94"/>
      <c r="II25" s="94"/>
      <c r="IJ25" s="94"/>
      <c r="IK25" s="94"/>
      <c r="IL25" s="94"/>
      <c r="IM25" s="94"/>
      <c r="IN25" s="94"/>
      <c r="IO25" s="94"/>
      <c r="IP25" s="94"/>
      <c r="IQ25" s="94"/>
      <c r="IR25" s="94"/>
      <c r="IS25" s="94"/>
      <c r="IT25" s="94"/>
      <c r="IU25" s="94"/>
      <c r="IV25" s="94"/>
      <c r="IW25" s="94"/>
      <c r="IX25" s="94"/>
      <c r="IY25" s="94"/>
      <c r="IZ25" s="94"/>
    </row>
    <row r="26" spans="1:260" s="86" customFormat="1" ht="32.450000000000003" customHeight="1" thickBot="1" x14ac:dyDescent="0.3">
      <c r="A26" s="87"/>
      <c r="B26" s="376" t="s">
        <v>87</v>
      </c>
      <c r="C26" s="377"/>
      <c r="D26" s="377"/>
      <c r="E26" s="377"/>
      <c r="F26" s="378"/>
      <c r="G26" s="194">
        <f>SUM(G23:G25)</f>
        <v>0.33</v>
      </c>
      <c r="H26" s="192"/>
      <c r="I26" s="102">
        <f>I24</f>
        <v>0</v>
      </c>
      <c r="J26" s="93" t="str">
        <f>IF(I26&lt;=$G$21,"VÁLIDO - ADMITIDO","NO VÁLIDO - RECHAZADO")</f>
        <v>VÁLIDO - ADMITIDO</v>
      </c>
      <c r="K26" s="196" t="s">
        <v>87</v>
      </c>
      <c r="L26" s="194">
        <f>SUM(L23:L25)</f>
        <v>0.33</v>
      </c>
      <c r="M26" s="112" t="str">
        <f t="shared" si="9"/>
        <v>VÁLIDO - ADMITIDO</v>
      </c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4"/>
      <c r="DO26" s="94"/>
      <c r="DP26" s="94"/>
      <c r="DQ26" s="94"/>
      <c r="DR26" s="94"/>
      <c r="DS26" s="94"/>
      <c r="DT26" s="94"/>
      <c r="DU26" s="94"/>
      <c r="DV26" s="94"/>
      <c r="DW26" s="94"/>
      <c r="DX26" s="94"/>
      <c r="DY26" s="94"/>
      <c r="DZ26" s="94"/>
      <c r="EA26" s="94"/>
      <c r="EB26" s="94"/>
      <c r="EC26" s="94"/>
      <c r="ED26" s="94"/>
      <c r="EE26" s="94"/>
      <c r="EF26" s="94"/>
      <c r="EG26" s="94"/>
      <c r="EH26" s="94"/>
      <c r="EI26" s="94"/>
      <c r="EJ26" s="94"/>
      <c r="EK26" s="94"/>
      <c r="EL26" s="94"/>
      <c r="EM26" s="94"/>
      <c r="EN26" s="94"/>
      <c r="EO26" s="94"/>
      <c r="EP26" s="94"/>
      <c r="EQ26" s="94"/>
      <c r="ER26" s="94"/>
      <c r="ES26" s="94"/>
      <c r="ET26" s="94"/>
      <c r="EU26" s="94"/>
      <c r="EV26" s="94"/>
      <c r="EW26" s="94"/>
      <c r="EX26" s="94"/>
      <c r="EY26" s="94"/>
      <c r="EZ26" s="94"/>
      <c r="FA26" s="94"/>
      <c r="FB26" s="94"/>
      <c r="FC26" s="94"/>
      <c r="FD26" s="94"/>
      <c r="FE26" s="94"/>
      <c r="FF26" s="94"/>
      <c r="FG26" s="94"/>
      <c r="FH26" s="94"/>
      <c r="FI26" s="94"/>
      <c r="FJ26" s="94"/>
      <c r="FK26" s="94"/>
      <c r="FL26" s="94"/>
      <c r="FM26" s="94"/>
      <c r="FN26" s="94"/>
      <c r="FO26" s="94"/>
      <c r="FP26" s="94"/>
      <c r="FQ26" s="94"/>
      <c r="FR26" s="94"/>
      <c r="FS26" s="94"/>
      <c r="FT26" s="94"/>
      <c r="FU26" s="94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4"/>
      <c r="GT26" s="94"/>
      <c r="GU26" s="94"/>
      <c r="GV26" s="94"/>
      <c r="GW26" s="94"/>
      <c r="GX26" s="94"/>
      <c r="GY26" s="94"/>
      <c r="GZ26" s="94"/>
      <c r="HA26" s="94"/>
      <c r="HB26" s="94"/>
      <c r="HC26" s="94"/>
      <c r="HD26" s="94"/>
      <c r="HE26" s="94"/>
      <c r="HF26" s="94"/>
      <c r="HG26" s="94"/>
      <c r="HH26" s="94"/>
      <c r="HI26" s="94"/>
      <c r="HJ26" s="94"/>
      <c r="HK26" s="94"/>
      <c r="HL26" s="94"/>
      <c r="HM26" s="94"/>
      <c r="HN26" s="94"/>
      <c r="HO26" s="94"/>
      <c r="HP26" s="94"/>
      <c r="HQ26" s="94"/>
      <c r="HR26" s="94"/>
      <c r="HS26" s="94"/>
      <c r="HT26" s="94"/>
      <c r="HU26" s="94"/>
      <c r="HV26" s="94"/>
      <c r="HW26" s="94"/>
      <c r="HX26" s="94"/>
      <c r="HY26" s="94"/>
      <c r="HZ26" s="94"/>
      <c r="IA26" s="94"/>
      <c r="IB26" s="94"/>
      <c r="IC26" s="94"/>
      <c r="ID26" s="94"/>
      <c r="IE26" s="94"/>
      <c r="IF26" s="94"/>
      <c r="IG26" s="94"/>
      <c r="IH26" s="94"/>
      <c r="II26" s="94"/>
      <c r="IJ26" s="94"/>
      <c r="IK26" s="94"/>
      <c r="IL26" s="94"/>
      <c r="IM26" s="94"/>
      <c r="IN26" s="94"/>
      <c r="IO26" s="94"/>
      <c r="IP26" s="94"/>
      <c r="IQ26" s="94"/>
      <c r="IR26" s="94"/>
      <c r="IS26" s="94"/>
      <c r="IT26" s="94"/>
      <c r="IU26" s="94"/>
      <c r="IV26" s="94"/>
      <c r="IW26" s="94"/>
      <c r="IX26" s="94"/>
      <c r="IY26" s="94"/>
      <c r="IZ26" s="94"/>
    </row>
    <row r="27" spans="1:260" ht="253.9" customHeight="1" x14ac:dyDescent="0.25">
      <c r="A27" s="385" t="s">
        <v>44</v>
      </c>
      <c r="B27" s="385"/>
      <c r="C27" s="384" t="s">
        <v>48</v>
      </c>
      <c r="D27" s="384"/>
      <c r="E27" s="384"/>
      <c r="F27" s="365" t="s">
        <v>46</v>
      </c>
      <c r="G27" s="366"/>
      <c r="H27" s="405" t="s">
        <v>80</v>
      </c>
      <c r="I27" s="406"/>
      <c r="J27" s="407"/>
      <c r="K27" s="399" t="s">
        <v>63</v>
      </c>
      <c r="L27" s="400"/>
      <c r="M27" s="401"/>
    </row>
    <row r="28" spans="1:260" ht="85.15" customHeight="1" thickBot="1" x14ac:dyDescent="0.3">
      <c r="A28" s="386"/>
      <c r="B28" s="386"/>
      <c r="C28" s="383" t="s">
        <v>49</v>
      </c>
      <c r="D28" s="383"/>
      <c r="E28" s="383"/>
      <c r="F28" s="380" t="s">
        <v>47</v>
      </c>
      <c r="G28" s="365"/>
      <c r="H28" s="402"/>
      <c r="I28" s="403"/>
      <c r="J28" s="404"/>
      <c r="K28" s="402"/>
      <c r="L28" s="403"/>
      <c r="M28" s="404"/>
    </row>
    <row r="29" spans="1:260" x14ac:dyDescent="0.25">
      <c r="B29" s="1"/>
      <c r="C29" s="1"/>
      <c r="D29" s="1"/>
      <c r="E29" s="1"/>
    </row>
    <row r="30" spans="1:260" x14ac:dyDescent="0.25">
      <c r="B30" s="1"/>
      <c r="C30" s="1" t="s">
        <v>111</v>
      </c>
      <c r="D30" s="1"/>
      <c r="E30" s="1"/>
      <c r="F30" s="379" t="s">
        <v>57</v>
      </c>
      <c r="G30" s="379"/>
      <c r="H30" s="159"/>
      <c r="I30" s="159"/>
      <c r="K30" t="s">
        <v>111</v>
      </c>
      <c r="M30" s="185" t="s">
        <v>57</v>
      </c>
    </row>
    <row r="31" spans="1:260" x14ac:dyDescent="0.25">
      <c r="B31" s="1"/>
      <c r="C31" s="186" t="s">
        <v>110</v>
      </c>
      <c r="D31" s="1"/>
      <c r="E31" s="1"/>
      <c r="F31" s="364" t="s">
        <v>55</v>
      </c>
      <c r="G31" s="364"/>
      <c r="H31" s="160"/>
      <c r="I31" s="160"/>
      <c r="K31" s="186" t="s">
        <v>110</v>
      </c>
      <c r="M31" s="184" t="s">
        <v>55</v>
      </c>
    </row>
    <row r="32" spans="1:260" x14ac:dyDescent="0.25">
      <c r="B32" s="1"/>
      <c r="C32" s="1"/>
      <c r="D32" s="1"/>
      <c r="E32" s="1"/>
      <c r="F32" s="364" t="s">
        <v>56</v>
      </c>
      <c r="G32" s="364"/>
      <c r="H32" s="160"/>
      <c r="I32" s="160"/>
      <c r="M32" s="184" t="s">
        <v>56</v>
      </c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</sheetData>
  <mergeCells count="33">
    <mergeCell ref="K27:M27"/>
    <mergeCell ref="H28:J28"/>
    <mergeCell ref="K28:M28"/>
    <mergeCell ref="H27:J27"/>
    <mergeCell ref="H23:H25"/>
    <mergeCell ref="I2:J2"/>
    <mergeCell ref="L2:M2"/>
    <mergeCell ref="H3:J4"/>
    <mergeCell ref="K3:M4"/>
    <mergeCell ref="H19:H21"/>
    <mergeCell ref="F32:G32"/>
    <mergeCell ref="A2:G2"/>
    <mergeCell ref="A3:A4"/>
    <mergeCell ref="B3:B4"/>
    <mergeCell ref="C3:C4"/>
    <mergeCell ref="D3:D4"/>
    <mergeCell ref="E3:E4"/>
    <mergeCell ref="F3:F4"/>
    <mergeCell ref="G3:G4"/>
    <mergeCell ref="C28:E28"/>
    <mergeCell ref="C27:E27"/>
    <mergeCell ref="A27:B27"/>
    <mergeCell ref="A28:B28"/>
    <mergeCell ref="A5:G5"/>
    <mergeCell ref="C19:F19"/>
    <mergeCell ref="C20:F20"/>
    <mergeCell ref="F31:G31"/>
    <mergeCell ref="F27:G27"/>
    <mergeCell ref="C21:F21"/>
    <mergeCell ref="B23:E25"/>
    <mergeCell ref="B26:F26"/>
    <mergeCell ref="F30:G30"/>
    <mergeCell ref="F28:G28"/>
  </mergeCells>
  <conditionalFormatting sqref="J11:J13 J18:J21 M23 M11:M21">
    <cfRule type="containsText" dxfId="19" priority="69" operator="containsText" text="ADMITIDO">
      <formula>NOT(ISERROR(SEARCH("ADMITIDO",J11)))</formula>
    </cfRule>
    <cfRule type="containsText" dxfId="18" priority="70" operator="containsText" text="NO">
      <formula>NOT(ISERROR(SEARCH("NO",J11)))</formula>
    </cfRule>
  </conditionalFormatting>
  <conditionalFormatting sqref="K3:M4">
    <cfRule type="containsText" dxfId="17" priority="66" operator="containsText" text="INHABILITADO">
      <formula>NOT(ISERROR(SEARCH("INHABILITADO",K3)))</formula>
    </cfRule>
    <cfRule type="containsText" dxfId="16" priority="67" operator="containsText" text="RECHAZADO">
      <formula>NOT(ISERROR(SEARCH("RECHAZADO",K3)))</formula>
    </cfRule>
    <cfRule type="containsText" dxfId="15" priority="68" operator="containsText" text="ADMISIBLE">
      <formula>NOT(ISERROR(SEARCH("ADMISIBLE",K3)))</formula>
    </cfRule>
  </conditionalFormatting>
  <conditionalFormatting sqref="H3:J4">
    <cfRule type="containsText" dxfId="14" priority="63" operator="containsText" text="INHABILITADO">
      <formula>NOT(ISERROR(SEARCH("INHABILITADO",H3)))</formula>
    </cfRule>
    <cfRule type="containsText" dxfId="13" priority="64" operator="containsText" text="RECHAZADO">
      <formula>NOT(ISERROR(SEARCH("RECHAZADO",H3)))</formula>
    </cfRule>
    <cfRule type="containsText" dxfId="12" priority="65" operator="containsText" text="ADMISIBLE">
      <formula>NOT(ISERROR(SEARCH("ADMISIBLE",H3)))</formula>
    </cfRule>
  </conditionalFormatting>
  <conditionalFormatting sqref="J14:J17">
    <cfRule type="containsText" dxfId="11" priority="53" operator="containsText" text="ADMITIDO">
      <formula>NOT(ISERROR(SEARCH("ADMITIDO",J14)))</formula>
    </cfRule>
    <cfRule type="containsText" dxfId="10" priority="54" operator="containsText" text="NO">
      <formula>NOT(ISERROR(SEARCH("NO",J14)))</formula>
    </cfRule>
  </conditionalFormatting>
  <conditionalFormatting sqref="M24 J23:J25">
    <cfRule type="containsText" dxfId="9" priority="47" operator="containsText" text="ADMITIDO">
      <formula>NOT(ISERROR(SEARCH("ADMITIDO",J23)))</formula>
    </cfRule>
    <cfRule type="containsText" dxfId="8" priority="48" operator="containsText" text="NO">
      <formula>NOT(ISERROR(SEARCH("NO",J23)))</formula>
    </cfRule>
  </conditionalFormatting>
  <conditionalFormatting sqref="J26">
    <cfRule type="containsText" dxfId="7" priority="45" operator="containsText" text="ADMITIDO">
      <formula>NOT(ISERROR(SEARCH("ADMITIDO",J26)))</formula>
    </cfRule>
    <cfRule type="containsText" dxfId="6" priority="46" operator="containsText" text="NO">
      <formula>NOT(ISERROR(SEARCH("NO",J26)))</formula>
    </cfRule>
  </conditionalFormatting>
  <conditionalFormatting sqref="M25:M26">
    <cfRule type="containsText" dxfId="5" priority="35" operator="containsText" text="ADMITIDO">
      <formula>NOT(ISERROR(SEARCH("ADMITIDO",M25)))</formula>
    </cfRule>
    <cfRule type="containsText" dxfId="4" priority="36" operator="containsText" text="NO">
      <formula>NOT(ISERROR(SEARCH("NO",M25)))</formula>
    </cfRule>
  </conditionalFormatting>
  <conditionalFormatting sqref="J6:J8 M6:M10">
    <cfRule type="containsText" dxfId="3" priority="14" operator="containsText" text="ADMITIDO">
      <formula>NOT(ISERROR(SEARCH("ADMITIDO",J6)))</formula>
    </cfRule>
    <cfRule type="containsText" dxfId="2" priority="15" operator="containsText" text="NO">
      <formula>NOT(ISERROR(SEARCH("NO",J6)))</formula>
    </cfRule>
  </conditionalFormatting>
  <conditionalFormatting sqref="J9:J10">
    <cfRule type="containsText" dxfId="1" priority="12" operator="containsText" text="ADMITIDO">
      <formula>NOT(ISERROR(SEARCH("ADMITIDO",J9)))</formula>
    </cfRule>
    <cfRule type="containsText" dxfId="0" priority="13" operator="containsText" text="NO">
      <formula>NOT(ISERROR(SEARCH("NO",J9)))</formula>
    </cfRule>
  </conditionalFormatting>
  <pageMargins left="0.7" right="0.7" top="0.75" bottom="0.75" header="0.3" footer="0.3"/>
  <pageSetup scale="40" orientation="portrait" r:id="rId1"/>
  <colBreaks count="1" manualBreakCount="1">
    <brk id="10" min="1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9"/>
  <dimension ref="A1:H11"/>
  <sheetViews>
    <sheetView zoomScale="50" zoomScaleNormal="50" workbookViewId="0">
      <selection sqref="A1:H1"/>
    </sheetView>
  </sheetViews>
  <sheetFormatPr baseColWidth="10" defaultRowHeight="15" x14ac:dyDescent="0.25"/>
  <cols>
    <col min="1" max="1" width="6.28515625" customWidth="1"/>
    <col min="2" max="2" width="30.28515625" customWidth="1"/>
    <col min="3" max="3" width="30.140625" customWidth="1"/>
    <col min="4" max="4" width="38.28515625" customWidth="1"/>
    <col min="5" max="5" width="38.7109375" hidden="1" customWidth="1"/>
    <col min="6" max="6" width="46.42578125" hidden="1" customWidth="1"/>
    <col min="7" max="7" width="40.7109375" hidden="1" customWidth="1"/>
    <col min="8" max="8" width="54" customWidth="1"/>
    <col min="9" max="9" width="23.7109375" customWidth="1"/>
  </cols>
  <sheetData>
    <row r="1" spans="1:8" ht="252.6" customHeight="1" thickBot="1" x14ac:dyDescent="0.3">
      <c r="A1" s="414" t="s">
        <v>103</v>
      </c>
      <c r="B1" s="415"/>
      <c r="C1" s="415"/>
      <c r="D1" s="415"/>
      <c r="E1" s="415"/>
      <c r="F1" s="415"/>
      <c r="G1" s="415"/>
      <c r="H1" s="416"/>
    </row>
    <row r="2" spans="1:8" ht="28.9" customHeight="1" x14ac:dyDescent="0.25">
      <c r="A2" s="408" t="s">
        <v>107</v>
      </c>
      <c r="B2" s="409"/>
      <c r="C2" s="409"/>
      <c r="D2" s="409"/>
      <c r="E2" s="409"/>
      <c r="F2" s="409"/>
      <c r="G2" s="409"/>
      <c r="H2" s="410"/>
    </row>
    <row r="3" spans="1:8" ht="61.9" customHeight="1" thickBot="1" x14ac:dyDescent="0.3">
      <c r="A3" s="411"/>
      <c r="B3" s="412"/>
      <c r="C3" s="412"/>
      <c r="D3" s="412"/>
      <c r="E3" s="412"/>
      <c r="F3" s="412"/>
      <c r="G3" s="412"/>
      <c r="H3" s="413"/>
    </row>
    <row r="4" spans="1:8" ht="72.599999999999994" customHeight="1" thickBot="1" x14ac:dyDescent="0.3">
      <c r="A4" s="103" t="s">
        <v>1</v>
      </c>
      <c r="B4" s="118" t="s">
        <v>2</v>
      </c>
      <c r="C4" s="118" t="s">
        <v>51</v>
      </c>
      <c r="D4" s="104" t="s">
        <v>53</v>
      </c>
      <c r="E4" s="105" t="s">
        <v>88</v>
      </c>
      <c r="F4" s="105" t="s">
        <v>59</v>
      </c>
      <c r="G4" s="106" t="s">
        <v>60</v>
      </c>
      <c r="H4" s="107" t="s">
        <v>52</v>
      </c>
    </row>
    <row r="5" spans="1:8" ht="101.45" hidden="1" customHeight="1" thickBot="1" x14ac:dyDescent="0.3">
      <c r="A5" s="117">
        <v>9</v>
      </c>
      <c r="B5" s="180" t="s">
        <v>78</v>
      </c>
      <c r="C5" s="187" t="s">
        <v>81</v>
      </c>
      <c r="D5" s="188"/>
      <c r="E5" s="422"/>
      <c r="F5" s="417"/>
      <c r="G5" s="418"/>
      <c r="H5" s="189">
        <v>0</v>
      </c>
    </row>
    <row r="6" spans="1:8" ht="101.45" customHeight="1" thickBot="1" x14ac:dyDescent="0.3">
      <c r="A6" s="117">
        <v>1</v>
      </c>
      <c r="B6" s="183" t="s">
        <v>82</v>
      </c>
      <c r="C6" s="190" t="s">
        <v>63</v>
      </c>
      <c r="D6" s="191">
        <f>'VERIFICA - ARITMETICA'!L21</f>
        <v>247226285.5</v>
      </c>
      <c r="E6" s="422"/>
      <c r="F6" s="417"/>
      <c r="G6" s="418"/>
      <c r="H6" s="189">
        <v>59.75</v>
      </c>
    </row>
    <row r="7" spans="1:8" ht="55.9" customHeight="1" thickBot="1" x14ac:dyDescent="0.3">
      <c r="A7" s="419" t="s">
        <v>108</v>
      </c>
      <c r="B7" s="420"/>
      <c r="C7" s="420"/>
      <c r="D7" s="420"/>
      <c r="E7" s="420"/>
      <c r="F7" s="420"/>
      <c r="G7" s="420"/>
      <c r="H7" s="421"/>
    </row>
    <row r="8" spans="1:8" ht="100.9" customHeight="1" x14ac:dyDescent="0.25"/>
    <row r="9" spans="1:8" x14ac:dyDescent="0.25">
      <c r="B9" s="1"/>
      <c r="C9" s="1"/>
      <c r="D9" s="1"/>
      <c r="E9" s="379" t="s">
        <v>57</v>
      </c>
      <c r="F9" s="379"/>
      <c r="G9" s="119"/>
    </row>
    <row r="10" spans="1:8" x14ac:dyDescent="0.25">
      <c r="B10" s="186" t="s">
        <v>106</v>
      </c>
      <c r="C10" s="1"/>
      <c r="D10" s="1"/>
      <c r="E10" s="364" t="s">
        <v>55</v>
      </c>
      <c r="F10" s="364"/>
      <c r="G10" s="119"/>
    </row>
    <row r="11" spans="1:8" x14ac:dyDescent="0.25">
      <c r="B11" s="1"/>
      <c r="C11" s="1"/>
      <c r="D11" s="1"/>
      <c r="E11" s="364" t="s">
        <v>56</v>
      </c>
      <c r="F11" s="364"/>
    </row>
  </sheetData>
  <mergeCells count="9">
    <mergeCell ref="E9:F9"/>
    <mergeCell ref="E10:F10"/>
    <mergeCell ref="E11:F11"/>
    <mergeCell ref="A2:H3"/>
    <mergeCell ref="A1:H1"/>
    <mergeCell ref="F5:F6"/>
    <mergeCell ref="G5:G6"/>
    <mergeCell ref="A7:H7"/>
    <mergeCell ref="E5:E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H33" sqref="A32:H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EJ -CAPACIDAD RESIDUAL</vt:lpstr>
      <vt:lpstr>VERIFICA - ARITMETICA</vt:lpstr>
      <vt:lpstr>EVALUA - ECONOMICA</vt:lpstr>
      <vt:lpstr>Hoja1</vt:lpstr>
      <vt:lpstr>'VERIFICA - ARITMETICA'!Área_de_impresión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PC-ING</dc:creator>
  <cp:lastModifiedBy>Whanda Saurina</cp:lastModifiedBy>
  <cp:lastPrinted>2022-04-18T14:48:51Z</cp:lastPrinted>
  <dcterms:created xsi:type="dcterms:W3CDTF">2018-03-15T13:26:08Z</dcterms:created>
  <dcterms:modified xsi:type="dcterms:W3CDTF">2023-10-23T15:47:40Z</dcterms:modified>
</cp:coreProperties>
</file>