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apoyo.contratacion1\Downloads\"/>
    </mc:Choice>
  </mc:AlternateContent>
  <xr:revisionPtr revIDLastSave="0" documentId="8_{2CD204E7-E0D3-47D4-A386-7FA8B87CFB65}" xr6:coauthVersionLast="47" xr6:coauthVersionMax="47" xr10:uidLastSave="{00000000-0000-0000-0000-000000000000}"/>
  <bookViews>
    <workbookView xWindow="-120" yWindow="-120" windowWidth="29040" windowHeight="15720" firstSheet="2" activeTab="2" xr2:uid="{00000000-000D-0000-FFFF-FFFF00000000}"/>
  </bookViews>
  <sheets>
    <sheet name="PRESUPUESTO FINAL" sheetId="5" state="hidden" r:id="rId1"/>
    <sheet name="INTERVENTORIA" sheetId="2" state="hidden" r:id="rId2"/>
    <sheet name="PRESUPUESTO  CONSULTORIA " sheetId="42" r:id="rId3"/>
    <sheet name="PRESUPUESTO DEFINITIVO" sheetId="12" state="hidden" r:id="rId4"/>
    <sheet name="PROGRAMACION FINAL" sheetId="19" state="hidden" r:id="rId5"/>
    <sheet name="PRESUPUESTO INTERVENTORIA" sheetId="20" state="hidden" r:id="rId6"/>
    <sheet name="PRESUPUESTO MODIFICADO" sheetId="21" state="hidden" r:id="rId7"/>
    <sheet name="PRESUPUESTO MODIFICADO (2)" sheetId="22" state="hidden" r:id="rId8"/>
    <sheet name="CADENA DE VALOR" sheetId="23" state="hidden" r:id="rId9"/>
    <sheet name="ANALISIS UNITARIOS (2)" sheetId="29" state="hidden" r:id="rId10"/>
    <sheet name="ANALISIS UNITARIOS (3)" sheetId="31" state="hidden" r:id="rId11"/>
    <sheet name="FACTOR MULTIP " sheetId="43" r:id="rId12"/>
    <sheet name="FACTOR MULTIPLICADOR" sheetId="27" state="hidden" r:id="rId13"/>
    <sheet name="CADENA DE VALOR-ACTIVIDADES (2" sheetId="25" state="hidden" r:id="rId14"/>
    <sheet name="PRESUPUESTO FINAL (3)" sheetId="14" state="hidden" r:id="rId15"/>
    <sheet name="PROGRAMACION (2)" sheetId="15" state="hidden" r:id="rId16"/>
    <sheet name="INTERVENTORIA (2)" sheetId="16" state="hidden" r:id="rId17"/>
    <sheet name="FM (2)" sheetId="17" state="hidden" r:id="rId18"/>
    <sheet name="PUBLICACION INFORMACION (2)" sheetId="18" state="hidden" r:id="rId19"/>
  </sheets>
  <externalReferences>
    <externalReference r:id="rId20"/>
    <externalReference r:id="rId21"/>
    <externalReference r:id="rId22"/>
    <externalReference r:id="rId23"/>
    <externalReference r:id="rId24"/>
  </externalReferences>
  <definedNames>
    <definedName name="_xlnm.Print_Area" localSheetId="12">'FACTOR MULTIPLICADOR'!$A$1:$I$52</definedName>
    <definedName name="_xlnm.Print_Area" localSheetId="2">'PRESUPUESTO  CONSULTORIA '!$A$1:$M$45</definedName>
    <definedName name="_xlnm.Print_Area" localSheetId="3">'PRESUPUESTO DEFINITIVO'!$D$3:$P$36</definedName>
    <definedName name="_xlnm.Print_Area" localSheetId="0">'PRESUPUESTO FINAL'!$A$2:$K$63</definedName>
    <definedName name="_xlnm.Print_Area" localSheetId="14">'PRESUPUESTO FINAL (3)'!$A$2:$K$63</definedName>
    <definedName name="_xlnm.Print_Area" localSheetId="5">'PRESUPUESTO INTERVENTORIA'!$A$1:$W$45</definedName>
    <definedName name="_xlnm.Print_Area" localSheetId="4">'PROGRAMACION FINAL'!$D$2:$R$31</definedName>
    <definedName name="inf" localSheetId="9">#REF!</definedName>
    <definedName name="inf" localSheetId="10">#REF!</definedName>
    <definedName name="inf" localSheetId="2">#REF!</definedName>
    <definedName name="inf">#REF!</definedName>
    <definedName name="_xlnm.Print_Titles" localSheetId="9">'ANALISIS UNITARIOS (2)'!$1:$4</definedName>
    <definedName name="_xlnm.Print_Titles" localSheetId="10">'ANALISIS UNITARIOS (3)'!$1:$6</definedName>
    <definedName name="_xlnm.Print_Titles" localSheetId="2">'PRESUPUESTO  CONSULTORIA '!$1:$3</definedName>
    <definedName name="_xlnm.Print_Titles" localSheetId="5">'PRESUPUESTO INTERVENTORIA'!$1:$3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42" l="1"/>
  <c r="L24" i="43"/>
  <c r="L21" i="43"/>
  <c r="L9" i="43"/>
  <c r="L6" i="43" s="1"/>
  <c r="L14" i="43"/>
  <c r="G34" i="42"/>
  <c r="L34" i="42"/>
  <c r="G35" i="42"/>
  <c r="L35" i="42"/>
  <c r="L33" i="42"/>
  <c r="G33" i="42"/>
  <c r="L32" i="42"/>
  <c r="G32" i="42"/>
  <c r="M32" i="42" s="1"/>
  <c r="L31" i="42"/>
  <c r="L4" i="43"/>
  <c r="M34" i="42" l="1"/>
  <c r="H34" i="43"/>
  <c r="L34" i="43" s="1"/>
  <c r="M35" i="42"/>
  <c r="M31" i="42"/>
  <c r="M33" i="42"/>
  <c r="L30" i="42" l="1"/>
  <c r="G30" i="42"/>
  <c r="L20" i="42"/>
  <c r="M30" i="42" l="1"/>
  <c r="M37" i="42" s="1"/>
  <c r="L19" i="42"/>
  <c r="L8" i="42"/>
  <c r="L9" i="42"/>
  <c r="L10" i="42"/>
  <c r="L11" i="42"/>
  <c r="L12" i="42"/>
  <c r="L7" i="42"/>
  <c r="G11" i="42"/>
  <c r="G12" i="42"/>
  <c r="G9" i="42"/>
  <c r="M11" i="42" l="1"/>
  <c r="M12" i="42"/>
  <c r="M9" i="42"/>
  <c r="G19" i="42" l="1"/>
  <c r="G20" i="42"/>
  <c r="M20" i="42" s="1"/>
  <c r="G52" i="42"/>
  <c r="O41" i="42"/>
  <c r="G16" i="42"/>
  <c r="F16" i="42"/>
  <c r="E16" i="42"/>
  <c r="G10" i="42"/>
  <c r="G8" i="42"/>
  <c r="G7" i="42"/>
  <c r="M7" i="42" s="1"/>
  <c r="M19" i="42" l="1"/>
  <c r="M22" i="42" s="1"/>
  <c r="M8" i="42"/>
  <c r="M10" i="42"/>
  <c r="M14" i="42" l="1"/>
  <c r="N19" i="42"/>
  <c r="N30" i="42"/>
  <c r="M24" i="42" l="1"/>
  <c r="N12" i="42"/>
  <c r="N10" i="42"/>
  <c r="N22" i="42" l="1"/>
  <c r="N14" i="42" s="1"/>
  <c r="M39" i="42"/>
  <c r="M40" i="42" s="1"/>
  <c r="M41" i="42" l="1"/>
  <c r="N37" i="42"/>
  <c r="O37" i="42" s="1"/>
  <c r="N24" i="42"/>
  <c r="O24" i="42" s="1"/>
  <c r="O22" i="42" s="1"/>
  <c r="O19" i="42" s="1"/>
  <c r="O14" i="42" l="1"/>
  <c r="O30" i="42"/>
  <c r="O12" i="42"/>
  <c r="O10" i="42" l="1"/>
  <c r="I72" i="29" l="1"/>
  <c r="I74" i="29"/>
  <c r="I75" i="29"/>
  <c r="L75" i="29"/>
  <c r="I20" i="29"/>
  <c r="J20" i="29" s="1"/>
  <c r="I18" i="29"/>
  <c r="J18" i="29" s="1"/>
  <c r="I19" i="29"/>
  <c r="J19" i="29" s="1"/>
  <c r="G9" i="31"/>
  <c r="J9" i="31" s="1"/>
  <c r="K9" i="31" s="1"/>
  <c r="F65" i="29"/>
  <c r="G17" i="31"/>
  <c r="J17" i="31" s="1"/>
  <c r="G13" i="31"/>
  <c r="J13" i="31" s="1"/>
  <c r="K13" i="31" s="1"/>
  <c r="G25" i="31"/>
  <c r="J25" i="31" s="1"/>
  <c r="G26" i="31"/>
  <c r="J26" i="31" s="1"/>
  <c r="G27" i="31"/>
  <c r="J27" i="31" s="1"/>
  <c r="G29" i="31"/>
  <c r="J29" i="31" s="1"/>
  <c r="K29" i="31" s="1"/>
  <c r="G30" i="31"/>
  <c r="J30" i="31" s="1"/>
  <c r="K30" i="31" s="1"/>
  <c r="G31" i="31"/>
  <c r="J31" i="31" s="1"/>
  <c r="K31" i="31" s="1"/>
  <c r="G32" i="31"/>
  <c r="J32" i="31" s="1"/>
  <c r="K32" i="31" s="1"/>
  <c r="G21" i="31"/>
  <c r="J21" i="31" s="1"/>
  <c r="K21" i="31" s="1"/>
  <c r="F10" i="31"/>
  <c r="E10" i="31"/>
  <c r="D10" i="31"/>
  <c r="A10" i="31"/>
  <c r="F9" i="31"/>
  <c r="E9" i="31"/>
  <c r="D9" i="31"/>
  <c r="A9" i="31"/>
  <c r="F8" i="31"/>
  <c r="E8" i="31"/>
  <c r="D8" i="31"/>
  <c r="A8" i="31"/>
  <c r="E7" i="31"/>
  <c r="A7" i="31"/>
  <c r="I62" i="29"/>
  <c r="L62" i="29" s="1"/>
  <c r="M62" i="29" s="1"/>
  <c r="N62" i="29" s="1"/>
  <c r="F62" i="29"/>
  <c r="F54" i="29"/>
  <c r="I54" i="29"/>
  <c r="F7" i="31"/>
  <c r="D7" i="31"/>
  <c r="I5" i="29"/>
  <c r="L5" i="29" s="1"/>
  <c r="I6" i="29"/>
  <c r="L6" i="29" s="1"/>
  <c r="I7" i="29"/>
  <c r="L7" i="29" s="1"/>
  <c r="I8" i="29"/>
  <c r="J8" i="29" s="1"/>
  <c r="I9" i="29"/>
  <c r="L9" i="29" s="1"/>
  <c r="I10" i="29"/>
  <c r="L10" i="29" s="1"/>
  <c r="I11" i="29"/>
  <c r="L11" i="29" s="1"/>
  <c r="I12" i="29"/>
  <c r="L12" i="29" s="1"/>
  <c r="I13" i="29"/>
  <c r="L13" i="29" s="1"/>
  <c r="I14" i="29"/>
  <c r="J14" i="29" s="1"/>
  <c r="L14" i="29" s="1"/>
  <c r="I16" i="29"/>
  <c r="L16" i="29" s="1"/>
  <c r="I17" i="29"/>
  <c r="J17" i="29" s="1"/>
  <c r="I22" i="29"/>
  <c r="L22" i="29" s="1"/>
  <c r="M22" i="29" s="1"/>
  <c r="A12" i="31"/>
  <c r="A11" i="31"/>
  <c r="H21" i="31"/>
  <c r="A21" i="31"/>
  <c r="H17" i="31"/>
  <c r="A17" i="31"/>
  <c r="A13" i="31"/>
  <c r="I37" i="29"/>
  <c r="J37" i="29" s="1"/>
  <c r="F27" i="29"/>
  <c r="I30" i="29"/>
  <c r="J30" i="29" s="1"/>
  <c r="F30" i="29"/>
  <c r="F17" i="29"/>
  <c r="F8" i="29"/>
  <c r="I52" i="29"/>
  <c r="J52" i="29" s="1"/>
  <c r="L52" i="29" s="1"/>
  <c r="I51" i="29"/>
  <c r="J51" i="29" s="1"/>
  <c r="L51" i="29" s="1"/>
  <c r="I50" i="29"/>
  <c r="J50" i="29" s="1"/>
  <c r="L50" i="29" s="1"/>
  <c r="I49" i="29"/>
  <c r="J49" i="29" s="1"/>
  <c r="L49" i="29" s="1"/>
  <c r="I48" i="29"/>
  <c r="J48" i="29" s="1"/>
  <c r="L48" i="29" s="1"/>
  <c r="M48" i="29" s="1"/>
  <c r="N48" i="29" s="1"/>
  <c r="I47" i="29"/>
  <c r="I46" i="29"/>
  <c r="J46" i="29" s="1"/>
  <c r="L46" i="29" s="1"/>
  <c r="I45" i="29"/>
  <c r="J45" i="29" s="1"/>
  <c r="L45" i="29" s="1"/>
  <c r="I44" i="29"/>
  <c r="J44" i="29" s="1"/>
  <c r="L44" i="29" s="1"/>
  <c r="M44" i="29" s="1"/>
  <c r="N44" i="29" s="1"/>
  <c r="I43" i="29"/>
  <c r="J43" i="29" s="1"/>
  <c r="L43" i="29" s="1"/>
  <c r="I42" i="29"/>
  <c r="J42" i="29" s="1"/>
  <c r="L42" i="29" s="1"/>
  <c r="I41" i="29"/>
  <c r="J41" i="29" s="1"/>
  <c r="L41" i="29" s="1"/>
  <c r="I40" i="29"/>
  <c r="J40" i="29" s="1"/>
  <c r="L40" i="29" s="1"/>
  <c r="M40" i="29" s="1"/>
  <c r="N40" i="29" s="1"/>
  <c r="I39" i="29"/>
  <c r="J39" i="29" s="1"/>
  <c r="L39" i="29" s="1"/>
  <c r="I38" i="29"/>
  <c r="J38" i="29" s="1"/>
  <c r="L38" i="29" s="1"/>
  <c r="M38" i="29" s="1"/>
  <c r="F75" i="29"/>
  <c r="I89" i="29"/>
  <c r="J89" i="29" s="1"/>
  <c r="F89" i="29"/>
  <c r="F85" i="29"/>
  <c r="F86" i="29"/>
  <c r="F84" i="29"/>
  <c r="F81" i="29"/>
  <c r="F78" i="29"/>
  <c r="F77" i="29"/>
  <c r="F76" i="29"/>
  <c r="F74" i="29"/>
  <c r="I66" i="29"/>
  <c r="J66" i="29" s="1"/>
  <c r="F53" i="29"/>
  <c r="J47" i="29"/>
  <c r="L47" i="29" s="1"/>
  <c r="J75" i="29"/>
  <c r="F16" i="29"/>
  <c r="F15" i="29"/>
  <c r="F14" i="29"/>
  <c r="F7" i="29"/>
  <c r="F6" i="29"/>
  <c r="F5" i="29"/>
  <c r="J6" i="29"/>
  <c r="I56" i="29"/>
  <c r="J56" i="29" s="1"/>
  <c r="I68" i="29"/>
  <c r="I55" i="29"/>
  <c r="I64" i="29"/>
  <c r="L64" i="29" s="1"/>
  <c r="M64" i="29" s="1"/>
  <c r="I45" i="27"/>
  <c r="I36" i="27"/>
  <c r="I28" i="27"/>
  <c r="I11" i="27"/>
  <c r="I13" i="27" s="1"/>
  <c r="I10" i="27"/>
  <c r="T10" i="25"/>
  <c r="T19" i="25"/>
  <c r="U19" i="25"/>
  <c r="V19" i="25"/>
  <c r="W19" i="25"/>
  <c r="T18" i="25"/>
  <c r="U18" i="25"/>
  <c r="V18" i="25"/>
  <c r="W18" i="25"/>
  <c r="T17" i="25"/>
  <c r="U17" i="25"/>
  <c r="V17" i="25"/>
  <c r="W17" i="25"/>
  <c r="R17" i="25"/>
  <c r="R19" i="25"/>
  <c r="T16" i="25"/>
  <c r="U16" i="25"/>
  <c r="V16" i="25"/>
  <c r="W16" i="25"/>
  <c r="T15" i="25"/>
  <c r="U15" i="25"/>
  <c r="V15" i="25"/>
  <c r="W15" i="25"/>
  <c r="T14" i="25"/>
  <c r="U14" i="25"/>
  <c r="V14" i="25"/>
  <c r="W14" i="25"/>
  <c r="T13" i="25"/>
  <c r="U13" i="25"/>
  <c r="V13" i="25"/>
  <c r="W13" i="25"/>
  <c r="T12" i="25"/>
  <c r="U12" i="25"/>
  <c r="V12" i="25"/>
  <c r="W12" i="25"/>
  <c r="T11" i="25"/>
  <c r="V11" i="25"/>
  <c r="S10" i="25"/>
  <c r="U10" i="25"/>
  <c r="W10" i="25"/>
  <c r="T9" i="25"/>
  <c r="U9" i="25"/>
  <c r="V9" i="25"/>
  <c r="T8" i="25"/>
  <c r="U8" i="25"/>
  <c r="V8" i="25"/>
  <c r="W8" i="25"/>
  <c r="T7" i="25"/>
  <c r="U7" i="25"/>
  <c r="V7" i="25"/>
  <c r="U6" i="25"/>
  <c r="V6" i="25"/>
  <c r="U5" i="25"/>
  <c r="V5" i="25"/>
  <c r="Y22" i="25"/>
  <c r="Y21" i="25"/>
  <c r="C17" i="25"/>
  <c r="AI14" i="25"/>
  <c r="J13" i="25"/>
  <c r="R13" i="25" s="1"/>
  <c r="O11" i="25"/>
  <c r="W11" i="25" s="1"/>
  <c r="N10" i="25"/>
  <c r="V10" i="25" s="1"/>
  <c r="C5" i="25"/>
  <c r="B5" i="25"/>
  <c r="C17" i="23"/>
  <c r="C5" i="23"/>
  <c r="B5" i="23"/>
  <c r="O17" i="23"/>
  <c r="L17" i="23"/>
  <c r="K17" i="23"/>
  <c r="J17" i="23"/>
  <c r="O12" i="23"/>
  <c r="L12" i="23"/>
  <c r="K12" i="23"/>
  <c r="J12" i="23"/>
  <c r="O9" i="23"/>
  <c r="N9" i="23"/>
  <c r="L9" i="23"/>
  <c r="K9" i="23"/>
  <c r="J9" i="23"/>
  <c r="O5" i="23"/>
  <c r="M5" i="23"/>
  <c r="L5" i="23"/>
  <c r="K5" i="23"/>
  <c r="J5" i="23"/>
  <c r="N12" i="22"/>
  <c r="K12" i="22"/>
  <c r="J12" i="22"/>
  <c r="I12" i="22"/>
  <c r="N17" i="22"/>
  <c r="K17" i="22"/>
  <c r="J17" i="22"/>
  <c r="I17" i="22"/>
  <c r="M9" i="22"/>
  <c r="N9" i="22"/>
  <c r="K9" i="22"/>
  <c r="J9" i="22"/>
  <c r="I9" i="22"/>
  <c r="N5" i="22"/>
  <c r="L5" i="22"/>
  <c r="K5" i="22"/>
  <c r="J5" i="22"/>
  <c r="I5" i="22"/>
  <c r="N10" i="21"/>
  <c r="M8" i="21"/>
  <c r="O9" i="25"/>
  <c r="W9" i="25" s="1"/>
  <c r="M11" i="25"/>
  <c r="U11" i="25" s="1"/>
  <c r="L6" i="25"/>
  <c r="T6" i="25" s="1"/>
  <c r="L5" i="25"/>
  <c r="T5" i="25" s="1"/>
  <c r="O5" i="21"/>
  <c r="L15" i="21"/>
  <c r="L12" i="21"/>
  <c r="L5" i="21"/>
  <c r="L9" i="21"/>
  <c r="O9" i="21"/>
  <c r="O12" i="21"/>
  <c r="O11" i="21"/>
  <c r="O13" i="21"/>
  <c r="O14" i="21"/>
  <c r="O6" i="21"/>
  <c r="Y41" i="20"/>
  <c r="W43" i="20"/>
  <c r="Y40" i="20" s="1"/>
  <c r="Y39" i="20" s="1"/>
  <c r="AA45" i="20"/>
  <c r="AA46" i="20"/>
  <c r="Z19" i="20"/>
  <c r="W18" i="20" s="1"/>
  <c r="Z26" i="20"/>
  <c r="W23" i="20" s="1"/>
  <c r="V37" i="20"/>
  <c r="Z41" i="20"/>
  <c r="AC45" i="20"/>
  <c r="K31" i="12"/>
  <c r="Q31" i="12" s="1"/>
  <c r="R31" i="12" s="1"/>
  <c r="O30" i="12"/>
  <c r="K30" i="12"/>
  <c r="O29" i="12"/>
  <c r="K29" i="12"/>
  <c r="O28" i="12"/>
  <c r="K28" i="12"/>
  <c r="O27" i="12"/>
  <c r="K27" i="12"/>
  <c r="O26" i="12"/>
  <c r="K26" i="12"/>
  <c r="O25" i="12"/>
  <c r="K25" i="12"/>
  <c r="O24" i="12"/>
  <c r="Q24" i="12" s="1"/>
  <c r="R24" i="12" s="1"/>
  <c r="O23" i="12"/>
  <c r="K23" i="12"/>
  <c r="K22" i="12"/>
  <c r="Q22" i="12" s="1"/>
  <c r="K32" i="12"/>
  <c r="P34" i="12"/>
  <c r="Q34" i="12" s="1"/>
  <c r="R34" i="12" s="1"/>
  <c r="M33" i="12"/>
  <c r="Q33" i="12" s="1"/>
  <c r="R33" i="12" s="1"/>
  <c r="K21" i="12"/>
  <c r="Q21" i="12" s="1"/>
  <c r="R21" i="12" s="1"/>
  <c r="P20" i="12"/>
  <c r="L20" i="12"/>
  <c r="K20" i="12"/>
  <c r="O19" i="12"/>
  <c r="Q19" i="12" s="1"/>
  <c r="R19" i="12" s="1"/>
  <c r="O18" i="12"/>
  <c r="L18" i="12"/>
  <c r="K18" i="12"/>
  <c r="G56" i="20"/>
  <c r="AC41" i="20"/>
  <c r="V39" i="20"/>
  <c r="V38" i="20"/>
  <c r="N34" i="20"/>
  <c r="O34" i="20" s="1"/>
  <c r="P34" i="20" s="1"/>
  <c r="Q34" i="20" s="1"/>
  <c r="R34" i="20" s="1"/>
  <c r="S34" i="20" s="1"/>
  <c r="T34" i="20" s="1"/>
  <c r="U34" i="20" s="1"/>
  <c r="V26" i="20"/>
  <c r="V25" i="20"/>
  <c r="V24" i="20"/>
  <c r="V23" i="20"/>
  <c r="O21" i="20"/>
  <c r="P21" i="20" s="1"/>
  <c r="Q21" i="20" s="1"/>
  <c r="R21" i="20" s="1"/>
  <c r="S21" i="20" s="1"/>
  <c r="T21" i="20" s="1"/>
  <c r="U21" i="20" s="1"/>
  <c r="G20" i="20"/>
  <c r="F20" i="20"/>
  <c r="E20" i="20"/>
  <c r="V15" i="20"/>
  <c r="V14" i="20"/>
  <c r="V11" i="20"/>
  <c r="F11" i="20"/>
  <c r="F23" i="20" s="1"/>
  <c r="V8" i="20"/>
  <c r="AF7" i="20"/>
  <c r="H9" i="18"/>
  <c r="H8" i="18"/>
  <c r="H7" i="18"/>
  <c r="H6" i="18"/>
  <c r="C5" i="17"/>
  <c r="C11" i="17" s="1"/>
  <c r="A1" i="17"/>
  <c r="H16" i="16"/>
  <c r="H17" i="16" s="1"/>
  <c r="E7" i="16"/>
  <c r="H7" i="16" s="1"/>
  <c r="H6" i="16"/>
  <c r="A3" i="16"/>
  <c r="D53" i="15"/>
  <c r="D50" i="15"/>
  <c r="D47" i="15"/>
  <c r="D35" i="15"/>
  <c r="D27" i="15"/>
  <c r="D24" i="15"/>
  <c r="D21" i="15"/>
  <c r="D9" i="15"/>
  <c r="D58" i="15" s="1"/>
  <c r="E47" i="15" s="1"/>
  <c r="B8" i="15"/>
  <c r="I5" i="15"/>
  <c r="A3" i="15"/>
  <c r="E42" i="14"/>
  <c r="K37" i="14"/>
  <c r="H5" i="14"/>
  <c r="H42" i="14" s="1"/>
  <c r="J39" i="14"/>
  <c r="K24" i="14"/>
  <c r="I7" i="14"/>
  <c r="I42" i="14" s="1"/>
  <c r="I39" i="14"/>
  <c r="I84" i="29"/>
  <c r="G7" i="14"/>
  <c r="F18" i="14"/>
  <c r="L18" i="14" s="1"/>
  <c r="I33" i="29"/>
  <c r="J33" i="29" s="1"/>
  <c r="I25" i="29"/>
  <c r="I28" i="29"/>
  <c r="I81" i="29"/>
  <c r="L81" i="29" s="1"/>
  <c r="M81" i="29" s="1"/>
  <c r="I90" i="29"/>
  <c r="L90" i="29" s="1"/>
  <c r="F9" i="14"/>
  <c r="L9" i="14" s="1"/>
  <c r="I61" i="29"/>
  <c r="J61" i="29" s="1"/>
  <c r="J10" i="21"/>
  <c r="J84" i="29"/>
  <c r="L84" i="29"/>
  <c r="M84" i="29" s="1"/>
  <c r="I31" i="29"/>
  <c r="L31" i="29" s="1"/>
  <c r="M31" i="29" s="1"/>
  <c r="I86" i="29"/>
  <c r="L86" i="29" s="1"/>
  <c r="M86" i="29" s="1"/>
  <c r="N86" i="29" s="1"/>
  <c r="I67" i="29"/>
  <c r="J67" i="29" s="1"/>
  <c r="I87" i="29"/>
  <c r="L87" i="29" s="1"/>
  <c r="I82" i="29"/>
  <c r="J82" i="29" s="1"/>
  <c r="I79" i="29"/>
  <c r="I58" i="29"/>
  <c r="J58" i="29" s="1"/>
  <c r="I77" i="29"/>
  <c r="J77" i="29" s="1"/>
  <c r="I85" i="29"/>
  <c r="I78" i="29"/>
  <c r="L78" i="29" s="1"/>
  <c r="M78" i="29" s="1"/>
  <c r="N78" i="29" s="1"/>
  <c r="L25" i="29"/>
  <c r="J25" i="29"/>
  <c r="I57" i="29"/>
  <c r="L57" i="29" s="1"/>
  <c r="M57" i="29" s="1"/>
  <c r="N57" i="29" s="1"/>
  <c r="I26" i="29"/>
  <c r="J26" i="29" s="1"/>
  <c r="I35" i="29"/>
  <c r="L35" i="29" s="1"/>
  <c r="M35" i="29" s="1"/>
  <c r="N35" i="29" s="1"/>
  <c r="I27" i="29"/>
  <c r="L27" i="29" s="1"/>
  <c r="M27" i="29" s="1"/>
  <c r="J54" i="29"/>
  <c r="L54" i="29"/>
  <c r="I60" i="29"/>
  <c r="L60" i="29" s="1"/>
  <c r="M60" i="29" s="1"/>
  <c r="N60" i="29" s="1"/>
  <c r="I23" i="29"/>
  <c r="L23" i="29" s="1"/>
  <c r="M23" i="29" s="1"/>
  <c r="N23" i="29" s="1"/>
  <c r="F34" i="14"/>
  <c r="L34" i="14" s="1"/>
  <c r="I34" i="29"/>
  <c r="L34" i="29" s="1"/>
  <c r="M34" i="29" s="1"/>
  <c r="I24" i="29"/>
  <c r="J24" i="29" s="1"/>
  <c r="L24" i="29"/>
  <c r="I59" i="29"/>
  <c r="I29" i="29"/>
  <c r="J29" i="29" s="1"/>
  <c r="I53" i="29"/>
  <c r="L33" i="29"/>
  <c r="M33" i="29" s="1"/>
  <c r="I63" i="29"/>
  <c r="J63" i="29" s="1"/>
  <c r="I36" i="29"/>
  <c r="J36" i="29" s="1"/>
  <c r="F17" i="14"/>
  <c r="L17" i="14" s="1"/>
  <c r="G33" i="14"/>
  <c r="J15" i="25"/>
  <c r="R15" i="25" s="1"/>
  <c r="J8" i="21"/>
  <c r="J8" i="25"/>
  <c r="R8" i="25" s="1"/>
  <c r="J6" i="25"/>
  <c r="R6" i="25" s="1"/>
  <c r="J12" i="25"/>
  <c r="J7" i="25"/>
  <c r="J16" i="25"/>
  <c r="J10" i="25"/>
  <c r="P10" i="25" s="1"/>
  <c r="X10" i="25" s="1"/>
  <c r="J14" i="25"/>
  <c r="R14" i="25" s="1"/>
  <c r="J11" i="25"/>
  <c r="R11" i="25" s="1"/>
  <c r="J7" i="21"/>
  <c r="P7" i="21" s="1"/>
  <c r="K17" i="25"/>
  <c r="P17" i="25" s="1"/>
  <c r="K9" i="25"/>
  <c r="S9" i="25" s="1"/>
  <c r="K19" i="25"/>
  <c r="P19" i="25" s="1"/>
  <c r="K18" i="25"/>
  <c r="S18" i="25" s="1"/>
  <c r="K16" i="25"/>
  <c r="S16" i="25" s="1"/>
  <c r="K8" i="25"/>
  <c r="S8" i="25" s="1"/>
  <c r="K14" i="25"/>
  <c r="S14" i="25" s="1"/>
  <c r="K12" i="25"/>
  <c r="S12" i="25" s="1"/>
  <c r="K13" i="25"/>
  <c r="S13" i="25" s="1"/>
  <c r="K7" i="25"/>
  <c r="S7" i="25" s="1"/>
  <c r="K6" i="25"/>
  <c r="S6" i="25" s="1"/>
  <c r="K5" i="25"/>
  <c r="S5" i="25" s="1"/>
  <c r="K11" i="25"/>
  <c r="S11" i="25" s="1"/>
  <c r="J18" i="25"/>
  <c r="P18" i="25" s="1"/>
  <c r="Y18" i="25" s="1"/>
  <c r="K15" i="25"/>
  <c r="S15" i="25" s="1"/>
  <c r="J5" i="25"/>
  <c r="R5" i="25" s="1"/>
  <c r="K7" i="21"/>
  <c r="J11" i="21"/>
  <c r="P11" i="21" s="1"/>
  <c r="J13" i="21"/>
  <c r="J6" i="21"/>
  <c r="F11" i="14"/>
  <c r="J14" i="21"/>
  <c r="P14" i="21" s="1"/>
  <c r="Q14" i="21" s="1"/>
  <c r="J5" i="21"/>
  <c r="K13" i="21"/>
  <c r="K11" i="21"/>
  <c r="K15" i="21"/>
  <c r="K12" i="21"/>
  <c r="K9" i="21"/>
  <c r="K6" i="21"/>
  <c r="K5" i="21"/>
  <c r="J15" i="21"/>
  <c r="F22" i="14"/>
  <c r="L22" i="14" s="1"/>
  <c r="M21" i="14" s="1"/>
  <c r="H11" i="14"/>
  <c r="F33" i="14"/>
  <c r="L33" i="14" s="1"/>
  <c r="J13" i="14"/>
  <c r="J42" i="14" s="1"/>
  <c r="J14" i="14"/>
  <c r="F15" i="14"/>
  <c r="L15" i="14" s="1"/>
  <c r="J22" i="14"/>
  <c r="K11" i="14"/>
  <c r="F41" i="14"/>
  <c r="F40" i="14"/>
  <c r="G39" i="14"/>
  <c r="G40" i="14"/>
  <c r="F24" i="14"/>
  <c r="F30" i="14"/>
  <c r="F7" i="14"/>
  <c r="L7" i="14" s="1"/>
  <c r="F39" i="14"/>
  <c r="F8" i="14"/>
  <c r="F37" i="14"/>
  <c r="L37" i="14" s="1"/>
  <c r="G24" i="14"/>
  <c r="G5" i="14"/>
  <c r="G42" i="14" s="1"/>
  <c r="G30" i="14"/>
  <c r="G12" i="14"/>
  <c r="G14" i="14"/>
  <c r="G19" i="14"/>
  <c r="G41" i="14"/>
  <c r="G13" i="14"/>
  <c r="G11" i="14"/>
  <c r="K8" i="14"/>
  <c r="K42" i="14" s="1"/>
  <c r="H22" i="14"/>
  <c r="H31" i="14"/>
  <c r="F35" i="14"/>
  <c r="L35" i="14" s="1"/>
  <c r="F6" i="14"/>
  <c r="L6" i="14" s="1"/>
  <c r="F16" i="14"/>
  <c r="L16" i="14" s="1"/>
  <c r="F29" i="14"/>
  <c r="K31" i="14"/>
  <c r="J16" i="14"/>
  <c r="H25" i="14"/>
  <c r="K29" i="14"/>
  <c r="F36" i="14"/>
  <c r="L36" i="14" s="1"/>
  <c r="F20" i="14"/>
  <c r="L20" i="14" s="1"/>
  <c r="K25" i="14"/>
  <c r="H36" i="14"/>
  <c r="I40" i="14"/>
  <c r="F5" i="14"/>
  <c r="L5" i="14" s="1"/>
  <c r="M5" i="14" s="1"/>
  <c r="M42" i="14" s="1"/>
  <c r="F10" i="14"/>
  <c r="L10" i="14" s="1"/>
  <c r="F12" i="14"/>
  <c r="H20" i="14"/>
  <c r="J40" i="14"/>
  <c r="J5" i="29"/>
  <c r="L58" i="29"/>
  <c r="M58" i="29" s="1"/>
  <c r="F19" i="14"/>
  <c r="L19" i="14" s="1"/>
  <c r="F28" i="14"/>
  <c r="L28" i="14" s="1"/>
  <c r="F13" i="14"/>
  <c r="L13" i="14" s="1"/>
  <c r="L67" i="29"/>
  <c r="M67" i="29" s="1"/>
  <c r="F38" i="14"/>
  <c r="L38" i="14" s="1"/>
  <c r="M54" i="29"/>
  <c r="N54" i="29" s="1"/>
  <c r="J9" i="25"/>
  <c r="P9" i="25" s="1"/>
  <c r="X9" i="25" s="1"/>
  <c r="I32" i="29"/>
  <c r="J32" i="29" s="1"/>
  <c r="J34" i="29"/>
  <c r="F23" i="14"/>
  <c r="L23" i="14" s="1"/>
  <c r="J7" i="29"/>
  <c r="L53" i="29"/>
  <c r="M53" i="29" s="1"/>
  <c r="J53" i="29"/>
  <c r="J22" i="29"/>
  <c r="L29" i="29"/>
  <c r="M29" i="29" s="1"/>
  <c r="J27" i="29"/>
  <c r="J59" i="29"/>
  <c r="L59" i="29"/>
  <c r="M59" i="29" s="1"/>
  <c r="M24" i="29"/>
  <c r="R10" i="25"/>
  <c r="R16" i="25"/>
  <c r="P16" i="25"/>
  <c r="X16" i="25" s="1"/>
  <c r="P13" i="25"/>
  <c r="Y13" i="25" s="1"/>
  <c r="R7" i="25"/>
  <c r="P12" i="25"/>
  <c r="Q12" i="25" s="1"/>
  <c r="Z14" i="25" s="1"/>
  <c r="R12" i="25"/>
  <c r="R18" i="25"/>
  <c r="P5" i="21"/>
  <c r="F31" i="14"/>
  <c r="L31" i="14" s="1"/>
  <c r="J9" i="21"/>
  <c r="P9" i="21" s="1"/>
  <c r="J12" i="21"/>
  <c r="P12" i="21" s="1"/>
  <c r="F25" i="14"/>
  <c r="L25" i="14" s="1"/>
  <c r="K39" i="14"/>
  <c r="F26" i="14"/>
  <c r="L26" i="14" s="1"/>
  <c r="F14" i="14"/>
  <c r="L14" i="14"/>
  <c r="K41" i="14"/>
  <c r="K40" i="14"/>
  <c r="L12" i="14"/>
  <c r="L30" i="14"/>
  <c r="Y12" i="25"/>
  <c r="M11" i="12"/>
  <c r="L11" i="12"/>
  <c r="P10" i="12"/>
  <c r="M10" i="12"/>
  <c r="P9" i="12"/>
  <c r="O9" i="12"/>
  <c r="M9" i="12"/>
  <c r="O8" i="12"/>
  <c r="M8" i="12"/>
  <c r="L9" i="12"/>
  <c r="P11" i="12"/>
  <c r="K10" i="12"/>
  <c r="L8" i="12"/>
  <c r="L10" i="12"/>
  <c r="K11" i="12"/>
  <c r="K8" i="12"/>
  <c r="K9" i="12"/>
  <c r="I40" i="5"/>
  <c r="N15" i="12"/>
  <c r="N16" i="12"/>
  <c r="I39" i="5"/>
  <c r="J13" i="5"/>
  <c r="F30" i="5"/>
  <c r="L30" i="5" s="1"/>
  <c r="F18" i="5"/>
  <c r="L18" i="5" s="1"/>
  <c r="G33" i="5"/>
  <c r="F17" i="5"/>
  <c r="L17" i="5" s="1"/>
  <c r="E42" i="5"/>
  <c r="I7" i="5"/>
  <c r="K13" i="12"/>
  <c r="Q13" i="12"/>
  <c r="K12" i="12"/>
  <c r="K14" i="12"/>
  <c r="Q14" i="12"/>
  <c r="H11" i="5"/>
  <c r="M7" i="12"/>
  <c r="K31" i="5"/>
  <c r="O15" i="12"/>
  <c r="O16" i="12"/>
  <c r="I42" i="5"/>
  <c r="F23" i="5"/>
  <c r="L23" i="5" s="1"/>
  <c r="K8" i="5"/>
  <c r="K42" i="5" s="1"/>
  <c r="P12" i="12"/>
  <c r="G5" i="5"/>
  <c r="L7" i="12"/>
  <c r="K7" i="12"/>
  <c r="Q7" i="12" s="1"/>
  <c r="K6" i="12"/>
  <c r="Q6" i="12" s="1"/>
  <c r="S6" i="12" s="1"/>
  <c r="S17" i="12" s="1"/>
  <c r="F15" i="5"/>
  <c r="L15" i="5" s="1"/>
  <c r="G39" i="5"/>
  <c r="L15" i="12"/>
  <c r="L16" i="12"/>
  <c r="F40" i="5"/>
  <c r="L40" i="5" s="1"/>
  <c r="K16" i="12"/>
  <c r="Q16" i="12" s="1"/>
  <c r="F7" i="5"/>
  <c r="L7" i="5" s="1"/>
  <c r="K15" i="12"/>
  <c r="Q15" i="12" s="1"/>
  <c r="S15" i="12" s="1"/>
  <c r="F28" i="5"/>
  <c r="L28" i="5" s="1"/>
  <c r="F37" i="5"/>
  <c r="F38" i="5"/>
  <c r="L38" i="5" s="1"/>
  <c r="F29" i="5"/>
  <c r="G19" i="5"/>
  <c r="G13" i="5"/>
  <c r="F16" i="5"/>
  <c r="L16" i="5" s="1"/>
  <c r="G40" i="5"/>
  <c r="H36" i="5"/>
  <c r="F22" i="5"/>
  <c r="L22" i="5" s="1"/>
  <c r="M21" i="5" s="1"/>
  <c r="H20" i="5"/>
  <c r="J40" i="5"/>
  <c r="G24" i="5"/>
  <c r="J16" i="5"/>
  <c r="F39" i="5"/>
  <c r="L39" i="5" s="1"/>
  <c r="M39" i="5" s="1"/>
  <c r="H25" i="5"/>
  <c r="K37" i="5"/>
  <c r="F41" i="5"/>
  <c r="L41" i="5" s="1"/>
  <c r="M41" i="5" s="1"/>
  <c r="K25" i="5"/>
  <c r="F36" i="5"/>
  <c r="K29" i="5"/>
  <c r="G14" i="5"/>
  <c r="G41" i="5"/>
  <c r="G30" i="5"/>
  <c r="F35" i="5"/>
  <c r="L35" i="5"/>
  <c r="K24" i="5"/>
  <c r="F24" i="5"/>
  <c r="L24" i="5" s="1"/>
  <c r="J14" i="5"/>
  <c r="F19" i="5"/>
  <c r="L19" i="5" s="1"/>
  <c r="J39" i="5"/>
  <c r="H22" i="5"/>
  <c r="J22" i="5"/>
  <c r="H31" i="5"/>
  <c r="G12" i="5"/>
  <c r="G7" i="5"/>
  <c r="F11" i="5"/>
  <c r="L11" i="5" s="1"/>
  <c r="F13" i="5"/>
  <c r="L13" i="5" s="1"/>
  <c r="G11" i="5"/>
  <c r="F12" i="5"/>
  <c r="L12" i="5" s="1"/>
  <c r="F8" i="5"/>
  <c r="L8" i="5" s="1"/>
  <c r="F9" i="5"/>
  <c r="L9" i="5" s="1"/>
  <c r="F6" i="5"/>
  <c r="L6" i="5"/>
  <c r="F5" i="5"/>
  <c r="L5" i="5" s="1"/>
  <c r="M5" i="5" s="1"/>
  <c r="M42" i="5" s="1"/>
  <c r="F14" i="5"/>
  <c r="L14" i="5" s="1"/>
  <c r="F33" i="5"/>
  <c r="L33" i="5"/>
  <c r="H5" i="5"/>
  <c r="H42" i="5" s="1"/>
  <c r="F10" i="5"/>
  <c r="L10" i="5" s="1"/>
  <c r="M10" i="5" s="1"/>
  <c r="L37" i="5"/>
  <c r="Q12" i="12"/>
  <c r="L36" i="5"/>
  <c r="L29" i="5"/>
  <c r="J42" i="5"/>
  <c r="F34" i="5"/>
  <c r="L34" i="5" s="1"/>
  <c r="F20" i="5"/>
  <c r="L20" i="5"/>
  <c r="G42" i="5"/>
  <c r="F31" i="5"/>
  <c r="L31" i="5" s="1"/>
  <c r="F26" i="5"/>
  <c r="L26" i="5" s="1"/>
  <c r="F25" i="5"/>
  <c r="L25" i="5" s="1"/>
  <c r="A3" i="2"/>
  <c r="E7" i="2"/>
  <c r="E8" i="2" s="1"/>
  <c r="H8" i="2" s="1"/>
  <c r="I91" i="29"/>
  <c r="L91" i="29" s="1"/>
  <c r="M91" i="29" s="1"/>
  <c r="N91" i="29" s="1"/>
  <c r="H16" i="2"/>
  <c r="H17" i="2" s="1"/>
  <c r="H6" i="2"/>
  <c r="I83" i="29"/>
  <c r="J83" i="29" s="1"/>
  <c r="I88" i="29"/>
  <c r="J88" i="29" s="1"/>
  <c r="O7" i="25"/>
  <c r="W7" i="25" s="1"/>
  <c r="L83" i="29"/>
  <c r="M83" i="29" s="1"/>
  <c r="O15" i="21"/>
  <c r="P15" i="21" s="1"/>
  <c r="Q15" i="21" s="1"/>
  <c r="O6" i="25"/>
  <c r="O5" i="25"/>
  <c r="W5" i="25" s="1"/>
  <c r="P16" i="12"/>
  <c r="P15" i="12"/>
  <c r="P7" i="12"/>
  <c r="K41" i="5"/>
  <c r="K11" i="5"/>
  <c r="K40" i="5"/>
  <c r="K39" i="5"/>
  <c r="P5" i="25"/>
  <c r="Y5" i="25" s="1"/>
  <c r="Y20" i="25" s="1"/>
  <c r="Q32" i="12"/>
  <c r="R32" i="12" s="1"/>
  <c r="W27" i="20" l="1"/>
  <c r="O9" i="22"/>
  <c r="L26" i="29"/>
  <c r="M26" i="29" s="1"/>
  <c r="E53" i="15"/>
  <c r="P9" i="23"/>
  <c r="L63" i="29"/>
  <c r="Y16" i="25"/>
  <c r="J23" i="29"/>
  <c r="J35" i="29"/>
  <c r="P15" i="25"/>
  <c r="Y15" i="25" s="1"/>
  <c r="H10" i="18"/>
  <c r="O12" i="22"/>
  <c r="F42" i="5"/>
  <c r="M44" i="5" s="1"/>
  <c r="L36" i="29"/>
  <c r="M36" i="29" s="1"/>
  <c r="L82" i="29"/>
  <c r="M82" i="29" s="1"/>
  <c r="E21" i="15"/>
  <c r="J86" i="29"/>
  <c r="L40" i="14"/>
  <c r="Z15" i="20"/>
  <c r="W9" i="20" s="1"/>
  <c r="O5" i="22"/>
  <c r="W26" i="20"/>
  <c r="G26" i="20" s="1"/>
  <c r="Y19" i="25"/>
  <c r="X19" i="25"/>
  <c r="L41" i="14"/>
  <c r="M41" i="14" s="1"/>
  <c r="P8" i="25"/>
  <c r="J87" i="29"/>
  <c r="E56" i="15"/>
  <c r="L61" i="29"/>
  <c r="M61" i="29" s="1"/>
  <c r="N61" i="29" s="1"/>
  <c r="L24" i="14"/>
  <c r="P13" i="21"/>
  <c r="Q12" i="21" s="1"/>
  <c r="S19" i="25"/>
  <c r="J78" i="29"/>
  <c r="P5" i="23"/>
  <c r="H7" i="2"/>
  <c r="H9" i="2" s="1"/>
  <c r="H11" i="2" s="1"/>
  <c r="H19" i="2" s="1"/>
  <c r="H20" i="2" s="1"/>
  <c r="H21" i="2" s="1"/>
  <c r="E9" i="15"/>
  <c r="F9" i="15" s="1"/>
  <c r="E27" i="15"/>
  <c r="P17" i="23"/>
  <c r="N24" i="29"/>
  <c r="E50" i="15"/>
  <c r="E35" i="15"/>
  <c r="O17" i="22"/>
  <c r="L39" i="14"/>
  <c r="M39" i="14" s="1"/>
  <c r="AB26" i="20"/>
  <c r="L77" i="29"/>
  <c r="J31" i="29"/>
  <c r="J81" i="29"/>
  <c r="F24" i="20"/>
  <c r="F26" i="20" s="1"/>
  <c r="E26" i="20" s="1"/>
  <c r="L32" i="29"/>
  <c r="M32" i="29" s="1"/>
  <c r="AC26" i="20"/>
  <c r="P14" i="25"/>
  <c r="N27" i="29"/>
  <c r="L30" i="29"/>
  <c r="N58" i="29"/>
  <c r="E8" i="16"/>
  <c r="H8" i="16" s="1"/>
  <c r="H9" i="16" s="1"/>
  <c r="H11" i="16" s="1"/>
  <c r="H19" i="16" s="1"/>
  <c r="H20" i="16" s="1"/>
  <c r="H21" i="16" s="1"/>
  <c r="L19" i="29"/>
  <c r="M19" i="29" s="1"/>
  <c r="N19" i="29" s="1"/>
  <c r="M63" i="29"/>
  <c r="N63" i="29" s="1"/>
  <c r="S17" i="25"/>
  <c r="M25" i="29"/>
  <c r="N25" i="29" s="1"/>
  <c r="L29" i="14"/>
  <c r="F42" i="14"/>
  <c r="M44" i="14" s="1"/>
  <c r="J60" i="29"/>
  <c r="E24" i="15"/>
  <c r="W25" i="20"/>
  <c r="G25" i="20" s="1"/>
  <c r="E25" i="20" s="1"/>
  <c r="P12" i="23"/>
  <c r="Y17" i="25"/>
  <c r="X17" i="25"/>
  <c r="M87" i="29"/>
  <c r="N87" i="29"/>
  <c r="M16" i="29"/>
  <c r="N16" i="29" s="1"/>
  <c r="P6" i="21"/>
  <c r="P10" i="21"/>
  <c r="Q9" i="21" s="1"/>
  <c r="P6" i="25"/>
  <c r="Y6" i="25" s="1"/>
  <c r="N29" i="29"/>
  <c r="R9" i="25"/>
  <c r="J62" i="29"/>
  <c r="J16" i="29"/>
  <c r="N33" i="29"/>
  <c r="N67" i="29"/>
  <c r="H9" i="31"/>
  <c r="L9" i="31"/>
  <c r="X5" i="25"/>
  <c r="X20" i="25" s="1"/>
  <c r="J57" i="29"/>
  <c r="N84" i="29"/>
  <c r="N22" i="29"/>
  <c r="N53" i="29"/>
  <c r="P8" i="21"/>
  <c r="H13" i="31"/>
  <c r="L11" i="14"/>
  <c r="M10" i="14" s="1"/>
  <c r="H29" i="31"/>
  <c r="L17" i="29"/>
  <c r="M17" i="29" s="1"/>
  <c r="L21" i="31"/>
  <c r="L22" i="31" s="1"/>
  <c r="H30" i="31"/>
  <c r="L8" i="14"/>
  <c r="W6" i="25"/>
  <c r="P11" i="25"/>
  <c r="J12" i="29"/>
  <c r="H27" i="31"/>
  <c r="Y9" i="25"/>
  <c r="H32" i="31"/>
  <c r="P7" i="25"/>
  <c r="Y7" i="25" s="1"/>
  <c r="J64" i="29"/>
  <c r="H26" i="31"/>
  <c r="L18" i="29"/>
  <c r="M18" i="29" s="1"/>
  <c r="J91" i="29"/>
  <c r="L37" i="29"/>
  <c r="M37" i="29" s="1"/>
  <c r="N37" i="29" s="1"/>
  <c r="K27" i="31"/>
  <c r="L27" i="31" s="1"/>
  <c r="K26" i="31"/>
  <c r="L26" i="31" s="1"/>
  <c r="J90" i="29"/>
  <c r="Q5" i="25"/>
  <c r="L56" i="29"/>
  <c r="H31" i="31"/>
  <c r="L20" i="29"/>
  <c r="L89" i="29"/>
  <c r="H25" i="31"/>
  <c r="M14" i="29"/>
  <c r="N14" i="29" s="1"/>
  <c r="J72" i="29"/>
  <c r="L72" i="29"/>
  <c r="N83" i="29"/>
  <c r="L88" i="29"/>
  <c r="X12" i="25"/>
  <c r="X15" i="25"/>
  <c r="X18" i="25"/>
  <c r="L85" i="29"/>
  <c r="J85" i="29"/>
  <c r="J79" i="29"/>
  <c r="L79" i="29"/>
  <c r="N81" i="29"/>
  <c r="N31" i="29"/>
  <c r="M13" i="29"/>
  <c r="N13" i="29" s="1"/>
  <c r="M9" i="29"/>
  <c r="N9" i="29" s="1"/>
  <c r="M5" i="29"/>
  <c r="N5" i="29" s="1"/>
  <c r="J68" i="29"/>
  <c r="L68" i="29"/>
  <c r="M6" i="29"/>
  <c r="N6" i="29" s="1"/>
  <c r="X13" i="25"/>
  <c r="Q9" i="25"/>
  <c r="Z9" i="25" s="1"/>
  <c r="Q17" i="25"/>
  <c r="Z18" i="25" s="1"/>
  <c r="N32" i="29"/>
  <c r="N34" i="29"/>
  <c r="N59" i="29"/>
  <c r="M12" i="29"/>
  <c r="N12" i="29" s="1"/>
  <c r="M10" i="29"/>
  <c r="N10" i="29" s="1"/>
  <c r="M90" i="29"/>
  <c r="N90" i="29" s="1"/>
  <c r="J28" i="29"/>
  <c r="L28" i="29"/>
  <c r="G23" i="20"/>
  <c r="E23" i="20" s="1"/>
  <c r="Y38" i="20"/>
  <c r="W29" i="20"/>
  <c r="W41" i="20"/>
  <c r="O20" i="22"/>
  <c r="J55" i="29"/>
  <c r="L55" i="29"/>
  <c r="M11" i="29"/>
  <c r="N11" i="29" s="1"/>
  <c r="M7" i="29"/>
  <c r="N7" i="29" s="1"/>
  <c r="G12" i="31"/>
  <c r="G10" i="31"/>
  <c r="G7" i="31"/>
  <c r="Z43" i="20"/>
  <c r="Z44" i="20" s="1"/>
  <c r="Z45" i="20" s="1"/>
  <c r="W44" i="20"/>
  <c r="W45" i="20" s="1"/>
  <c r="W24" i="20"/>
  <c r="G24" i="20" s="1"/>
  <c r="L66" i="29"/>
  <c r="J11" i="29"/>
  <c r="G11" i="31"/>
  <c r="H11" i="31" s="1"/>
  <c r="J11" i="31" s="1"/>
  <c r="I70" i="29"/>
  <c r="I21" i="27"/>
  <c r="I51" i="27" s="1"/>
  <c r="N64" i="29"/>
  <c r="I80" i="29"/>
  <c r="J10" i="29"/>
  <c r="I15" i="29"/>
  <c r="L32" i="31"/>
  <c r="L31" i="31"/>
  <c r="L30" i="31"/>
  <c r="L29" i="31"/>
  <c r="L13" i="31"/>
  <c r="K17" i="31"/>
  <c r="L17" i="31" s="1"/>
  <c r="L18" i="31" s="1"/>
  <c r="J74" i="29"/>
  <c r="L74" i="29"/>
  <c r="G28" i="31"/>
  <c r="J13" i="29"/>
  <c r="J9" i="29"/>
  <c r="I21" i="29"/>
  <c r="L8" i="29"/>
  <c r="K25" i="31"/>
  <c r="L25" i="31" s="1"/>
  <c r="I65" i="29"/>
  <c r="G8" i="31"/>
  <c r="M75" i="29"/>
  <c r="N75" i="29" s="1"/>
  <c r="I73" i="29"/>
  <c r="I71" i="29"/>
  <c r="I69" i="29"/>
  <c r="I76" i="29"/>
  <c r="Q10" i="12"/>
  <c r="Q23" i="12"/>
  <c r="R23" i="12" s="1"/>
  <c r="Q26" i="12"/>
  <c r="R26" i="12" s="1"/>
  <c r="Q28" i="12"/>
  <c r="R28" i="12" s="1"/>
  <c r="Q30" i="12"/>
  <c r="R30" i="12" s="1"/>
  <c r="Q9" i="12"/>
  <c r="Q11" i="12"/>
  <c r="Y10" i="25"/>
  <c r="Q18" i="12"/>
  <c r="R18" i="12" s="1"/>
  <c r="Q25" i="12"/>
  <c r="R25" i="12" s="1"/>
  <c r="Q29" i="12"/>
  <c r="R29" i="12" s="1"/>
  <c r="Q27" i="12"/>
  <c r="R27" i="12" s="1"/>
  <c r="Q8" i="12"/>
  <c r="Q20" i="12"/>
  <c r="R20" i="12" s="1"/>
  <c r="S20" i="12" s="1"/>
  <c r="M49" i="29"/>
  <c r="N49" i="29" s="1"/>
  <c r="M39" i="29"/>
  <c r="N39" i="29" s="1"/>
  <c r="M47" i="29"/>
  <c r="N47" i="29" s="1"/>
  <c r="R22" i="12"/>
  <c r="M43" i="29"/>
  <c r="N43" i="29" s="1"/>
  <c r="M50" i="29"/>
  <c r="N50" i="29" s="1"/>
  <c r="M46" i="29"/>
  <c r="N46" i="29" s="1"/>
  <c r="M45" i="29"/>
  <c r="N45" i="29" s="1"/>
  <c r="M42" i="29"/>
  <c r="N42" i="29" s="1"/>
  <c r="M41" i="29"/>
  <c r="N41" i="29" s="1"/>
  <c r="M52" i="29"/>
  <c r="N52" i="29" s="1"/>
  <c r="S19" i="12"/>
  <c r="S34" i="12"/>
  <c r="S33" i="12"/>
  <c r="M51" i="29"/>
  <c r="N51" i="29" s="1"/>
  <c r="N38" i="29"/>
  <c r="N26" i="29" l="1"/>
  <c r="N82" i="29"/>
  <c r="Q5" i="21"/>
  <c r="Q16" i="21" s="1"/>
  <c r="Q17" i="21" s="1"/>
  <c r="Q18" i="21" s="1"/>
  <c r="W12" i="20"/>
  <c r="W11" i="20" s="1"/>
  <c r="G11" i="20" s="1"/>
  <c r="E11" i="20" s="1"/>
  <c r="AD26" i="20"/>
  <c r="AF26" i="20" s="1"/>
  <c r="AE26" i="20"/>
  <c r="N36" i="29"/>
  <c r="F21" i="15"/>
  <c r="F24" i="15" s="1"/>
  <c r="F27" i="15" s="1"/>
  <c r="F35" i="15" s="1"/>
  <c r="F47" i="15" s="1"/>
  <c r="F50" i="15" s="1"/>
  <c r="F53" i="15" s="1"/>
  <c r="F56" i="15" s="1"/>
  <c r="Z14" i="20"/>
  <c r="W16" i="20"/>
  <c r="M30" i="29"/>
  <c r="N30" i="29" s="1"/>
  <c r="Y14" i="25"/>
  <c r="X14" i="25"/>
  <c r="AA27" i="20"/>
  <c r="Y8" i="25"/>
  <c r="X8" i="25"/>
  <c r="M77" i="29"/>
  <c r="N77" i="29" s="1"/>
  <c r="P20" i="23"/>
  <c r="X7" i="25"/>
  <c r="X6" i="25"/>
  <c r="N17" i="29"/>
  <c r="Y11" i="25"/>
  <c r="X11" i="25"/>
  <c r="Q19" i="21"/>
  <c r="Q20" i="21" s="1"/>
  <c r="N18" i="29"/>
  <c r="O57" i="29"/>
  <c r="M56" i="29"/>
  <c r="N56" i="29" s="1"/>
  <c r="M89" i="29"/>
  <c r="N89" i="29"/>
  <c r="O89" i="29" s="1"/>
  <c r="Q20" i="25"/>
  <c r="Q21" i="25" s="1"/>
  <c r="Q22" i="25" s="1"/>
  <c r="Z6" i="25"/>
  <c r="M20" i="29"/>
  <c r="N20" i="29" s="1"/>
  <c r="M8" i="29"/>
  <c r="N8" i="29" s="1"/>
  <c r="O5" i="29" s="1"/>
  <c r="O92" i="29" s="1"/>
  <c r="L15" i="29"/>
  <c r="J15" i="29"/>
  <c r="M66" i="29"/>
  <c r="N66" i="29" s="1"/>
  <c r="Y45" i="20"/>
  <c r="Z39" i="20"/>
  <c r="AA39" i="20"/>
  <c r="J76" i="29"/>
  <c r="L76" i="29"/>
  <c r="J69" i="29"/>
  <c r="L69" i="29"/>
  <c r="L73" i="29"/>
  <c r="J73" i="29"/>
  <c r="L21" i="29"/>
  <c r="J21" i="29"/>
  <c r="E24" i="20"/>
  <c r="AB24" i="20"/>
  <c r="AD24" i="20"/>
  <c r="AE24" i="20"/>
  <c r="AC24" i="20"/>
  <c r="J10" i="31"/>
  <c r="H10" i="31"/>
  <c r="W8" i="20"/>
  <c r="G8" i="20" s="1"/>
  <c r="E8" i="20" s="1"/>
  <c r="AA18" i="20"/>
  <c r="Y29" i="20"/>
  <c r="Y28" i="20" s="1"/>
  <c r="Y33" i="20"/>
  <c r="Z28" i="20"/>
  <c r="AB33" i="20"/>
  <c r="M28" i="29"/>
  <c r="N28" i="29" s="1"/>
  <c r="O23" i="29" s="1"/>
  <c r="M68" i="29"/>
  <c r="N68" i="29" s="1"/>
  <c r="AA47" i="20"/>
  <c r="J8" i="31"/>
  <c r="H8" i="31"/>
  <c r="M79" i="29"/>
  <c r="N79" i="29" s="1"/>
  <c r="J71" i="29"/>
  <c r="L71" i="29"/>
  <c r="H28" i="31"/>
  <c r="J28" i="31"/>
  <c r="J70" i="29"/>
  <c r="L70" i="29"/>
  <c r="K11" i="31"/>
  <c r="L11" i="31" s="1"/>
  <c r="AB50" i="20"/>
  <c r="AD46" i="20"/>
  <c r="M55" i="29"/>
  <c r="N55" i="29" s="1"/>
  <c r="O53" i="29" s="1"/>
  <c r="M72" i="29"/>
  <c r="N72" i="29" s="1"/>
  <c r="J12" i="31"/>
  <c r="H12" i="31"/>
  <c r="L65" i="29"/>
  <c r="J65" i="29"/>
  <c r="M74" i="29"/>
  <c r="N74" i="29" s="1"/>
  <c r="J80" i="29"/>
  <c r="L80" i="29"/>
  <c r="W39" i="20"/>
  <c r="G39" i="20" s="1"/>
  <c r="W36" i="20"/>
  <c r="W37" i="20"/>
  <c r="G37" i="20" s="1"/>
  <c r="W38" i="20"/>
  <c r="G38" i="20" s="1"/>
  <c r="J7" i="31"/>
  <c r="H7" i="31"/>
  <c r="O21" i="22"/>
  <c r="O22" i="22"/>
  <c r="O81" i="29"/>
  <c r="M85" i="29"/>
  <c r="N85" i="29" s="1"/>
  <c r="M88" i="29"/>
  <c r="N88" i="29"/>
  <c r="S9" i="12"/>
  <c r="S21" i="12"/>
  <c r="S18" i="12"/>
  <c r="O38" i="29"/>
  <c r="W15" i="20" l="1"/>
  <c r="G15" i="20" s="1"/>
  <c r="E15" i="20" s="1"/>
  <c r="W14" i="20"/>
  <c r="G14" i="20" s="1"/>
  <c r="E14" i="20" s="1"/>
  <c r="S35" i="12"/>
  <c r="S36" i="12" s="1"/>
  <c r="S37" i="12" s="1"/>
  <c r="S38" i="12" s="1"/>
  <c r="P21" i="23"/>
  <c r="P22" i="23"/>
  <c r="O84" i="29"/>
  <c r="Q23" i="25"/>
  <c r="Q24" i="25" s="1"/>
  <c r="O93" i="29"/>
  <c r="O94" i="29" s="1"/>
  <c r="K10" i="31"/>
  <c r="L10" i="31" s="1"/>
  <c r="M76" i="29"/>
  <c r="N76" i="29" s="1"/>
  <c r="O74" i="29" s="1"/>
  <c r="AD39" i="20"/>
  <c r="AE39" i="20"/>
  <c r="AB39" i="20"/>
  <c r="AC39" i="20"/>
  <c r="M70" i="29"/>
  <c r="N70" i="29" s="1"/>
  <c r="O23" i="22"/>
  <c r="O24" i="22" s="1"/>
  <c r="Z40" i="20"/>
  <c r="G36" i="20"/>
  <c r="Y36" i="20"/>
  <c r="AB38" i="20"/>
  <c r="AE38" i="20"/>
  <c r="AD38" i="20"/>
  <c r="AC38" i="20"/>
  <c r="M71" i="29"/>
  <c r="N71" i="29" s="1"/>
  <c r="K8" i="31"/>
  <c r="L8" i="31" s="1"/>
  <c r="AF24" i="20"/>
  <c r="M21" i="29"/>
  <c r="N21" i="29" s="1"/>
  <c r="O21" i="29" s="1"/>
  <c r="M15" i="29"/>
  <c r="N15" i="29" s="1"/>
  <c r="O14" i="29" s="1"/>
  <c r="M80" i="29"/>
  <c r="N80" i="29"/>
  <c r="O77" i="29" s="1"/>
  <c r="K12" i="31"/>
  <c r="L12" i="31" s="1"/>
  <c r="M69" i="29"/>
  <c r="N69" i="29" s="1"/>
  <c r="O69" i="29" s="1"/>
  <c r="K7" i="31"/>
  <c r="L7" i="31" s="1"/>
  <c r="M65" i="29"/>
  <c r="N65" i="29" s="1"/>
  <c r="O65" i="29" s="1"/>
  <c r="K28" i="31"/>
  <c r="L28" i="31" s="1"/>
  <c r="L33" i="31" s="1"/>
  <c r="M73" i="29"/>
  <c r="N73" i="29"/>
  <c r="P23" i="23" l="1"/>
  <c r="P24" i="23"/>
  <c r="Y23" i="25"/>
  <c r="Y24" i="25" s="1"/>
  <c r="X23" i="25"/>
  <c r="X24" i="25" s="1"/>
  <c r="L14" i="31"/>
  <c r="L35" i="31" s="1"/>
  <c r="AF38" i="20"/>
  <c r="AF39"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 del Pilar Aguilar Montoya</author>
  </authors>
  <commentList>
    <comment ref="F5" authorId="0" shapeId="0" xr:uid="{00000000-0006-0000-0900-000001000000}">
      <text>
        <r>
          <rPr>
            <b/>
            <sz val="9"/>
            <color indexed="81"/>
            <rFont val="Tahoma"/>
            <family val="2"/>
          </rPr>
          <t>Maria del Pilar Aguilar Montoya:</t>
        </r>
        <r>
          <rPr>
            <sz val="9"/>
            <color indexed="81"/>
            <rFont val="Tahoma"/>
            <family val="2"/>
          </rPr>
          <t xml:space="preserve">
Como la actividad "análisis de información" requiere de la participación de los profesionales temáticos, sugiero agregar coordinador de proyecto y profesionales temáticos, con sus respctivis porcentajes de dedicación a la actividad</t>
        </r>
      </text>
    </comment>
    <comment ref="F6" authorId="0" shapeId="0" xr:uid="{00000000-0006-0000-0900-000002000000}">
      <text>
        <r>
          <rPr>
            <b/>
            <sz val="9"/>
            <color indexed="81"/>
            <rFont val="Tahoma"/>
            <family val="2"/>
          </rPr>
          <t>Maria del Pilar Aguilar Montoya:</t>
        </r>
        <r>
          <rPr>
            <sz val="9"/>
            <color indexed="81"/>
            <rFont val="Tahoma"/>
            <family val="2"/>
          </rPr>
          <t xml:space="preserve">
Sugiero indicar el rol de los profesionales en el equipo: por ejemplo: Especilisata en sistemas de información geográfica, Apoyo del especialista SIG</t>
        </r>
      </text>
    </comment>
    <comment ref="F8" authorId="0" shapeId="0" xr:uid="{00000000-0006-0000-0900-000003000000}">
      <text>
        <r>
          <rPr>
            <b/>
            <sz val="9"/>
            <color indexed="81"/>
            <rFont val="Tahoma"/>
            <family val="2"/>
          </rPr>
          <t>Maria del Pilar Aguilar Montoya:</t>
        </r>
        <r>
          <rPr>
            <sz val="9"/>
            <color indexed="81"/>
            <rFont val="Tahoma"/>
            <family val="2"/>
          </rPr>
          <t xml:space="preserve">
Como el análisis de información según se indica en documento técnico, se hace con información secundaria. Sugiero aclarar en documento técnico si la elaboración del documentos de análiis de información va a requerir trabajo en campo, qué información se recolectará en este trabajo en campo.</t>
        </r>
      </text>
    </comment>
    <comment ref="F10" authorId="0" shapeId="0" xr:uid="{00000000-0006-0000-0900-000004000000}">
      <text>
        <r>
          <rPr>
            <b/>
            <sz val="9"/>
            <color indexed="81"/>
            <rFont val="Tahoma"/>
            <family val="2"/>
          </rPr>
          <t>Maria del Pilar Aguilar Montoya:</t>
        </r>
        <r>
          <rPr>
            <sz val="9"/>
            <color indexed="81"/>
            <rFont val="Tahoma"/>
            <family val="2"/>
          </rPr>
          <t xml:space="preserve">
Sugiero revisar con SGR y MVCT si estos son gastos de funcionamiento?. Quizá reemplazar por: "arrendamiento". En todo casos consultar con SGR y MVCT</t>
        </r>
      </text>
    </comment>
    <comment ref="I13" authorId="0" shapeId="0" xr:uid="{00000000-0006-0000-0900-000005000000}">
      <text>
        <r>
          <rPr>
            <b/>
            <sz val="9"/>
            <color indexed="81"/>
            <rFont val="Tahoma"/>
            <family val="2"/>
          </rPr>
          <t>Maria del Pilar Aguilar Montoya:</t>
        </r>
        <r>
          <rPr>
            <sz val="9"/>
            <color indexed="81"/>
            <rFont val="Tahoma"/>
            <family val="2"/>
          </rPr>
          <t xml:space="preserve">
Revisar si el valor es 10 millones.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 del Pilar Aguilar Montoya</author>
  </authors>
  <commentList>
    <comment ref="A7" authorId="0" shapeId="0" xr:uid="{00000000-0006-0000-0A00-000001000000}">
      <text>
        <r>
          <rPr>
            <b/>
            <sz val="9"/>
            <color indexed="81"/>
            <rFont val="Tahoma"/>
            <family val="2"/>
          </rPr>
          <t>Maria del Pilar Aguilar Montoya:</t>
        </r>
        <r>
          <rPr>
            <sz val="9"/>
            <color indexed="81"/>
            <rFont val="Tahoma"/>
            <family val="2"/>
          </rPr>
          <t xml:space="preserve">
Sugiero concordancia entre hoja excel "mano de obra" y hoja excel "análiis unitarios" :para aclarar si es una consultoria externa que se va a contratar: con lo cual aplica el factor multiplicador, o es una contratación por honorarios profesionales como se vé en el análisis de unitarios?
</t>
        </r>
      </text>
    </comment>
    <comment ref="A8" authorId="0" shapeId="0" xr:uid="{00000000-0006-0000-0A00-000002000000}">
      <text>
        <r>
          <rPr>
            <sz val="9"/>
            <color indexed="81"/>
            <rFont val="Tahoma"/>
            <family val="2"/>
          </rPr>
          <t xml:space="preserve">Como el alistamiento requiere  de la participación de los profesionales temáticos, sugiero agregar "coordinador de proyecto" y profesionales temáticos, con sus respectivos porcentajes de dedicación a la actividad
</t>
        </r>
      </text>
    </comment>
    <comment ref="A11" authorId="0" shapeId="0" xr:uid="{00000000-0006-0000-0A00-000003000000}">
      <text>
        <r>
          <rPr>
            <b/>
            <sz val="9"/>
            <color indexed="81"/>
            <rFont val="Tahoma"/>
            <family val="2"/>
          </rPr>
          <t>Maria del Pilar Aguilar Montoya:</t>
        </r>
        <r>
          <rPr>
            <sz val="9"/>
            <color indexed="81"/>
            <rFont val="Tahoma"/>
            <family val="2"/>
          </rPr>
          <t xml:space="preserve">
Sugiero poner el rol dentro del equipo de cdaa uno de los profesionales: Por ejemplo: El urbano -regional, es el coordinador?. La trabajadora social es la espcialista del componente de participación?. Es sociólogo es el apoyo al componente de partipacación?.. etc.</t>
        </r>
      </text>
    </comment>
    <comment ref="A12" authorId="0" shapeId="0" xr:uid="{00000000-0006-0000-0A00-000004000000}">
      <text>
        <r>
          <rPr>
            <b/>
            <sz val="9"/>
            <color indexed="81"/>
            <rFont val="Tahoma"/>
            <family val="2"/>
          </rPr>
          <t>Maria del Pilar Aguilar Montoya:</t>
        </r>
        <r>
          <rPr>
            <sz val="9"/>
            <color indexed="81"/>
            <rFont val="Tahoma"/>
            <family val="2"/>
          </rPr>
          <t xml:space="preserve">
Para cada profesional, sugiero poner tiepo de dedicación a la actividad, lo cual permite ajustar de acuerdo a duración de la actvidad y traslapes de actvidades en el cronograma</t>
        </r>
      </text>
    </comment>
    <comment ref="A28" authorId="0" shapeId="0" xr:uid="{00000000-0006-0000-0A00-000005000000}">
      <text>
        <r>
          <rPr>
            <b/>
            <sz val="9"/>
            <color indexed="81"/>
            <rFont val="Tahoma"/>
            <family val="2"/>
          </rPr>
          <t>Maria del Pilar Aguilar Montoya:</t>
        </r>
        <r>
          <rPr>
            <sz val="9"/>
            <color indexed="81"/>
            <rFont val="Tahoma"/>
            <family val="2"/>
          </rPr>
          <t xml:space="preserve">
Revisar en el documento tpecnios, si en las actividads de la etapa de alistamiento estpan previstos estos tres talleres (para que sea concordante MGA, presupuesto y documento técnico)</t>
        </r>
      </text>
    </comment>
    <comment ref="A29" authorId="0" shapeId="0" xr:uid="{00000000-0006-0000-0A00-000006000000}">
      <text>
        <r>
          <rPr>
            <b/>
            <sz val="9"/>
            <color indexed="81"/>
            <rFont val="Tahoma"/>
            <family val="2"/>
          </rPr>
          <t>Maria del Pilar Aguilar Montoya:</t>
        </r>
        <r>
          <rPr>
            <sz val="9"/>
            <color indexed="81"/>
            <rFont val="Tahoma"/>
            <family val="2"/>
          </rPr>
          <t xml:space="preserve">
Revisar con MVCT y SGR si efectivamente se puede poner "adquisición de euipo o "arrendamiento"</t>
        </r>
      </text>
    </comment>
    <comment ref="G32" authorId="0" shapeId="0" xr:uid="{00000000-0006-0000-0A00-000007000000}">
      <text>
        <r>
          <rPr>
            <b/>
            <sz val="9"/>
            <color indexed="81"/>
            <rFont val="Tahoma"/>
            <family val="2"/>
          </rPr>
          <t>Maria del Pilar Aguilar Montoya:</t>
        </r>
        <r>
          <rPr>
            <sz val="9"/>
            <color indexed="81"/>
            <rFont val="Tahoma"/>
            <family val="2"/>
          </rPr>
          <t xml:space="preserve">
Reviasar si el rubro de copias f´sicas de otros docuementos efctivament es de 10 millones de pesos. </t>
        </r>
      </text>
    </comment>
  </commentList>
</comments>
</file>

<file path=xl/sharedStrings.xml><?xml version="1.0" encoding="utf-8"?>
<sst xmlns="http://schemas.openxmlformats.org/spreadsheetml/2006/main" count="1275" uniqueCount="570">
  <si>
    <t>UNIDAD</t>
  </si>
  <si>
    <t>DEDICACION</t>
  </si>
  <si>
    <t>VALOR PARCIAL</t>
  </si>
  <si>
    <t>Economista</t>
  </si>
  <si>
    <t>Talleres regionales</t>
  </si>
  <si>
    <t>COMPONENTE</t>
  </si>
  <si>
    <t>SUBTOTAL</t>
  </si>
  <si>
    <t>Glb</t>
  </si>
  <si>
    <t>VLR UNITARIO</t>
  </si>
  <si>
    <t>Mes</t>
  </si>
  <si>
    <t>CARGO/OFICIO</t>
  </si>
  <si>
    <t>CANTIDAD MES</t>
  </si>
  <si>
    <t>SUELDO Y/O JORNAL MENSUAL</t>
  </si>
  <si>
    <t>DEDICACION MES</t>
  </si>
  <si>
    <t>COSTO DIRECTO PERSONAL</t>
  </si>
  <si>
    <t>INGENIERO ESP. SISTEMAS INFORMACION GEOGRAFICA</t>
  </si>
  <si>
    <t>SUBTOTAL COSTO DE PERSONAL</t>
  </si>
  <si>
    <t>FACTOR MULTIPLICADOR</t>
  </si>
  <si>
    <t>TOTAL COSTO DE PERSONAL</t>
  </si>
  <si>
    <t>VALOR DEL MES</t>
  </si>
  <si>
    <t>OTROS COSTOS DIRECTOS</t>
  </si>
  <si>
    <t>COSTOS DE ALQUILER DE EQUIPOS</t>
  </si>
  <si>
    <t xml:space="preserve">Transporte </t>
  </si>
  <si>
    <t>SUBTOTAL OTROS COSTOS DIRECTOS</t>
  </si>
  <si>
    <t>TOTAL COSTOS DIRECTOS</t>
  </si>
  <si>
    <t>____________________________________</t>
  </si>
  <si>
    <t>ACTIVIDAD</t>
  </si>
  <si>
    <t>CANTIDAD</t>
  </si>
  <si>
    <t xml:space="preserve">Und </t>
  </si>
  <si>
    <t>Productivo</t>
  </si>
  <si>
    <t>Ingeniero Ambiental</t>
  </si>
  <si>
    <t>Abogado Especialista en Derecho Urbano</t>
  </si>
  <si>
    <t>NEIVA, 7 de Enero de 2014</t>
  </si>
  <si>
    <t>No. MESES</t>
  </si>
  <si>
    <t>DISCRIMINACION DE ITEMS GLOBALES</t>
  </si>
  <si>
    <t>SUBTOTAL COSTO DE LOGISTICA</t>
  </si>
  <si>
    <t>ADQUISICION, PROCESAMIENTO Y PUBLICACION DE LA INFORMACION -ITEM 7-</t>
  </si>
  <si>
    <t>Registros Fotograficos, impresos y medios magneticos</t>
  </si>
  <si>
    <t xml:space="preserve">Copias Físicas Planes de Ordenamiento (Acuerdos municipales vigentes) </t>
  </si>
  <si>
    <t>Revisión de Planes de Desarrollo (Acuerdos municipales vigentes)</t>
  </si>
  <si>
    <t>Impresión y Publicación - Ejemplares en Cartillas</t>
  </si>
  <si>
    <t xml:space="preserve">DESGLOSE DE INTERVENTORIA </t>
  </si>
  <si>
    <t>SUELDO Y/O PAGO MENSUAL</t>
  </si>
  <si>
    <t>Adquisición, procesamiento y publicación de información</t>
  </si>
  <si>
    <t>ARQUITECTO experto en planificación y ordenamiento territorial</t>
  </si>
  <si>
    <t>IVA 16%</t>
  </si>
  <si>
    <t xml:space="preserve">COSTO TOTAL </t>
  </si>
  <si>
    <t xml:space="preserve"> </t>
  </si>
  <si>
    <t>Especialista Social</t>
  </si>
  <si>
    <t>Especialista en SIG</t>
  </si>
  <si>
    <t>Ingeniero de Vías y Transito y/o Experto en Movilidad</t>
  </si>
  <si>
    <t xml:space="preserve">Cartografia e Imágenes Satelitales </t>
  </si>
  <si>
    <t>TOTAL</t>
  </si>
  <si>
    <t>ITEM</t>
  </si>
  <si>
    <t>DESCRIPCION</t>
  </si>
  <si>
    <t>%</t>
  </si>
  <si>
    <t>A.</t>
  </si>
  <si>
    <t>SALARIO</t>
  </si>
  <si>
    <t>B.</t>
  </si>
  <si>
    <t>C.</t>
  </si>
  <si>
    <t>GASTOS DEL CONSULTOR</t>
  </si>
  <si>
    <t>Mobiliario de oficina en obra, incluye dotacion y pago servicios publicos</t>
  </si>
  <si>
    <t xml:space="preserve">Papeleria y utiles de oficina </t>
  </si>
  <si>
    <t xml:space="preserve">Edicion y elaboracion de informes </t>
  </si>
  <si>
    <t xml:space="preserve">Fotocopias </t>
  </si>
  <si>
    <t xml:space="preserve">IMPREVISTOS </t>
  </si>
  <si>
    <t>FACTOR MULTIPLICADOR ESTIMADO -FM.</t>
  </si>
  <si>
    <t xml:space="preserve">ANALISIS APROXIMADO DEL FACTOR MULTIPLICADOR APLICABLE A COSTOS DE PERSONAL </t>
  </si>
  <si>
    <t>Ingeniero Agrónomo/Agricola/experto desarrollo rural</t>
  </si>
  <si>
    <t>Ecologo experto en servicios ecosistemicos</t>
  </si>
  <si>
    <t>Arquitecto Urbanista con experiencia en Planificación/Gestion</t>
  </si>
  <si>
    <t>Administrador publico</t>
  </si>
  <si>
    <t>DIRECTRICES DE ORDENAMIENTO TERRITORIAL</t>
  </si>
  <si>
    <t>Ingeniero de Sistemas TIC e innovacion para Ordenamiento territorial</t>
  </si>
  <si>
    <t>Asistente tecnico y operativos</t>
  </si>
  <si>
    <t>ELABORACION DEL DIAGNOSTICO ESTRATEGICO</t>
  </si>
  <si>
    <t>Inversion por actividad</t>
  </si>
  <si>
    <t>Porcentaje de Inversion</t>
  </si>
  <si>
    <t>% Inversion acumulada</t>
  </si>
  <si>
    <t>MES 1</t>
  </si>
  <si>
    <t>MES 2</t>
  </si>
  <si>
    <t>MES 3</t>
  </si>
  <si>
    <t>MES 4</t>
  </si>
  <si>
    <t>MES 5</t>
  </si>
  <si>
    <t>MES 6</t>
  </si>
  <si>
    <t>MES 7</t>
  </si>
  <si>
    <t>MES 8</t>
  </si>
  <si>
    <t>MES 9</t>
  </si>
  <si>
    <t>MES 10</t>
  </si>
  <si>
    <t>MES 11</t>
  </si>
  <si>
    <t>MES 12</t>
  </si>
  <si>
    <t>MES 13</t>
  </si>
  <si>
    <t>MES 14</t>
  </si>
  <si>
    <t>MES 15</t>
  </si>
  <si>
    <t>MES 16</t>
  </si>
  <si>
    <t>MES 17</t>
  </si>
  <si>
    <t>MES 18</t>
  </si>
  <si>
    <t>MES 19</t>
  </si>
  <si>
    <t>MES 20</t>
  </si>
  <si>
    <t>MES 21</t>
  </si>
  <si>
    <t>MES 22</t>
  </si>
  <si>
    <t>MES 23</t>
  </si>
  <si>
    <t>MES 24</t>
  </si>
  <si>
    <t>MES 25</t>
  </si>
  <si>
    <t>MES 26</t>
  </si>
  <si>
    <t>MES 27</t>
  </si>
  <si>
    <t>MES 28</t>
  </si>
  <si>
    <t>MES 29</t>
  </si>
  <si>
    <t>MES 30</t>
  </si>
  <si>
    <t xml:space="preserve">Ambiental y Biofisico </t>
  </si>
  <si>
    <t>Socio-cultural y asentamientos poblacionales y relaciones funcionales</t>
  </si>
  <si>
    <t>Infraestructura y servicios</t>
  </si>
  <si>
    <t>Riesgo natural y cambio climatico</t>
  </si>
  <si>
    <t>VISION PARA ORDENAR EL TERRITORIO</t>
  </si>
  <si>
    <t>ESCENARIOS DE ORDENAMIENTO TERRITORIAL</t>
  </si>
  <si>
    <t>MODELO DE TERRITORIO DESEADO</t>
  </si>
  <si>
    <t>Estructura ecologica principal</t>
  </si>
  <si>
    <t>Sistemas estructurantes</t>
  </si>
  <si>
    <t>Caracterizacion de subregiones</t>
  </si>
  <si>
    <t>ESTRATEGIAS DE IMPLEMENTACION</t>
  </si>
  <si>
    <t>INSTRUMENTOS DE GESTION, SEGUIMIENTO Y EVALUACION</t>
  </si>
  <si>
    <t>CONSULTORIAS ESPECIALIZADAS Y LOGISTICA</t>
  </si>
  <si>
    <t>ASESORIA PARA FORMULACION A MUNICIPIOS</t>
  </si>
  <si>
    <t>PERIODO 1</t>
  </si>
  <si>
    <t>PERIODO 2</t>
  </si>
  <si>
    <t>PERIODO 3</t>
  </si>
  <si>
    <t>PERIODO 4</t>
  </si>
  <si>
    <t>PERIODO 5</t>
  </si>
  <si>
    <t>PERIODO 6</t>
  </si>
  <si>
    <t>GOBERNACION DEL HUILA</t>
  </si>
  <si>
    <t>DEPARTAMENTO ADMINISTRATIVO DE PLANEACION</t>
  </si>
  <si>
    <t xml:space="preserve">PROGRAMACION GENERAL </t>
  </si>
  <si>
    <t>PROYECTO: FORTALECIMIENTO DEL ORDENAMIENTO TERRITORIAL PARA LA CONSTRUCCION DE VISION REGIONAL EN EL DEPARTAMENTO DEL HUILA</t>
  </si>
  <si>
    <t>ALISTAMIENTO INSTITUCIONAL</t>
  </si>
  <si>
    <t>CAPITULO</t>
  </si>
  <si>
    <t>MANO DE OBRA CALIFICADA</t>
  </si>
  <si>
    <t>MANO DE OBRA NO CALIFICADA</t>
  </si>
  <si>
    <t>TRANSPORTE</t>
  </si>
  <si>
    <t>OTROS GASTOS GENERALES</t>
  </si>
  <si>
    <t>DIAGNÓSTICO TERRITORIAL</t>
  </si>
  <si>
    <t xml:space="preserve">Identificación del Subsistema Infraestructura. </t>
  </si>
  <si>
    <r>
      <t>Identificación del Elemento Transversal Riesgo Natural y Cambio Climático.</t>
    </r>
    <r>
      <rPr>
        <b/>
        <sz val="10"/>
        <color theme="1"/>
        <rFont val="Arial"/>
        <family val="2"/>
      </rPr>
      <t xml:space="preserve"> </t>
    </r>
  </si>
  <si>
    <t>FORMULACION</t>
  </si>
  <si>
    <t>CARTOGRAFÍA</t>
  </si>
  <si>
    <r>
      <t>Elaboración de cartografía para los diferentes análisis que se realicen en el proceso de diagnóstico, formulación, aprobación e implementación de los POD.</t>
    </r>
    <r>
      <rPr>
        <b/>
        <sz val="10"/>
        <color theme="1"/>
        <rFont val="Arial"/>
        <family val="2"/>
      </rPr>
      <t xml:space="preserve"> </t>
    </r>
  </si>
  <si>
    <t xml:space="preserve">Elaboración y estructuración de las cartografías temáticas que deberán seguir los parámetros establecidos por la Infraestructura Colombiana de Datos Espaciales (ICDE). </t>
  </si>
  <si>
    <t>CONFORMACION Y PUESTA EN MARCHA DE LA CROT</t>
  </si>
  <si>
    <t>Instalación y puesta en operación su CROT Departamental.</t>
  </si>
  <si>
    <t>Fortalecer el Sistema de Información Geográfica del Huila – SIR - SIGDEHU y demás métodos de difusión virtual.</t>
  </si>
  <si>
    <t>Analizar la conveniencia de las diferentes alternativas de asociación que brinda la Ley Orgánica de Ordenamiento Territorial (Ley 1454 de 2011).</t>
  </si>
  <si>
    <t xml:space="preserve">Definir mecanismos de gestión y financiación para el POD y/o esquemas asociativos que se requieran para la implementación del plan en el marco de las normas vigentes (Ley 1454 de 2011). </t>
  </si>
  <si>
    <t xml:space="preserve">Analizar el territorio e identificar los elementos estructurantes del ordenamiento territorial, identificando el estado actual de ordenamiento. </t>
  </si>
  <si>
    <t xml:space="preserve">Realizar de manera dinámica el diagnostico, de modo que se cuente con los elementos básicos para entender la forma cómo ha evolucionado el departamento en cada uno de los aspectos identificados como elementos estructurales. </t>
  </si>
  <si>
    <t xml:space="preserve">Identificación del Subsistema Ambiental Biofísico. </t>
  </si>
  <si>
    <t xml:space="preserve">Identificación del Subsistema Productivo-competitivo. </t>
  </si>
  <si>
    <t xml:space="preserve">Identificación del Subsistema Socio Cultural. </t>
  </si>
  <si>
    <t xml:space="preserve">Identificación del Subsistema Poblacional. </t>
  </si>
  <si>
    <t>Elaboración de directrices y orientaciones con el fin de determinar los escenarios de uso y ocupación del espacio, especialmente en áreas de conurbación, relacionadas con:</t>
  </si>
  <si>
    <t xml:space="preserve">La conservación y protección del medio ambiente, la biodiversidad y los recursos naturales, de modo que se busque garantizar la protección de los recursos naturales y, en particular, áreas protegidas, ecosistemas estratégicos y sus servicios ecosistémicos asociados y conservación de la estructura ecológica departamental. </t>
  </si>
  <si>
    <t>La  gestión  del  riesgo  de  desastres,  así  como  acciones  para  la adaptación al cambio climático. La identificación de áreas de amenazas de origen socio-natural, tecnológico, biosanitario o humanos no intencional, que generen riesgo para la localización de asentamientos humanos y para el desarrollo de infraestructuras, servicios y equipamientos regionales y la orientación de medidas de planificación y la definición de proyectos de mitigación que permitan controlar y/o reducir el riesgo existente y que eviten la generación de nuevo riesgo.</t>
  </si>
  <si>
    <t>El desarrollo rural con enfoque territorial sustentado en el ordenamiento productivo agropecuario, el ordenamiento social de la propiedad rural, y de las áreas para la  producción agropecuaria y el aprovechamiento sostenible de los recursos naturales.</t>
  </si>
  <si>
    <t xml:space="preserve">Políticas de asentamientos poblacionales y centros urbanos, de tal manera que facilite el desarrollo de su territorio, particularmente con relación a los siguientes temas: </t>
  </si>
  <si>
    <t>Políticas de gestión del riesgo de desastres que incorporen el riesgo de desastre como condicionante para el uso y ocupación del territorio y como determinante del   ordenamiento territorial departamental, en búsqueda de garantizar su desarrollo seguro.</t>
  </si>
  <si>
    <t xml:space="preserve">Conservación, preservación y uso de  las áreas e inmuebles consideradas como patrimonio cultural de la Nación y de los departamentos, incluyendo, entre otros, los sitios históricos y arqueológicos y las construcciones o restos de ellas que hayan sido declarados como bienes de interés cultural. </t>
  </si>
  <si>
    <t xml:space="preserve">Ordenamiento  del  suelo  rural,  rural  suburbano  y  centros  poblados rurales. </t>
  </si>
  <si>
    <t xml:space="preserve">La  conservación,  preservación  y  uso  de  las  áreas e inmuebles consideradas como patrimonio cultural de la   Nación  y de los departamentos, incluyendo, entre otros, los sitios históricos  y arqueológicos y las construcciones o restos de ellas que hayan sido declarados como bienes de interés cultural. </t>
  </si>
  <si>
    <t xml:space="preserve">Las infraestructuras básicas relativas a la red vial nacional y regional, puertos y  aeropuertos, así como los sistemas de comunicación entre municipios y su articulación con los diferentes sistemas regionales de transporte. </t>
  </si>
  <si>
    <t xml:space="preserve">Los corredores viales suburbanos. </t>
  </si>
  <si>
    <t xml:space="preserve">Los equipamientos de escala regional y departamental que puedan ser localizados en el suelo rural de los municipios. </t>
  </si>
  <si>
    <t xml:space="preserve">Integración y orientación del POD, en la proyección espacial de los planes sectoriales departamentales con los planes de los municipios y de los grupos étnicos. </t>
  </si>
  <si>
    <t xml:space="preserve">Identificación del Subsistema de Asentamientos Poblaciones. </t>
  </si>
  <si>
    <t xml:space="preserve">Directrices y orientaciones para la localización de la infraestructura física-social de manera que se aprovechen las ventajas competitivas regionales y se promueva la equidad en el desarrollo departamental y municipal, con respecto a: </t>
  </si>
  <si>
    <r>
      <t>Determinar la ESTRUCTURA INSTITUCIONAL y articulación de los municipios para la recopilación de información secundaria como insumo para la formulación del plan.</t>
    </r>
    <r>
      <rPr>
        <b/>
        <sz val="10"/>
        <color theme="1"/>
        <rFont val="Arial"/>
        <family val="2"/>
      </rPr>
      <t xml:space="preserve"> </t>
    </r>
  </si>
  <si>
    <r>
      <t>Incentivar la PARTICIPACIÓN de actores públicos (asamblea, concejos, CAM, alcaldías) y privados en los procesos de planeación territorial.</t>
    </r>
    <r>
      <rPr>
        <b/>
        <sz val="10"/>
        <color theme="1"/>
        <rFont val="Arial"/>
        <family val="2"/>
      </rPr>
      <t xml:space="preserve"> </t>
    </r>
  </si>
  <si>
    <r>
      <t>Análisis de la problemática minera-energética en el territorio.</t>
    </r>
    <r>
      <rPr>
        <b/>
        <sz val="10"/>
        <color theme="1"/>
        <rFont val="Arial"/>
        <family val="2"/>
      </rPr>
      <t xml:space="preserve"> </t>
    </r>
  </si>
  <si>
    <r>
      <t>Identificación del Subsistema de movilidad y comunicaciones.</t>
    </r>
    <r>
      <rPr>
        <b/>
        <sz val="10"/>
        <color theme="1"/>
        <rFont val="Arial"/>
        <family val="2"/>
      </rPr>
      <t xml:space="preserve"> </t>
    </r>
  </si>
  <si>
    <r>
      <t>La definición y delimitación de las categorías de protección y desarrollo restringido del suelo rural, patrones de suburbanización, la delimitación de las unidades de planificación rural y el sistema de centros poblados rurales.</t>
    </r>
    <r>
      <rPr>
        <b/>
        <sz val="10"/>
        <color theme="1"/>
        <rFont val="Arial"/>
        <family val="2"/>
      </rPr>
      <t xml:space="preserve"> </t>
    </r>
  </si>
  <si>
    <r>
      <t>Políticas  de  mediano  y  largo  plazo  y  orientaciones  dirigidas  a  los municipios  en  su  jurisdicción  que  les  permitan  identificar  acciones prioritarias en materia de adaptación al cambio climático.</t>
    </r>
    <r>
      <rPr>
        <b/>
        <sz val="10"/>
        <color theme="1"/>
        <rFont val="Arial"/>
        <family val="2"/>
      </rPr>
      <t xml:space="preserve"> </t>
    </r>
  </si>
  <si>
    <r>
      <t>Los sistemas de abastecimiento de agua, saneamiento y suministro de energía. Así mismo deberán señalarse las áreas para la realización de actividades referidas al manejo, tratamiento y/o disposición final de residuos sólidos o líquidos, tales como rellenos sanitarios, estaciones de transferencia, plantas incineradoras de residuos, plantas de tratamiento de aguas residuales, y/o estaciones de bombeo necesarias para resolver los requerimientos propios de varios municipios y que se definan de conformidad con la normativa vigente</t>
    </r>
    <r>
      <rPr>
        <b/>
        <sz val="10"/>
        <color theme="1"/>
        <rFont val="Arial"/>
        <family val="2"/>
      </rPr>
      <t xml:space="preserve">. </t>
    </r>
  </si>
  <si>
    <t>MAQUINARIA, EQUIPOS Y SOFTWARE</t>
  </si>
  <si>
    <t>VALOR TOTAL CAPITULO</t>
  </si>
  <si>
    <t>ESTUDIOS COMPLEMETARIOS</t>
  </si>
  <si>
    <t>INGENIERO AMBIENTAL EXPERTO EN GESTION DEL RIESGO</t>
  </si>
  <si>
    <t>TIEMPO DE EJECUCION (MESES)</t>
  </si>
  <si>
    <t xml:space="preserve">Programa de ejecución del POD, estableciendo cronograma para el corto, mediano y largo plazo </t>
  </si>
  <si>
    <t>COMPONENTE 1</t>
  </si>
  <si>
    <t>NO VA</t>
  </si>
  <si>
    <t>18 MESES</t>
  </si>
  <si>
    <t>OBJETIVOS (TRES OBJETIVOS)</t>
  </si>
  <si>
    <t>ABOGADO</t>
  </si>
  <si>
    <t>CONTADOR</t>
  </si>
  <si>
    <t>PROFESIONAL DE APOYO</t>
  </si>
  <si>
    <t>PRESUPUESTO GENERAL 5.500.000.000</t>
  </si>
  <si>
    <t>Elaborar la cartografia requeria por el DECRETO 1807 DE 2014 Y 1077 DE 2015, para los estudios basicos ambientales</t>
  </si>
  <si>
    <t xml:space="preserve">Ejecutar apiques, perforaciones, trincheras y lineas de refraccion sismica y geoelectrica </t>
  </si>
  <si>
    <t>Elaboracion de diferentes ensayos de laboratorios requeridos para los estudios basicos</t>
  </si>
  <si>
    <t>Recopilación, Revisión y Analisis de Información Secundaria</t>
  </si>
  <si>
    <t>Elaboracion de la Metodologia, Cronograma y Plan de Trabajo</t>
  </si>
  <si>
    <t>Elaboracion de la Sismologia</t>
  </si>
  <si>
    <t>Analisis de la Cobertura del Suelo Local y rural</t>
  </si>
  <si>
    <t>Elaboracion del Modelo Geologico Geotecnico Rural y urbano</t>
  </si>
  <si>
    <t>Analisis de las Amenazas en zona Urbana (Escala 1:2000)y zona rural (Escala 1:25,000)</t>
  </si>
  <si>
    <t>Analisis de la Vulnerabilidad zona Urbana (Escala 1:2000) y zona Rural (Escala 1:25,000)</t>
  </si>
  <si>
    <t>Elaboracion de la Medidas de Reduccion del Riesgo - Zona Rural y Zona Urbana</t>
  </si>
  <si>
    <t>Elaboracion de Talleres de Socialización</t>
  </si>
  <si>
    <t>Elaboracion de la Geologia y Geomorfologia Rural y Local</t>
  </si>
  <si>
    <t>Elaboracion del Estudio Hidrologico e hidraulicoRural, local y cabeceras municipales</t>
  </si>
  <si>
    <t>EQUIPO Y OTROS GASTOS</t>
  </si>
  <si>
    <t>CARTOGRAFÍA PROCESO DE DIAGNOSTICO Y FORMULACION POD</t>
  </si>
  <si>
    <t>CARTOGRAFIA ESTUDIOS BASICOS</t>
  </si>
  <si>
    <t>Desplazamiento a la zona rural y urbana</t>
  </si>
  <si>
    <t>Impresión y presentación de informes, ploteo de planos, fotocopias y otros gastos de papelería</t>
  </si>
  <si>
    <t>FORMULACION TERRITORIAL</t>
  </si>
  <si>
    <t>VALOR TOTAL COMPONENTE 1-PLAN DE ORDENAMIENTO DEPARTAMENTAL</t>
  </si>
  <si>
    <t>VALOR TOTAL COMPONENTE 2-ESTUDIOS BASICOS</t>
  </si>
  <si>
    <t xml:space="preserve">Realizar de manera dinámica el diagnostico, de modo que se cuente con los elementos básicos para entender la forma cómo ha evolucionado el departamento en cada uno de los aspectos ecomicos, sociales, ambientales y fisicos espaciales. </t>
  </si>
  <si>
    <t>Identificacion de los sistemas estructurantes.</t>
  </si>
  <si>
    <t>Elaboración de directrices y orientaciones con el fin de determinar los escenarios de uso y ocupación del espacio, especialmente en áreas de conurbación.</t>
  </si>
  <si>
    <t>Políticas de asentamientos poblacionales y centros urbanos, de tal manera que facilite el desarrollo de su territorio.</t>
  </si>
  <si>
    <t>Directrices y orientaciones para la localización de la infraestructura física-social de manera que se aprovechen las ventajas competitivas regionales y se promueva la equidad en el desarrollo departamental y municipal.</t>
  </si>
  <si>
    <t>TOTAL COMPONENTE 1 + 2</t>
  </si>
  <si>
    <t>PROYECTO</t>
  </si>
  <si>
    <t>FORTALECIMIENTO DEL ORDENAMIENTO TERRITORIAL PARA LA CONSTRUCCION DE VISION REGIONAL EN EL DEPARTAMENTO DEL HUILA</t>
  </si>
  <si>
    <t>OBJETIVO GENERAL</t>
  </si>
  <si>
    <t>OBJETIVOS ESPECIFICOS</t>
  </si>
  <si>
    <t>Formular el Plan de Ordenamiento Departamental POD, como una política pública integral y de largo plazo, para planear, ordenar y gestionar las actuaciones sobre el territorio y orientar los POT Municipales, en procura del desarrollo económico, social, sostenible y armónico, con el propósito de mejorar la calidad de vida de la población, teniendo en cuenta el impacto y resultados de las propuestas, ejecuciones y evaluación del POTD</t>
  </si>
  <si>
    <t>PRODUCTO</t>
  </si>
  <si>
    <t>INDICADORES</t>
  </si>
  <si>
    <t>META</t>
  </si>
  <si>
    <t xml:space="preserve">DOCUMENTO DIAGNOSTICO CON SUS CORRESPONDIENTES SOPORTES </t>
  </si>
  <si>
    <t>DOCUMENTO REALIZADO</t>
  </si>
  <si>
    <t>CARTOGRAFÍA DIGITAL E IMPRESA, AEROFOTOGRAFÍAS, BASE DE DATOS</t>
  </si>
  <si>
    <t>CARTOGRAFIA PARA ELABORACION DEL DIAGNOSTICO</t>
  </si>
  <si>
    <t>CARTOGRAFIA PARA ELABORACION DE LA FORMULACION</t>
  </si>
  <si>
    <r>
      <t xml:space="preserve">Elaboración de cartografía para los diferentes análisis que se realicen en el proceso de diagnóstico del POD, que deberán seguir los parámetros establecidos por la Infraestructura Colombiana de Datos Espaciales (ICDE). </t>
    </r>
    <r>
      <rPr>
        <b/>
        <sz val="10"/>
        <color theme="1"/>
        <rFont val="Arial"/>
        <family val="2"/>
      </rPr>
      <t xml:space="preserve"> </t>
    </r>
  </si>
  <si>
    <t xml:space="preserve">Elaboración y estructuración de las cartografías temáticas para el proceso de formulacion que deberán seguir los parámetros establecidos por la Infraestructura Colombiana de Datos Espaciales (ICDE). </t>
  </si>
  <si>
    <t>ACTIVIDADES</t>
  </si>
  <si>
    <t>ACTIVIDADES Y ESTUDIOS DE APOYO</t>
  </si>
  <si>
    <t>EXPLORACIÓN DEL SUBSUELO Y ENSAYOS DE LABORATORIO</t>
  </si>
  <si>
    <t xml:space="preserve">DOCUMENTO DE FORMULACION CON SUS CORRESPONDIENTES SOPORTES </t>
  </si>
  <si>
    <t xml:space="preserve">1. Elaborar el diagnóstico del territorio del departamento del Huila, mediante del análisis de sus elementos estructurantes, el estado actual de su ordenamiento, de modo tal que permita entender la evolución de cada uno de estos elementos y su incidencia en el desarrollo integral del departamento.     2.Formular el Plan de Ordenamiento Departamental mediante la construcción de escenarios, la definición de directrices para el uso y ocupación, la gestión integral del riesgo de las áreas de conurbanizacion, localización de infraestructura física y social, políticas que faciliten las relaciones y la gestión del riesgo entre los centros urbanos y asentamientos poblacionales, la armonización en la proyección espacial de los planes sectoriales entre el departamento y los municipios.     3.Elaboración de la cartografía temática y especifica mediante la espacializacion de las problemáticas actuales y las propuestas de organización de sus sistemas estructurantes, que permita visualizar su organización físico espacial y funcional. </t>
  </si>
  <si>
    <t xml:space="preserve">INFORME FINAL DE RESULTADOS DE LOS ENSAYOS Y EXPLORACION DEL SUBSUELO </t>
  </si>
  <si>
    <t>ENSAYOS DE LABORATORIO REALIZADOS PARA ESTUDIOS BASICOS</t>
  </si>
  <si>
    <t>EXPLORACION DEL SUBSUELO</t>
  </si>
  <si>
    <t>CARTOGRAFIA PARA LA ELABORACION DE ESTUDIOS BASICOS</t>
  </si>
  <si>
    <t xml:space="preserve">Elaboracion del informe final </t>
  </si>
  <si>
    <t>INFORME FINAL CON RESULTADOS DE ACTIVAIDADES DE APOYO Y SOPORTES</t>
  </si>
  <si>
    <t>DOCUMENTOS SOPORTES DE ESTUDIOS BASICOS</t>
  </si>
  <si>
    <t>DOCUMENTO IMPRESO FINAL DE ESTUDIO BASICO</t>
  </si>
  <si>
    <t xml:space="preserve">1. Elaborar el diagnóstico del territorio del departamento del Huila, mediante del análisis de sus elementos estructurantes, el estado actual de su ordenamiento, de modo tal que permita entender la evolución de cada uno de estos elementos y su incidencia en el desarrollo integral del departamento.                                         2.Formular el Plan de Ordenamiento Departamental mediante la construcción de escenarios, la definición de directrices para el uso y ocupación, la gestión integral del riesgo de las áreas de conurbanizacion, localización de infraestructura física y social, políticas que faciliten las relaciones y la gestión del riesgo entre los centros urbanos y asentamientos poblacionales, la armonización en la proyección espacial de los planes sectoriales entre el departamento y los municipios.                                                  3.Elaboración de la cartografía temática y especifica mediante la espacializacion de las problemáticas actuales y las propuestas de organización de sus sistemas estructurantes, que permita visualizar su organización físico espacial y funcional. </t>
  </si>
  <si>
    <t>MESES</t>
  </si>
  <si>
    <t xml:space="preserve">Analizar el territorio mediante la identificacion de los elementos estructurantes del ordenamiento territorial, identificando el estado actual de ordenamiento. </t>
  </si>
  <si>
    <t>VALOR INTERVENTORIA 7%</t>
  </si>
  <si>
    <t xml:space="preserve">GOBERNACION DEL HUILA </t>
  </si>
  <si>
    <t xml:space="preserve">DEPARTAMENTO ADMINISTRATIVO DE PLANEACION DEL HUILA </t>
  </si>
  <si>
    <t>REALIZAR LA INTERVENTORIA TECNICA ADMINISTRATIVA Y FINANCIERA AL CONTRATO CUYO OBJETO ES:  “FORTALECIMIENTO DEL ORDENAMIENTO TERRITORIAL PARA LA CONSTRUCCION DE VISION REGIONAL DEL DEPARTAMENTO DEL HUILA”</t>
  </si>
  <si>
    <t>ÍTEM</t>
  </si>
  <si>
    <t>CONCEPTO</t>
  </si>
  <si>
    <t>CATEGORÍA</t>
  </si>
  <si>
    <t xml:space="preserve">COSTO MES </t>
  </si>
  <si>
    <t xml:space="preserve">COSTO TOTAL MENSUAL </t>
  </si>
  <si>
    <t>DEDICACIÓN</t>
  </si>
  <si>
    <t>TOTAL MESES</t>
  </si>
  <si>
    <t>A</t>
  </si>
  <si>
    <t>PERSONAL PROFESIONAL</t>
  </si>
  <si>
    <t xml:space="preserve">DIRECTOR DE INTERVENTORIA </t>
  </si>
  <si>
    <t>1.1</t>
  </si>
  <si>
    <t xml:space="preserve">DIRECTOR DE CONSULTORIA - ARQUITECTO  ESPECIALISTA EN PLANIFICACION TERRITORIAL Y/O ORDENAMIENTO TERRITORIAL </t>
  </si>
  <si>
    <t>Profesional Grado 17</t>
  </si>
  <si>
    <t>SUBTOTAL PERSONAL PROFESIONAL DIRECCION INTERVENTORIA</t>
  </si>
  <si>
    <t xml:space="preserve">GESTION DEL RIESGO </t>
  </si>
  <si>
    <t>2.1</t>
  </si>
  <si>
    <t>INGENIERO CIVIL Y/O AMBIENTAL Y/O  GEOLOGO  CON EXPERIENCIA EN GESTION DEL RIESGO</t>
  </si>
  <si>
    <t>Profesional Grado 5</t>
  </si>
  <si>
    <t xml:space="preserve">SUBTOTAL PERSONAL PROFESIONAL INSPECTOR DE OBRA </t>
  </si>
  <si>
    <t xml:space="preserve">EQUIPO  PROFESIONAL ADICIONAL </t>
  </si>
  <si>
    <t>ABOGADO CON EXPERIENCIA EN PROCESOS DE ORDENAMIENTO TERRITORIAL Y/O  GESTION DEL RIESGO</t>
  </si>
  <si>
    <t>Profesional Grado 6</t>
  </si>
  <si>
    <t xml:space="preserve">CONTADOR </t>
  </si>
  <si>
    <t>TOTAL PERSONAL PROFESIONAL</t>
  </si>
  <si>
    <t xml:space="preserve">VALOR </t>
  </si>
  <si>
    <t>PARCIAL</t>
  </si>
  <si>
    <t>B</t>
  </si>
  <si>
    <t xml:space="preserve">PERSONAL TECNICO AUXILIAR </t>
  </si>
  <si>
    <t>B1</t>
  </si>
  <si>
    <t>SECRETARIA</t>
  </si>
  <si>
    <t>Tecnico 01</t>
  </si>
  <si>
    <t>B2</t>
  </si>
  <si>
    <t>TECNICO AMBIENTAL</t>
  </si>
  <si>
    <t>B3</t>
  </si>
  <si>
    <t>TECNICO EN SIG</t>
  </si>
  <si>
    <t>Tecnico 03</t>
  </si>
  <si>
    <t>B4</t>
  </si>
  <si>
    <t xml:space="preserve">TECNICO EN SUELOS </t>
  </si>
  <si>
    <t>SUBTOTAL PERSONAL TECNICO AUXILIAR</t>
  </si>
  <si>
    <t>TOTAL COSTOS DEL PERSONAL</t>
  </si>
  <si>
    <t>COSTOS DE INSUMOS, ADMINISTRACION Y OTROS COSTOS (*)</t>
  </si>
  <si>
    <t>COSTO TOTAL MENSUAL</t>
  </si>
  <si>
    <t>C</t>
  </si>
  <si>
    <t>INSUMOS (OTROS COSTOS)</t>
  </si>
  <si>
    <t>C1</t>
  </si>
  <si>
    <t xml:space="preserve">VEHICULO  DE 1300 -2000 C.C. </t>
  </si>
  <si>
    <t>MES</t>
  </si>
  <si>
    <t>C2</t>
  </si>
  <si>
    <t>EDICION DE INFORMES, ESTUDIOS FOTOGRAFICOS, DOCUMENTACION, FOTOCOPIAS,   PAPELERIA Y PLOTTEADA DE PLANOS.</t>
  </si>
  <si>
    <t>C3</t>
  </si>
  <si>
    <t>ALQUILER EQUIPOS DE COMPUTO Y  DE OFICINA</t>
  </si>
  <si>
    <t>COMUNICACIONES   (telefonía fija o celular, fax, correo, etc.)</t>
  </si>
  <si>
    <t xml:space="preserve"> *  TOTAL INSUMOS, ADMINISTRACION Y OTROS COSTOS</t>
  </si>
  <si>
    <t>TOTAL COSTOS</t>
  </si>
  <si>
    <t>FORTALECIMIENTO DEL ORDENAMIENTO TERRITORIAL PARA LA CONSTRUCCION DE VISION REGIONAL DEL DEPARTAMENTO DEL HUILA</t>
  </si>
  <si>
    <t>GRAN TOTAL</t>
  </si>
  <si>
    <t xml:space="preserve">Documento de recopilación y análisis de información y acuerdo de plan de trabajo </t>
  </si>
  <si>
    <t xml:space="preserve">Documento Diagnóstico territorial y escenarios actual y tendencial </t>
  </si>
  <si>
    <t xml:space="preserve">Documento de formulación con su correspondiente modelo de territorio deseado y directrices.
</t>
  </si>
  <si>
    <t xml:space="preserve">Documento de formulación con sus correspondientes estrategias, programas y proyectos.
</t>
  </si>
  <si>
    <t xml:space="preserve">Cartografía digital e impresa, aerofotografías, base de datos
</t>
  </si>
  <si>
    <t>Documentos Técnicos de Soporte</t>
  </si>
  <si>
    <t>Proyecto de Ordenanza</t>
  </si>
  <si>
    <t>VALOR TOTAL</t>
  </si>
  <si>
    <t>Identificar y determinar los sistemas estructurantes regionales.</t>
  </si>
  <si>
    <t>Elaboración del proyecto de Ordenanza.</t>
  </si>
  <si>
    <t xml:space="preserve">GOBERNACION DEL HUILA - DEPARTAMENTO ADMINISTRATIVO DE PLANEACION DEL HUILA </t>
  </si>
  <si>
    <t>VALOR PARCIAL SIN IVA</t>
  </si>
  <si>
    <t>VALOR TOTAL + IVA</t>
  </si>
  <si>
    <t>IVA 19%</t>
  </si>
  <si>
    <t>FORMULAR EL PLAN DE ORDENAMIENTO TERRITORIAL PARA EL DEPARTAMENTO DEL HUILA</t>
  </si>
  <si>
    <t>}</t>
  </si>
  <si>
    <t>Formular un Plan de Ordenamiento territorial para el departamento del Huila, como una política pública de integración regional y de largo plazo, que permita una eficiente planificación física y socioeconómica del territorio mediante la emisión de directrices a los POT Municipales</t>
  </si>
  <si>
    <t xml:space="preserve">PRODUCTO </t>
  </si>
  <si>
    <t>DOCUMENTO  BASE PARA EL ALISTAMIENTO INSTITUCIONAL</t>
  </si>
  <si>
    <t xml:space="preserve">Elaboración de un documento donde se definan los mecanismos y estrategias de comunicación para la inclusión participativa de los diversos actores durante el proceso de formulación del plan de ordenamiento </t>
  </si>
  <si>
    <t>Conformación de la Comisión de Ordenamiento Departamental con su respectivo reglamento</t>
  </si>
  <si>
    <t>Preparación de un espacio físico, equipos y recurso humano</t>
  </si>
  <si>
    <t>Elaboración de un Documento Diagnóstico territorial con su correspondiente escenario actual y tendencial</t>
  </si>
  <si>
    <t>Elaboración de Estudios complementarios</t>
  </si>
  <si>
    <t xml:space="preserve">Elaboración de cartografía para los diferentes análisis que se realicen en el proceso de diagnóstico del POD, que deberán seguir los parámetros establecidos por la Infraestructura Colombiana de Datos Espaciales (ICDE).  </t>
  </si>
  <si>
    <t>DOCUMENTO DE FORMULACION TERRITORIAL CON SUS RESPECTIVOS SOPORTES</t>
  </si>
  <si>
    <t>DOCUMENTO DE DIAGNÓSTICO TERRITORIAL CON SUS RESPECTIVOS SOPORTES</t>
  </si>
  <si>
    <t>INSTRUMENTO JURIDICO POR EL CUAL SE ADOPTA EL POD MEDIANTE LA DEFINICIÓN DE SU MARCO NORMATIVO, ESTRUCTURA, CONTENIDOS Y ALCANCES</t>
  </si>
  <si>
    <t xml:space="preserve">Elaboración y estructuración de las cartografías temáticas para el proceso de formulación que deberán seguir los parámetros establecidos por la Infraestructura Colombiana de Datos Espaciales (ICDE). </t>
  </si>
  <si>
    <t>Elaboración del Instrumento jurídico por el cual se adopta el POD mediante la definición de su marco normativo, estructura, contenidos y alcances</t>
  </si>
  <si>
    <t>CAPACITACIONES REALIZADAS</t>
  </si>
  <si>
    <t>Elaboración de un Documento de recopilación y análisis de información con sus correspondientes soportes</t>
  </si>
  <si>
    <t>UND</t>
  </si>
  <si>
    <t>Trabajadora Social</t>
  </si>
  <si>
    <t>Elaboración del Documento de formulación con su correspondiente modelo de territorio deseado, directrices, estrategias, programas y proyectos</t>
  </si>
  <si>
    <t>GL</t>
  </si>
  <si>
    <t>A.Atender mediante la formulación del plan de ordenamiento departamental, las nuevas demandas globales en materia ambiental, tecnológica y logística; con el fin consolidar una plataforma territorial para la competitividad regional basada en el fomento de los proyectos regionales de desarrollo económico, potenciando los circuitos económicos existentes para reducir las desigualdades socio-espaciales, aportando a la consolidación de un territorio regional, funcionalmente integrado y conectado en su movilidad y que promueve la conservación de su base natural y estructura ecológica como principal elemento de articulación con los demás municipios del Departamento del Huila.</t>
  </si>
  <si>
    <t>B.Preparar a la sociedad para la resolución pacífica de conflictos territoriales y del postconflicto, mediante la creación de estrategias de comunicación, participación y gobernanza como una política de inclusión en los procesos de planeación del desarrollo durante la formulación del Plan de Ordenamiento Departamental.</t>
  </si>
  <si>
    <t xml:space="preserve">SOCIALIZACIONES, CAPACITACIONES Y TALLERES PARTICIPATIVOS </t>
  </si>
  <si>
    <t>B. Implementar la estrategia de comunicación, participación, gobernanza y fortalecimiento institucional para todos los actores, preparando a la sociedad para la resolución pacífica de conflictos territoriales y del postconflicto en la formulación del Plan de Ordenamiento Departamental.</t>
  </si>
  <si>
    <t>1. DOCUMENTO DEL ALISTAMIENTO</t>
  </si>
  <si>
    <t>SUBPRODUCTO</t>
  </si>
  <si>
    <t>1.1. DOCUMENTO DE RECOPILACIÓN Y ANÁLISIS DE INFORMACIÓN CON SUS CORRESPONDIENTES SOPORTES.</t>
  </si>
  <si>
    <t>1.2. DOCUMENTO DE PROPUESTA DE MECANISMOS Y ESTRATEGIAS DE COMUNICACIÓN PARA LA INCLUSIÓN PARTICIPATIVA DE LOS DIVERSOS ACTORES DURANTE EL PROCESO DE FORMULACIÓN DEL PLAN DE ORDENAMIENTO.</t>
  </si>
  <si>
    <t>1.3 REGLAMENTO DEL COMITÉ TÉCNICO DE ACOMPAÑAMIENTO AL PROCESO DE ORDENAMIENTO</t>
  </si>
  <si>
    <t>1.4 DOCUMENTO DE DETALLE Y AJUSTE AL PLAN DE TRABAJO</t>
  </si>
  <si>
    <t>2. DOCUMENTOS Y CARTOGRAFÍA DE DIAGNÓSTICO</t>
  </si>
  <si>
    <t>2.1 DOCUMENTOS TÉCNICOS DE ANÁLISIS POR SUSBSISTEMAS, Y DE INDENTIFICACIÓN DE ESCENARIOS ACTUAL Y TENDENCIAL</t>
  </si>
  <si>
    <t>2.2 DOCUMENTOS Y CARTOGRAFÍA DE ESTUDIOS COMPLEMENTARIOS DE ANÁLISIS DE AMENAZAS DE 16 MUNICIPIOS</t>
  </si>
  <si>
    <t>2.3 CARTOGRAFÍA DE ANÁLISIS POR SUBSISTEMAS Y DE INDENTIFICACIÓN DE ESCENARIOS DEL DIAGNÓSTICO</t>
  </si>
  <si>
    <t>3. DOCUMENTOS TÉCNICOS DE LA FORMULACIÓN</t>
  </si>
  <si>
    <t xml:space="preserve">
3.1. DOCUMENTO DE MODELO Y DIRECTRICES DE ORDENAMIENTO.
</t>
  </si>
  <si>
    <t xml:space="preserve">3.2. DOCUMENTO DE PROGRAMAS, PROYECTOS, FUENTES DE FINANCIACIACIÓN Y ESTRATEGIAS DE GESTIÓN CON HOJA DE RUTA PARA LA IMPLEMENTACIÓN DEL PLAN. </t>
  </si>
  <si>
    <t>3.3. DOCUMENTO DE PROPUESTA DEL SISTEMA SEGUIMIENTO, EVALUACIÓN Y CONTROL DEL POD EN LA ETAPA DE IMPLEMENTACIÓN.</t>
  </si>
  <si>
    <t>3.4. CARTOGRAFÍAS TEMÁTICAS PARA EL PROCESO DE FORMULACIÓN QUE DEBERÁN SEGUIR LOS PARÁMETROS ESTABLECIDOS POR LA INFRAESTRUCTURA COLOMBIANA DE DATOS ESPACIALES (ICDE).</t>
  </si>
  <si>
    <t>3.5. BORRADOR DE INSTRUMENTO JURIDICO POR EL CUAL SE ADOPTA EL POD MEDIANTE LA DEFINICIÓN DE SU MARCO NORMATIVO, ESTRUCTURA, CONTENIDOS Y ALCANCES.</t>
  </si>
  <si>
    <t xml:space="preserve">4. DOCUMENTOS DE DESARROLLO Y SEGUIMIENTO A LA IMPLEMENTACIÓIN DE LA ESTRAEGIA DE COMUNICACIÓN ELABORADA EN LA ETAPA DE ALISTAMIENTO (SOCIALIZACIONES, CAPACITACIONES Y TALLERES PARTICIPATIVOS REGIONALES).    </t>
  </si>
  <si>
    <t>4.1. PIEZAS DE COMUNICACIÓN</t>
  </si>
  <si>
    <t>4.2. TALLERES Y OTROS ESPACIOS DE PARTICIPACIÓN CON LOS CORRESPONDIENTES DOCUMENTOS DE TRAZABILIDAD DEL PROCESO.</t>
  </si>
  <si>
    <t>4.3. EVENTOS Y ACTIVIDADES PARA EL FORTALECIMIENTO INSTITUCIONAL Y DE LA GOBERNANZA.</t>
  </si>
  <si>
    <t>NUMERO DE TALLERES REALIZADOS</t>
  </si>
  <si>
    <t xml:space="preserve">NUMERO DE PIEZAS DE COMUNICACIÓN </t>
  </si>
  <si>
    <t>NUMERO DE EVENTOS REALIZADOS</t>
  </si>
  <si>
    <t xml:space="preserve">
• Elaborar la cartografía de diagnóstico que permita visualizar:
El estado actual de los sistemas estructurales del territorio.
Los POT de los municipios y su impacto en el modelo de ocupación supramunicipal.
La incidencia de los planes de desarrollo en la evolución de los sistemas estructurantes del territorio.
Los elementos estructurantes del territorio y su articulación regional.
</t>
  </si>
  <si>
    <t>• Elaborar la cartografía de formulación que visualice:
Los escenarios de uso y ocupación de las áreas de conurbación, 
Las relaciones funcionales entre centros urbanos y asentamientos poblacionales,
Los sistemas estructurantes del modelo de ordenamiento  
La localización y su relación, de las infraestructuras y equipamientos físico-sociales en la región 
La estructura ecológica del departamento y su interacción con los demás sistemas estructurantes
La proyección espacial entre los planes sectoriales del departamento, los municipios, grupos étnicos, 
Los programas y proyectos, su localización y relación en las áreas de conurbación, infraestructuras y equipamientos físico-sociales regionales</t>
  </si>
  <si>
    <t xml:space="preserve">• Realizar cuatro (4) talleres de validación para  evidenciar el  proceso  de participación de los ciudadanos en las fases de Diagnóstico y Formulación del POD, logrado en consenso con  los diferentes actores involucrados.  
• Realizar un Diplomado en Ordenamiento Territorial en coordinación con la Universidad Surcolombiana y/o  Universidad Corhuila, y/o Universidad  Antonio Nariño.
• Realizar cuatro (4) foros con participación de panelistas nacionales y expertos y académicos de carácter nacional y regional. </t>
  </si>
  <si>
    <t>• Identificar y recolectar información cartográfica, estadística, técnica y de marco jurídico para el POD de nivel nacional, departamental y municipal
• Realizar un balance del estado, calidad y vacíos de información
• Sistematizar la información existente y fijar ruta o agenda para consecución de información faltante</t>
  </si>
  <si>
    <t>• Realizar reuniones preliminares con integrantes del comité técnico (CROT ampliada).
• Elaborar y adoptar el documento de reglamento del comité técnico.
• Definir el plan de acción y el cronograma del comité técnico.
• Definir la modalidad de trabajo y periodicidad de los encuentros.
• Proponer los mecanismos de conciliación y concertación.</t>
  </si>
  <si>
    <t>• Identificar los temas estratégicos o  hipótesis que orientan el diagnóstico (en los sistemas estructurantes del territorio y en el componente normativo, de gobernanza y participación)
• Analizar los modelos de ocupación e impactos de las determinaciones normativas de los POT en la escala  supra municipal (áreas de conurbación, suelos rurales y de expansión)
• Analizar los subsistemas por cuatro subregiones: Centro, Sur, Oriente y occidente con énfasis en las zonas económicas de cada región.
• Compilar y sistematizar la información, identificando las interacciones territoriales entre subregiones y municipios por subsistemas integrados
• Identificar escenario actual y tendenciales considerando los modelos de ocupación de los POT, las dinámicas económicas productivas y del sector privado, las políticas y proyectos de nivel nacional y departamental que configuran el estado actual del territorio, las dinámicas del posconflicto y las desiguales socio espaciales (ajustar o complementar de acuerdo a los énfasis que quiera hacer el departamento)
• Contrastar o validar el Plan Huila 2050 y demás documentos frente al Plan de Desarrollo del Huila "El Camino es la Educación" identificando vacíos, oportunidades, retos, entre otros.
• Identificar y analizar temas y proyectos de nivel nacional que impactan el departamento
• Identificar conformación de clúster, cadenas productivas, oportunidades territoriales para la productividad y la competitividad 
• Vincular dentro de la política pública de Ordenamiento Departamental las directrices de Cambio Climático.</t>
  </si>
  <si>
    <t>• Formular la propuesta del Sistema de Información Geográfica SIG, que defina los requerimientos, recomendaciones, estándares y metodología para organizar y administrar la información espacial estadística y cartográfica producida durante la implementación del POD. Su implementación estará a cargo de la secretaría de planeación una vez haya finalizado el contrato de consultoría; la estructuración de la propuesta deberá ser concordante con la viabilidad técnica de captura de datos por pate del Departamento 
• Proponer los indicadores de seguimiento a la gestión e implementación del POD y evaluación de resultados a la implementación de las estrategias, programas y proyectos, y su contribución a la construcción del modelo de ordenamiento.</t>
  </si>
  <si>
    <t>• Definir programas y proyectos estratégicos regionales que permitan la construcción colectiva de la estructura territorial en las áreas de conurbación, infraestructuras y equipamientos físicos-sociales, asentamientos poblacionales y centros urbanos, que faciliten el desarrollo armónico del territorio.
• Identificar el cronograma general de implementación de los programas y proyectos POD para el corto, medianos y largo plazo
• Identificar fuentes de financiación, mecanismos asociativos, y estrategias de gestión para la implementación del Plan. Proponer por cada proyecto y programa las fuentes de financiación y mecanismos de gestión.
• Elaborar propuesta y recomendaciones para articulación del POD a los instrumentos de planeación y desarrollo en el mediano y largo plazo (POT, Planes de Desarrollo departamental y municipales)
• Proponer el mecanismo para la operación del Comité técnico de la CROT durante la implementación del POT, para hacer el respectivo seguimiento y evaluación. 
• Elaborar la hoja de ruta para la coordinación interinstitucional durante la implementación del POD: propuesta de agenda departamento-nación, departamento-municipios, autoridades ambientales y actores claves de la dinámica regional.</t>
  </si>
  <si>
    <t>• Realizar actividades de prospectiva, participación (ver desarrollo de actividades objetivos 2)
• Actualizar la visión del Departamento con los insumos técnicos del diagnóstico y con las actividades de participación y construcción colectiva del modelo descritas en el objetivo 2: (etapa de formulación)
• Definir los temas estratégicos para la elaboración del modelo mediante la revisión de apuestas nacionales, departamentales, subregionales y supramunicipales 
• Realizar ejercicios y metodologías para toma de decisiones  para la selección de escenarios por cada uno de los subsistemas
• Realizar ejercicios de priorización técnica y/o política de las apuestas o escenarios
• Construir el modelo a partir del ejercicio de priorización y el ajuste a la visión
• Identificar las estrategias por cada uno de los subsistemas para cumplir con las apuestas trazadas
• Elaborar las directrices para incorporar en cada uno de los POT municipales para el desarrollo del modelo de ordenamiento departamental en el largo plazo 
• Elaborar las recomendaciones al gobierno nacional para la adecuación de planes, programas y proyectos a la escala departamental 
• Elaborar las recomendaciones de marco jurídico para la adopción del Plan.</t>
  </si>
  <si>
    <t xml:space="preserve">• Elaborar un documento que compila los resultados del diagnóstico y la formulación el cual sirve de sustento y es parte integral del instrumento jurídico con su correspondiente cartografía.
• Elaborar el borrador del instrumento jurídico de adopción del Plan el cual debe contener como mínimo:
Directrices y Orientaciones en Áreas de Conurbación. 
Recomendaciones al Gobierno nacional
Directrices de OT departamental para incorporar en la revisión y/o ajuste de los POT municipales en coordinación con las determinantes de ordenamiento
Políticas para la relación entre Asentamientos y Centros Urbanos con el sistema de asentamientos 
Directrices y Orientaciones para la Localización de Infraestructuras y Equipamientos a escala subregional y departamental  
Articulación Espacial de Planes Sectoriales  
La elaboración del programa de ejecución, indicando prioridades, tiempos, fuentes de financiación  y responsables de su gestión
</t>
  </si>
  <si>
    <t>• Elaborar  dos piezas de comunicación de Lanzamiento oficial del proceso para informar sobre la formulación del POD (plegable y video).
 • Realizar cuatro (4)  entrevistas del al director del Planeación para los medios de comunicación donde se informe sobre qué es el POD, y se exponga qué implica para el departamento.
• Habilitar un sitio en la página web de la Gobernación del Huila, Secretaria de Planeación con información del proceso; esta información será actualizada con periodicidad quincenal.
• Difundir por correo electrónico a diferentes listas de contactos y actores que se hagan presentes en los talleres participativos.
• Elaborar una cartilla de las generalidades del POD y un plegable con la metodología de participación, con el fin de facilitar la comunicación y el proceso con la ciudadanía, que será entregado a los asistentes de los talleres participativos.
• Se elaborarán boletines de prensa, incluyendo archivo fotográfico y relatoría de los encuentros realizados con la ciudadanía.
• Creación Crear de una página en Facebook que permita subir constantemente información, compartir contenido, ya sea links, fotos o videos del POD. 
• Crear una cuenta con la facilidad de comunicación por chat y redes sociales que permita la comunicación en tiempo real, realizando intercambios de información y dando lugar a debates y comentarios sobre los contenidos. 
• Crear una cuenta de Twitter para publicar, compartir, intercambiar, información del POD en tiempo real.
• Convocatoria para Realizar un concurso de diseño, desarrollo e implementación de video juego interactivo “Construyendo Huilensidad Territorial región HUILA” dirigido a entusiastas de la computación.</t>
  </si>
  <si>
    <t>En la etapa de diagnóstico:
 • Realizar mínimo 12 talleres participativos regionales y elaborar un documento que sistematiza los aportes recibidos en la etapa de Diagnóstico (sistemas estructurantes y escenarios) (con las temáticas, características y condiciones descritas en el documento técnico). 
• Realizar comités asesores por temas estratégicos o sistemas estructurantes de ordenamiento mínimo cuatro (4) reuniones de validación o complementación del diagnóstico.
 • Realizar mínimo cuatro (4)  mesas de trabajo con CAM, para identificación de determinantes y discusión de temas estratégicos para el diagnóstico y la formulación. 
• Realizar cuatro (4)  reuniones con la Contraloría y otras instancias para identificar rutas de trabajo en temas de transparencia para el ejercicio del ordenamiento territorial en el departamento y los municipios. 
• Sistematizar y consolidar soportes de seguimiento a las reuniones y talleres (Fotografías, actas, listados de asistencia, etc).
• Ajustar y elaborar los documentos técnicos del diagnóstico (productos del objetivo 1) con los aportes recibidos en los talleres de participación.
En la etapa de formulación: 
• Realizar cinco (5) mesas de trabajo y concertación para la actualización de la visión departamental 
• Realizar cinco (5)  mesas de trabajo y concertación para la construcción del modelo de ordenamiento con los actores municipales y la CAM
• Realizar cuatro (4) comités asesores por temáticas o subsistemas (CROT)</t>
  </si>
  <si>
    <t>• Revisar y ajustar cronograma con equipo de profesionales del proyecto POD
• Ajustar organigrama en relación con los profesionales aportados por la oferta del Programa POT Modernos
• Realizar actividad de empalme con profesionales del Programa POT Modernos</t>
  </si>
  <si>
    <t xml:space="preserve">4. DOCUMENTOS DE DESARROLLO Y SEGUIMIENTO A LA IMPLEMENTACIÓIN DE LA ESTRATEGIA DE COMUNICACIÓN ELABORADA EN LA ETAPA DE ALISTAMIENTO (SOCIALIZACIONES, CAPACITACIONES Y TALLERES PARTICIPATIVOS REGIONALES).    </t>
  </si>
  <si>
    <t>• Identificar y elaborar mapa de actores y escalas de trabajo (Nacional, departamental, subregional, municipal, gremios, organizaciones civiles y comunitarias, relacionadas con el POD).
• Identificar los mecanismos y actividades de participación, de armonización y concertación según grupos de actores.
• Elaborar matriz de actores teniendo en cuenta: nivel de conocimiento social, cargo, especialidad, expectativa /aspiración, grado de influencia (líder de opinión,  consultor, influencia local).
• Identificación de actores  de acuerdo a las diferentes instancias de participación: nacional, regional, local. 
• Proponer las instancias o mecanismos, formatos etc.; para la verificación y seguimiento de resultados de los actividades de participación.
• Realizar 4 talleres de acercamiento con los principales actores para informar sobre el proceso.</t>
  </si>
  <si>
    <t xml:space="preserve">• Elaborar los estudios de análisis de amenaza para 16 municipios del departamento del Huila: Aipe, Algeciras, Colombia, Hobo, Íquira, La Argentina, La Plata, Nátaga, Neiva, Palermo, Pital, Saladoblanco, Santa María, Tarqui, Teruel y Yaguará, teniendo en cuenta lo establecido en la Ley 1523 de 2012, particularmente en cuanto a los principios de subsidiariedad, complementariedad y lo dispuesto por el artículo 38 en materia de gestión del riesgo; como fortalecimiento del componente de amenazas en las etapas de diagnóstico y formulación del POD.                                                                                                                                                                                                           • Sistematización de los resultados de los estudios para armar la capa total del departamento o la porción de departamento estudiada. </t>
  </si>
  <si>
    <t>A. Formular los documentos técnicos del plan de ordenamiento departamental del Huila, para atender  a las nuevas demandas globales en materia ambiental, tecnológica y logística; con el fin de consolidar una plataforma territorial para la competitividad regional basada en el fomento de los proyectos regionales de desarrollo económico, potenciando los circuitos económicos existentes para reducir las desigualdades socio-espaciales, aportando a la consolidación de un territorio regional, funcionalmente integrado y conectado en su movilidad y que promueve la conservación de su base natural y estructura ecológica como principal elemento de articulación con los demás municipios del Departamento del Huila..</t>
  </si>
  <si>
    <t>Elaborar un instrumento de ordenamiento para el departamento del Huila que permita una eficiente planificación física y socioeconómica del territorio, mediante la emisión de directrices  y lineamientos a los para los POT Municipales; estrategias para optimizar las inversiones públicas territoriales, y mecanismos para la participación y la gobernanza para del ordenamiento territorial.</t>
  </si>
  <si>
    <t>INSUMOS</t>
  </si>
  <si>
    <t>Adquisición de Licencia del software ArcGIS</t>
  </si>
  <si>
    <t>SUBTOTAL PERSONAL PROFESIONAL</t>
  </si>
  <si>
    <t>FACTOR MULTIPLICADOR EMPRESAS DE CONSULTORIA</t>
  </si>
  <si>
    <t>PORCENTAJE</t>
  </si>
  <si>
    <t>1.</t>
  </si>
  <si>
    <t>Salarios y Prestaciones Sociales de Personal Facturable</t>
  </si>
  <si>
    <t>MESES DE TRABAJO</t>
  </si>
  <si>
    <t>1.1.</t>
  </si>
  <si>
    <t xml:space="preserve">Salarios </t>
  </si>
  <si>
    <t>1.2.</t>
  </si>
  <si>
    <t>Prima anual (legal)</t>
  </si>
  <si>
    <t xml:space="preserve"> ÷ 12 =</t>
  </si>
  <si>
    <t>+FC[-4]*FC[-3]</t>
  </si>
  <si>
    <t>1.3.</t>
  </si>
  <si>
    <t>Cesantía</t>
  </si>
  <si>
    <t>1.4.</t>
  </si>
  <si>
    <t>Intereses de cesantía</t>
  </si>
  <si>
    <t xml:space="preserve"> x 1.3. =</t>
  </si>
  <si>
    <t>1.5.</t>
  </si>
  <si>
    <t>Vacaciones</t>
  </si>
  <si>
    <t>1.6.</t>
  </si>
  <si>
    <t>Seguridad Social (salud + pensión)</t>
  </si>
  <si>
    <t>1.7.</t>
  </si>
  <si>
    <t>Caja de Compensación Familiar</t>
  </si>
  <si>
    <t>1.8.</t>
  </si>
  <si>
    <t>ARP</t>
  </si>
  <si>
    <t>1.9.</t>
  </si>
  <si>
    <t>Sena</t>
  </si>
  <si>
    <t>1.10.</t>
  </si>
  <si>
    <t>ICBF</t>
  </si>
  <si>
    <t>1.11.</t>
  </si>
  <si>
    <t>Otros (Auxilios varios, prestaciones extralegales, Incapacidades no cubertas)</t>
  </si>
  <si>
    <t>1.12.</t>
  </si>
  <si>
    <t>Dotación</t>
  </si>
  <si>
    <t>Sub-total</t>
  </si>
  <si>
    <t>2.</t>
  </si>
  <si>
    <t>Gastos Directos</t>
  </si>
  <si>
    <t>2.1.</t>
  </si>
  <si>
    <t>Arriendo oficina</t>
  </si>
  <si>
    <t>2.2.</t>
  </si>
  <si>
    <t>Administración edificio</t>
  </si>
  <si>
    <t>3.2.</t>
  </si>
  <si>
    <t>Servicios públicos</t>
  </si>
  <si>
    <t>3.</t>
  </si>
  <si>
    <t>Gastos Generales</t>
  </si>
  <si>
    <t>3.1.</t>
  </si>
  <si>
    <t>Preparación de Propuesta</t>
  </si>
  <si>
    <t>3.3.</t>
  </si>
  <si>
    <t>Equipos y mantenimiento Oficina (Aseo)</t>
  </si>
  <si>
    <t>3.7.</t>
  </si>
  <si>
    <t>Papelería y útiles de oficina</t>
  </si>
  <si>
    <t>3.8.</t>
  </si>
  <si>
    <t>Personal Administrativo no facturado</t>
  </si>
  <si>
    <t>3.11.</t>
  </si>
  <si>
    <t>Licenciamiento de software</t>
  </si>
  <si>
    <t>4.</t>
  </si>
  <si>
    <t>Costos Directos no Reembolsables</t>
  </si>
  <si>
    <t>Poliza de Calidad</t>
  </si>
  <si>
    <t>Póliza Cumplimiento</t>
  </si>
  <si>
    <t>Póliza Salarios y prestaciones Sociales</t>
  </si>
  <si>
    <t>Retefuente</t>
  </si>
  <si>
    <t>ReteICA</t>
  </si>
  <si>
    <t>5.</t>
  </si>
  <si>
    <t>Honorarios (Utilidad)</t>
  </si>
  <si>
    <t>T  O  T  A  L</t>
  </si>
  <si>
    <t>GOBERNACIÓN DEL HUILA</t>
  </si>
  <si>
    <t>VALOR PARCIAL + IVA</t>
  </si>
  <si>
    <t>GOBERNACIÓN DEL HUILA - DEPARTAMENTO ADMINISTRATIVO DE PLANEACIÓN</t>
  </si>
  <si>
    <t>FORMULACIÓN DEL PLAN DE ORDENAMIENTO TERRITORIAL DEL DEPARTAMENTO DEL HUILA</t>
  </si>
  <si>
    <t xml:space="preserve">GOBERNACIÓN DEL HUILA </t>
  </si>
  <si>
    <t xml:space="preserve">DEPARTAMENTO ADMINISTRATIVO DE PLANEACIÓN DEL HUILA </t>
  </si>
  <si>
    <t>1.1. ELABORAR EL DOCUMENTO DE RECOPILACIÓN Y ANÁLISIS DE INFORMACIÓN CON SUS CORRESPONDIENTES SOPORTES.</t>
  </si>
  <si>
    <t>1.2. REALIZAR EL DOCUMENTO DE PROPUESTA DE MECANISMOS Y ESTRATEGIAS DE COMUNICACIÓN PARA LA INCLUSIÓN PARTICIPATIVA DE LOS DIVERSOS ACTORES DURANTE EL PROCESO DE FORMULACIÓN DEL PLAN DE ORDENAMIENTO.</t>
  </si>
  <si>
    <t>1.3 REALIZAR EL DOCUMENTO DE DETALLE Y AJUSTE AL PLAN DE TRABAJO</t>
  </si>
  <si>
    <t>2.1 ELABORAR LOS DOCUMENTOS TÉCNICOS DE ANÁLISIS POR SUSBSISTEMAS, Y DE INDENTIFICACIÓN DE ESCENARIOS ACTUAL Y TENDENCIAL</t>
  </si>
  <si>
    <t>2.3 ELABORAR LA CARTOGRAFÍA DE ANÁLISIS POR SUBSISTEMAS Y DE INDENTIFICACIÓN DE ESCENARIOS DEL DIAGNÓSTICO</t>
  </si>
  <si>
    <t xml:space="preserve">3.1. ELABORAR EL DOCUMENTO DE MODELO Y DIRECTRICES DE ORDENAMIENTO.
</t>
  </si>
  <si>
    <t xml:space="preserve">3.2. REALIZAR EL DOCUMENTO DE PROGRAMAS, PROYECTOS, FUENTES DE FINANCIACIACIÓN Y ESTRATEGIAS DE GESTIÓN CON HOJA DE RUTA PARA LA IMPLEMENTACIÓN DEL PLAN. </t>
  </si>
  <si>
    <t>3.3. FORMULAR EL DOCUMENTO DE PROPUESTA DEL SISTEMA SEGUIMIENTO, EVALUACIÓN Y CONTROL DEL POD EN LA ETAPA DE IMPLEMENTACIÓN.</t>
  </si>
  <si>
    <t>3.4. ELABORAR LAS CARTOGRAFÍAS TEMÁTICAS PARA EL PROCESO DE FORMULACIÓN QUE DEBERÁN SEGUIR LOS PARÁMETROS ESTABLECIDOS POR LA INFRAESTRUCTURA COLOMBIANA DE DATOS ESPACIALES (ICDE).</t>
  </si>
  <si>
    <t>3.5. REALIZAR EL BORRADOR DE INSTRUMENTO JURIDICO POR EL CUAL SE ADOPTA EL POD MEDIANTE LA DEFINICIÓN DE SU MARCO NORMATIVO, ESTRUCTURA, CONTENIDOS Y ALCANCES.</t>
  </si>
  <si>
    <t>4.2. REALIZAR TALLERES Y OTROS ESPACIOS DE PARTICIPACIÓN CON LOS CORRESPONDIENTES DOCUMENTOS DE TRAZABILIDAD DEL PROCESO.</t>
  </si>
  <si>
    <t>4.3. REALIZAR EVENTOS Y ACTIVIDADES PARA EL FORTALECIMIENTO INSTITUCIONAL Y DE LA GOBERNANZA.</t>
  </si>
  <si>
    <t>2.2 REALIZAR LOS ESTUDIOS BASICOS DE CONFORMIDAD CON EL DECRETO 1807 DE 2014 CON SUS CORRESPONDIENTES DOCUMENTOS Y CARTOGRAFIA, PARA 16 MUNICIPIOS DEL DPTO DEL HUILA</t>
  </si>
  <si>
    <t>Estudios para los fenómenos de inundación, avenidas torrenciales y movimientos en masa para el municipio de AIPE</t>
  </si>
  <si>
    <t>Estudios para los fenómenos de inundación, avenidas torrenciales y movimientos en masa para el municipio de ALGECIRAS</t>
  </si>
  <si>
    <t>Estudios para los fenómenos de inundación, avenidas torrenciales y movimientos en masa para el municipio de COLOMBIA</t>
  </si>
  <si>
    <t>Estudios para los fenómenos de inundación, avenidas torrenciales y movimientos en masa para el municipio de HOBO</t>
  </si>
  <si>
    <t>Estudios para los fenómenos de inundación, avenidas torrenciales y movimientos en masa para el municipio de ÍQUIRA</t>
  </si>
  <si>
    <t>Estudios para los fenómenos de inundación, avenidas torrenciales y movimientos en masa para el municipio de LA PLATA</t>
  </si>
  <si>
    <t>Estudios para los fenómenos de inundación, avenidas torrenciales y movimientos en masa para el municipio de NÁTAGA</t>
  </si>
  <si>
    <t>Estudios para los fenómenos de inundación, avenidas torrenciales y movimientos en masa para el municipio de NEIVA</t>
  </si>
  <si>
    <t>Estudios para los fenómenos de inundación, avenidas torrenciales y movimientos en masa para el municipio de PALERMO</t>
  </si>
  <si>
    <t>Estudios para los fenómenos de inundación, avenidas torrenciales y movimientos en masa para el municipio de PITAL</t>
  </si>
  <si>
    <t>Estudios para los fenómenos de inundación, avenidas torrenciales y movimientos en masa para el municipio de SALADOBLANCO</t>
  </si>
  <si>
    <t>Estudios para los fenómenos de inundación, avenidas torrenciales y movimientos en masa para el municipio de SANTA MARÍA</t>
  </si>
  <si>
    <t>Estudios para los fenómenos de inundación, avenidas torrenciales y movimientos en masa para el municipio de TARQUI</t>
  </si>
  <si>
    <t>Estudios para los fenómenos de inundación, avenidas torrenciales y movimientos en masa para el municipio de TERUEL</t>
  </si>
  <si>
    <t>Estudios para los fenómenos de inundación, avenidas torrenciales y movimientos en masa para el municipio de YAGUARÁ</t>
  </si>
  <si>
    <t>Experto Urbano-Regional</t>
  </si>
  <si>
    <t>Experto Economista</t>
  </si>
  <si>
    <t>Experto SIG</t>
  </si>
  <si>
    <t>Arquitecto</t>
  </si>
  <si>
    <t>Tiempo de ejecucion</t>
  </si>
  <si>
    <t>VALOR UNITARIO</t>
  </si>
  <si>
    <t>VALOR TOTAL+IVA</t>
  </si>
  <si>
    <t>CONSOLIDADO</t>
  </si>
  <si>
    <t>ANALISIS UNITARIOS</t>
  </si>
  <si>
    <t>Copias fisicas de los Planes de Desarrollo (Acuerdos municipales vigentes y documentos tecnicos)</t>
  </si>
  <si>
    <t xml:space="preserve">Copias Físicas Planes de Ordenamiento (Acuerdos municipales vigentes, documentos tecnicos y cartograficos) </t>
  </si>
  <si>
    <t>Copias fisicas de otros documentos que se requieran para la consolidacion de informacion</t>
  </si>
  <si>
    <t>Impresión documentos tecnicos y cartograficos</t>
  </si>
  <si>
    <t xml:space="preserve">Impresión y publicación de Cartillas </t>
  </si>
  <si>
    <t>Adquisicion de equipo de computo (con especificaciones tecnicas especiales para almacenamiento)</t>
  </si>
  <si>
    <t>ACTIVIDAD 1. DOCUMENTO DE ALISTAMIENTO</t>
  </si>
  <si>
    <t>viajes</t>
  </si>
  <si>
    <t>Persona</t>
  </si>
  <si>
    <t>A. MANO DE OBRA CALIFICADA</t>
  </si>
  <si>
    <t>B. MANO DE OBRA NO CALIFICADA</t>
  </si>
  <si>
    <t>C. TRANSPORTE</t>
  </si>
  <si>
    <t>D. OTROS GASTOS GENERALES</t>
  </si>
  <si>
    <t>TOTAL MANO DE OBRA CALIFICADA</t>
  </si>
  <si>
    <t>TOTAL MANO DE OBRA NO CALIFICADA</t>
  </si>
  <si>
    <t>TOTAL TRANSPORTE</t>
  </si>
  <si>
    <t>TOTAL OTROS GASTOS GENERALES</t>
  </si>
  <si>
    <t>ANALISIS DE PRECIOS UNITARIOS</t>
  </si>
  <si>
    <t>PROYECTO: FORMULACIÓN DEL PLAN DE ORDENAMIENTO TERRITORIAL DEL DEPARTAMENTO DEL HUILA</t>
  </si>
  <si>
    <t xml:space="preserve">Tecnico </t>
  </si>
  <si>
    <t>Profesional</t>
  </si>
  <si>
    <t xml:space="preserve">Profesional </t>
  </si>
  <si>
    <t xml:space="preserve">Profesional  </t>
  </si>
  <si>
    <t>CONSULTORIA ESPECIALIZADA  PARA   EVALUACIÓN Y EMISIÓN DE CONCEPTOS DE VIABILIDAD PARA PROYECTOS EN EL MARCO DEL MECANISMO DEPARTAMENTAL DE VIABILIZACION EN EL SECTOR DE AGUA POTABLE Y SANEAMIENTO”</t>
  </si>
  <si>
    <t xml:space="preserve">LIDER DE PROYECTO </t>
  </si>
  <si>
    <t>ESPECIALISTA HIDRÁULICO SANITARIO EN DISEÑO DE REDES Y ESTRUCTURAS DE SISTEMAS DE ACUEDUCTO Y ALCANTARILLADO</t>
  </si>
  <si>
    <t>ESPECIALISTA EN DISEÑO ESTRUCTURAL</t>
  </si>
  <si>
    <t>PROFESIONAL EN FORTALECIMIENTO INSTITUCIONAL</t>
  </si>
  <si>
    <t>ASESOR EN GEOTECNIA</t>
  </si>
  <si>
    <t>ASESOR TOPÓGRAFO</t>
  </si>
  <si>
    <t>PARTICIPACION</t>
  </si>
  <si>
    <t>A. SUELDOS</t>
  </si>
  <si>
    <t>a. SALARIO BÁSICO</t>
  </si>
  <si>
    <t>B. PRESTACIONES SOCIALES</t>
  </si>
  <si>
    <t>c. INTERESES CESANTIAS (1% de las Cesantias)</t>
  </si>
  <si>
    <t xml:space="preserve">UNIDAD </t>
  </si>
  <si>
    <t xml:space="preserve">VALOR UNITARIO </t>
  </si>
  <si>
    <t>EDICION DE INFORMES,  DOCUMENTACION, FOTOCOPIAS,   PAPELERIA Y PLOTTEADA DE PLANOS.</t>
  </si>
  <si>
    <t>MENSAJERO-CONDUCTOIR</t>
  </si>
  <si>
    <t>ALQUILER DE OFICINA</t>
  </si>
  <si>
    <t>C4</t>
  </si>
  <si>
    <t>a. ESTAMPILLA PRODESARROLLO DEPARTAMENTAL</t>
  </si>
  <si>
    <t>b. ESTAMPILLA PROCULTURA</t>
  </si>
  <si>
    <t>c. ESTAMPILLA PROUNIVERSIDAD</t>
  </si>
  <si>
    <t>ALQUILER EQUIPOS TOPOGRAFIA, RTK y ESTACION</t>
  </si>
  <si>
    <t>C5</t>
  </si>
  <si>
    <t>C6</t>
  </si>
  <si>
    <t xml:space="preserve">a. PRIMA ANUAL </t>
  </si>
  <si>
    <t xml:space="preserve">b. CESANTIAS </t>
  </si>
  <si>
    <t xml:space="preserve">d. VACACIONES </t>
  </si>
  <si>
    <t>f.  SUBSIDIO FAMILIAR</t>
  </si>
  <si>
    <t>C. COSTOS DE PERFECCIONAMIENTO (IMPUESTOS Y POLIZAS)</t>
  </si>
  <si>
    <t>e.  SEGURIDAD SOCIAL (%Salud, %Pension, %Riesgos)</t>
  </si>
  <si>
    <t>g.  DOTACION</t>
  </si>
  <si>
    <t>e. POLIZAS</t>
  </si>
  <si>
    <t>j.  RETEICA</t>
  </si>
  <si>
    <t>a. IMPUESTOS BANCARIOS Y COSTOS FIANCIEROS</t>
  </si>
  <si>
    <t>E. GASTOS GENERALES</t>
  </si>
  <si>
    <t>D. OTROS IMPUESTOS</t>
  </si>
  <si>
    <t>a. COSTO DE PERSONAL NO FACTURABLE</t>
  </si>
  <si>
    <t>b. ASESORIA LEGAL Y TRIBUTARIA</t>
  </si>
  <si>
    <t>d. ESTAMPILLA PRODEPORTE</t>
  </si>
  <si>
    <t>b. RETENCION EN LA FUENTE</t>
  </si>
  <si>
    <t>F. HONORARIOS</t>
  </si>
  <si>
    <t>GASTOS DE REPRESENTACION.</t>
  </si>
  <si>
    <t>b. CONSUMIBLES CAFETERIA Y MANTENIMIENTO DE OFICINA</t>
  </si>
  <si>
    <t>ALQUILER EQUIPOS DE COMPUTO  Y MOBILIARIO DE OFICINA, INCLUYE MANTENIMIENTOS PREVENTIVOS Y CORRECTIVOS</t>
  </si>
  <si>
    <t>FIRMA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</si>
</sst>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 #,##0.00\ &quot;€&quot;_-;\-* #,##0.00\ &quot;€&quot;_-;_-* &quot;-&quot;??\ &quot;€&quot;_-;_-@_-"/>
    <numFmt numFmtId="43" formatCode="_-* #,##0.00_-;\-* #,##0.00_-;_-* &quot;-&quot;??_-;_-@_-"/>
    <numFmt numFmtId="164" formatCode="_-&quot;$&quot;\ * #,##0.00_-;\-&quot;$&quot;\ * #,##0.00_-;_-&quot;$&quot;\ * &quot;-&quot;??_-;_-@_-"/>
    <numFmt numFmtId="165" formatCode="_(&quot;$&quot;\ * #,##0.00_);_(&quot;$&quot;\ * \(#,##0.00\);_(&quot;$&quot;\ * &quot;-&quot;??_);_(@_)"/>
    <numFmt numFmtId="166" formatCode="_(* #,##0.00_);_(* \(#,##0.00\);_(* &quot;-&quot;??_);_(@_)"/>
    <numFmt numFmtId="167" formatCode="[$$-240A]\ #,##0"/>
    <numFmt numFmtId="168" formatCode="_-&quot;$&quot;* #,##0_-;\-&quot;$&quot;* #,##0_-;_-&quot;$&quot;* &quot;-&quot;??_-;_-@_-"/>
    <numFmt numFmtId="169" formatCode="[$$-240A]\ #,##0.00"/>
    <numFmt numFmtId="170" formatCode="&quot;$&quot;#,##0"/>
    <numFmt numFmtId="171" formatCode="_ &quot;$&quot;\ * #,##0.00_ ;_ &quot;$&quot;\ * \-#,##0.00_ ;_ &quot;$&quot;\ * &quot;-&quot;??_ ;_ @_ "/>
    <numFmt numFmtId="172" formatCode="_ * #,##0.00_ ;_ * \-#,##0.00_ ;_ * &quot;-&quot;??_ ;_ @_ "/>
    <numFmt numFmtId="173" formatCode="_ * #,##0_ ;_ * \-#,##0_ ;_ * &quot;-&quot;??_ ;_ @_ "/>
    <numFmt numFmtId="174" formatCode="[$-C0A]mmmm\-yy;@"/>
    <numFmt numFmtId="175" formatCode="_ &quot;$&quot;\ * #,##0_ ;_ &quot;$&quot;\ * \-#,##0_ ;_ &quot;$&quot;\ * &quot;-&quot;??_ ;_ @_ "/>
    <numFmt numFmtId="176" formatCode="#,##0.0"/>
    <numFmt numFmtId="177" formatCode="_(&quot;$&quot;* #,##0.00_);_(&quot;$&quot;* \(#,##0.00\);_(&quot;$&quot;* &quot;-&quot;??_);_(@_)"/>
    <numFmt numFmtId="178" formatCode="_(&quot;$&quot;* #,##0.00_);_(&quot;$&quot;* \(#,##0.00\);_(&quot;$&quot;* &quot;-&quot;_);_(@_)"/>
  </numFmts>
  <fonts count="106"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sz val="10"/>
      <name val="Arial"/>
      <family val="2"/>
    </font>
    <font>
      <sz val="10"/>
      <color theme="1"/>
      <name val="Arial"/>
      <family val="2"/>
    </font>
    <font>
      <sz val="10"/>
      <name val="Arial"/>
      <family val="2"/>
    </font>
    <font>
      <sz val="9"/>
      <color indexed="81"/>
      <name val="Tahoma"/>
      <family val="2"/>
    </font>
    <font>
      <b/>
      <sz val="9"/>
      <color indexed="81"/>
      <name val="Tahoma"/>
      <family val="2"/>
    </font>
    <font>
      <b/>
      <sz val="10"/>
      <color theme="1"/>
      <name val="Arial"/>
      <family val="2"/>
    </font>
    <font>
      <sz val="18"/>
      <name val="Arial"/>
      <family val="2"/>
    </font>
    <font>
      <b/>
      <sz val="18"/>
      <name val="Arial"/>
      <family val="2"/>
    </font>
    <font>
      <sz val="14"/>
      <name val="Arial"/>
      <family val="2"/>
    </font>
    <font>
      <b/>
      <sz val="6"/>
      <name val="Arial"/>
      <family val="2"/>
    </font>
    <font>
      <sz val="8"/>
      <name val="Arial"/>
      <family val="2"/>
    </font>
    <font>
      <sz val="10"/>
      <color rgb="FFFF0000"/>
      <name val="Arial"/>
      <family val="2"/>
    </font>
    <font>
      <i/>
      <sz val="10"/>
      <name val="Arial"/>
      <family val="2"/>
    </font>
    <font>
      <sz val="12"/>
      <name val="Arial"/>
      <family val="2"/>
    </font>
    <font>
      <sz val="9"/>
      <name val="Arial"/>
      <family val="2"/>
    </font>
    <font>
      <sz val="11"/>
      <name val="Arial"/>
      <family val="2"/>
    </font>
    <font>
      <b/>
      <sz val="11"/>
      <name val="Arial"/>
      <family val="2"/>
    </font>
    <font>
      <b/>
      <sz val="12"/>
      <color theme="1"/>
      <name val="Arial"/>
      <family val="2"/>
    </font>
    <font>
      <sz val="8"/>
      <color theme="1"/>
      <name val="Arial"/>
      <family val="2"/>
    </font>
    <font>
      <b/>
      <sz val="16"/>
      <color theme="1"/>
      <name val="Arial"/>
      <family val="2"/>
    </font>
    <font>
      <sz val="11"/>
      <color rgb="FF2A2A2A"/>
      <name val="Arial"/>
      <family val="2"/>
    </font>
    <font>
      <sz val="10"/>
      <name val="Arial"/>
      <family val="2"/>
    </font>
    <font>
      <b/>
      <sz val="24"/>
      <name val="Arial"/>
      <family val="2"/>
    </font>
    <font>
      <b/>
      <sz val="9"/>
      <name val="Arial"/>
      <family val="2"/>
    </font>
    <font>
      <b/>
      <sz val="8"/>
      <name val="Arial"/>
      <family val="2"/>
    </font>
    <font>
      <b/>
      <sz val="12"/>
      <name val="Arial"/>
      <family val="2"/>
    </font>
    <font>
      <sz val="10"/>
      <color theme="0" tint="-0.34998626667073579"/>
      <name val="Arial"/>
      <family val="2"/>
    </font>
    <font>
      <b/>
      <sz val="11"/>
      <color theme="0" tint="-0.34998626667073579"/>
      <name val="Arial"/>
      <family val="2"/>
    </font>
    <font>
      <sz val="8"/>
      <color theme="0" tint="-0.34998626667073579"/>
      <name val="Arial"/>
      <family val="2"/>
    </font>
    <font>
      <sz val="14"/>
      <color theme="1"/>
      <name val="Arial"/>
      <family val="2"/>
    </font>
    <font>
      <b/>
      <sz val="14"/>
      <color theme="1"/>
      <name val="Arial"/>
      <family val="2"/>
    </font>
    <font>
      <b/>
      <sz val="20"/>
      <color theme="1"/>
      <name val="Arial"/>
      <family val="2"/>
    </font>
    <font>
      <sz val="12"/>
      <color theme="1"/>
      <name val="Arial"/>
      <family val="2"/>
    </font>
    <font>
      <b/>
      <sz val="9"/>
      <color theme="0" tint="-0.34998626667073579"/>
      <name val="Arial"/>
      <family val="2"/>
    </font>
    <font>
      <b/>
      <sz val="10"/>
      <color theme="0" tint="-0.34998626667073579"/>
      <name val="Arial"/>
      <family val="2"/>
    </font>
    <font>
      <b/>
      <sz val="8"/>
      <color theme="0" tint="-0.34998626667073579"/>
      <name val="Arial"/>
      <family val="2"/>
    </font>
    <font>
      <b/>
      <sz val="12"/>
      <color theme="0" tint="-0.34998626667073579"/>
      <name val="Arial"/>
      <family val="2"/>
    </font>
    <font>
      <b/>
      <sz val="9"/>
      <color theme="1"/>
      <name val="Arial Narrow"/>
      <family val="2"/>
    </font>
    <font>
      <sz val="9"/>
      <color theme="1"/>
      <name val="Arial Narrow"/>
      <family val="2"/>
    </font>
    <font>
      <sz val="9"/>
      <name val="Arial Narrow"/>
      <family val="2"/>
    </font>
    <font>
      <sz val="9"/>
      <color theme="0"/>
      <name val="Arial Narrow"/>
      <family val="2"/>
    </font>
    <font>
      <sz val="9"/>
      <color rgb="FF2A2A2A"/>
      <name val="Arial Narrow"/>
      <family val="2"/>
    </font>
    <font>
      <sz val="12"/>
      <name val="Arial Narrow"/>
      <family val="2"/>
    </font>
    <font>
      <b/>
      <sz val="16"/>
      <color theme="1"/>
      <name val="Arial Narrow"/>
      <family val="2"/>
    </font>
    <font>
      <sz val="14"/>
      <color theme="1"/>
      <name val="Arial Narrow"/>
      <family val="2"/>
    </font>
    <font>
      <b/>
      <sz val="9"/>
      <name val="Arial Narrow"/>
      <family val="2"/>
    </font>
    <font>
      <b/>
      <sz val="14"/>
      <color theme="1"/>
      <name val="Arial Narrow"/>
      <family val="2"/>
    </font>
    <font>
      <sz val="11"/>
      <color theme="1"/>
      <name val="Arial Narrow"/>
      <family val="2"/>
    </font>
    <font>
      <sz val="11"/>
      <name val="Arial Narrow"/>
      <family val="2"/>
    </font>
    <font>
      <sz val="14"/>
      <name val="Arial Narrow"/>
      <family val="2"/>
    </font>
    <font>
      <sz val="16"/>
      <color theme="1"/>
      <name val="Arial Narrow"/>
      <family val="2"/>
    </font>
    <font>
      <sz val="9"/>
      <color theme="3"/>
      <name val="Arial Narrow"/>
      <family val="2"/>
    </font>
    <font>
      <b/>
      <sz val="14"/>
      <color theme="0"/>
      <name val="Arial Narrow"/>
      <family val="2"/>
    </font>
    <font>
      <b/>
      <sz val="16"/>
      <color theme="0"/>
      <name val="Arial Narrow"/>
      <family val="2"/>
    </font>
    <font>
      <sz val="18"/>
      <color theme="1"/>
      <name val="Arial Narrow"/>
      <family val="2"/>
    </font>
    <font>
      <b/>
      <sz val="18"/>
      <color theme="1"/>
      <name val="Arial Narrow"/>
      <family val="2"/>
    </font>
    <font>
      <b/>
      <sz val="10"/>
      <color theme="1"/>
      <name val="Arial Narrow"/>
      <family val="2"/>
    </font>
    <font>
      <b/>
      <sz val="20"/>
      <color theme="1"/>
      <name val="Arial Narrow"/>
      <family val="2"/>
    </font>
    <font>
      <b/>
      <sz val="10"/>
      <color theme="0"/>
      <name val="Arial Narrow"/>
      <family val="2"/>
    </font>
    <font>
      <b/>
      <sz val="18"/>
      <color theme="0"/>
      <name val="Arial Narrow"/>
      <family val="2"/>
    </font>
    <font>
      <sz val="8"/>
      <color rgb="FFFF0000"/>
      <name val="Arial"/>
      <family val="2"/>
    </font>
    <font>
      <sz val="9"/>
      <color rgb="FFFF0000"/>
      <name val="Arial"/>
      <family val="2"/>
    </font>
    <font>
      <sz val="8"/>
      <color theme="9" tint="-0.249977111117893"/>
      <name val="Arial"/>
      <family val="2"/>
    </font>
    <font>
      <sz val="8"/>
      <color rgb="FF0070C0"/>
      <name val="Arial"/>
      <family val="2"/>
    </font>
    <font>
      <sz val="8"/>
      <color rgb="FF00B050"/>
      <name val="Arial"/>
      <family val="2"/>
    </font>
    <font>
      <b/>
      <sz val="8"/>
      <color theme="9" tint="-0.249977111117893"/>
      <name val="Arial"/>
      <family val="2"/>
    </font>
    <font>
      <b/>
      <sz val="8"/>
      <color rgb="FF0070C0"/>
      <name val="Arial"/>
      <family val="2"/>
    </font>
    <font>
      <b/>
      <sz val="8"/>
      <color rgb="FF00B050"/>
      <name val="Arial"/>
      <family val="2"/>
    </font>
    <font>
      <b/>
      <sz val="10"/>
      <color theme="9" tint="-0.249977111117893"/>
      <name val="Arial"/>
      <family val="2"/>
    </font>
    <font>
      <b/>
      <sz val="10"/>
      <color rgb="FF0070C0"/>
      <name val="Arial"/>
      <family val="2"/>
    </font>
    <font>
      <b/>
      <sz val="10"/>
      <color rgb="FF00B050"/>
      <name val="Arial"/>
      <family val="2"/>
    </font>
    <font>
      <b/>
      <sz val="9"/>
      <color theme="9" tint="-0.249977111117893"/>
      <name val="Arial"/>
      <family val="2"/>
    </font>
    <font>
      <b/>
      <sz val="9"/>
      <color rgb="FF0070C0"/>
      <name val="Arial"/>
      <family val="2"/>
    </font>
    <font>
      <b/>
      <sz val="9"/>
      <color rgb="FF00B050"/>
      <name val="Arial"/>
      <family val="2"/>
    </font>
    <font>
      <b/>
      <sz val="12"/>
      <color theme="9" tint="-0.249977111117893"/>
      <name val="Arial"/>
      <family val="2"/>
    </font>
    <font>
      <b/>
      <sz val="12"/>
      <color rgb="FF0070C0"/>
      <name val="Arial"/>
      <family val="2"/>
    </font>
    <font>
      <b/>
      <sz val="12"/>
      <color rgb="FF00B050"/>
      <name val="Arial"/>
      <family val="2"/>
    </font>
    <font>
      <sz val="12"/>
      <color rgb="FFFF0000"/>
      <name val="Arial"/>
      <family val="2"/>
    </font>
    <font>
      <b/>
      <sz val="11"/>
      <color theme="9" tint="-0.249977111117893"/>
      <name val="Arial"/>
      <family val="2"/>
    </font>
    <font>
      <b/>
      <sz val="11"/>
      <color rgb="FF0070C0"/>
      <name val="Arial"/>
      <family val="2"/>
    </font>
    <font>
      <b/>
      <sz val="11"/>
      <color rgb="FF00B050"/>
      <name val="Arial"/>
      <family val="2"/>
    </font>
    <font>
      <sz val="11"/>
      <color rgb="FFFF0000"/>
      <name val="Arial"/>
      <family val="2"/>
    </font>
    <font>
      <sz val="10"/>
      <name val="Comic Sans MS"/>
      <family val="4"/>
    </font>
    <font>
      <b/>
      <sz val="14"/>
      <name val="Comic Sans MS"/>
      <family val="4"/>
    </font>
    <font>
      <b/>
      <u/>
      <sz val="14"/>
      <color indexed="8"/>
      <name val="Arial"/>
      <family val="2"/>
    </font>
    <font>
      <sz val="10"/>
      <color indexed="8"/>
      <name val="Arial"/>
      <family val="2"/>
    </font>
    <font>
      <sz val="12"/>
      <color indexed="8"/>
      <name val="Arial"/>
      <family val="2"/>
    </font>
    <font>
      <b/>
      <u/>
      <sz val="12"/>
      <color indexed="8"/>
      <name val="Arial"/>
      <family val="2"/>
    </font>
    <font>
      <b/>
      <sz val="12"/>
      <color indexed="8"/>
      <name val="Arial"/>
      <family val="2"/>
    </font>
    <font>
      <b/>
      <sz val="14"/>
      <color indexed="8"/>
      <name val="Arial"/>
      <family val="2"/>
    </font>
    <font>
      <b/>
      <sz val="12"/>
      <color theme="1"/>
      <name val="Arial Narrow"/>
      <family val="2"/>
    </font>
    <font>
      <sz val="12"/>
      <color theme="1"/>
      <name val="Arial Narrow"/>
      <family val="2"/>
    </font>
    <font>
      <sz val="12"/>
      <color theme="0" tint="-0.34998626667073579"/>
      <name val="Arial Narrow"/>
      <family val="2"/>
    </font>
    <font>
      <b/>
      <sz val="11"/>
      <color theme="1"/>
      <name val="Arial Narrow"/>
      <family val="2"/>
    </font>
    <font>
      <b/>
      <sz val="11"/>
      <name val="Arial Narrow"/>
      <family val="2"/>
    </font>
    <font>
      <sz val="11"/>
      <name val="Calibri"/>
      <family val="2"/>
      <scheme val="minor"/>
    </font>
    <font>
      <b/>
      <sz val="11"/>
      <name val="Calibri"/>
      <family val="2"/>
      <scheme val="minor"/>
    </font>
    <font>
      <sz val="10"/>
      <color rgb="FF000000"/>
      <name val="Arial"/>
      <family val="2"/>
    </font>
    <font>
      <sz val="11"/>
      <color rgb="FF000000"/>
      <name val="Calibri"/>
      <family val="2"/>
      <scheme val="minor"/>
    </font>
    <font>
      <b/>
      <sz val="8"/>
      <color rgb="FFFF0000"/>
      <name val="Arial"/>
      <family val="2"/>
    </font>
    <font>
      <sz val="8"/>
      <name val="Calibri"/>
      <family val="2"/>
      <scheme val="minor"/>
    </font>
  </fonts>
  <fills count="35">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1"/>
        <bgColor indexed="64"/>
      </patternFill>
    </fill>
    <fill>
      <patternFill patternType="solid">
        <fgColor rgb="FFFFFF00"/>
        <bgColor indexed="64"/>
      </patternFill>
    </fill>
    <fill>
      <patternFill patternType="solid">
        <fgColor theme="2" tint="-0.249977111117893"/>
        <bgColor indexed="64"/>
      </patternFill>
    </fill>
    <fill>
      <patternFill patternType="solid">
        <fgColor theme="7" tint="0.39997558519241921"/>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indexed="9"/>
        <bgColor indexed="64"/>
      </patternFill>
    </fill>
    <fill>
      <patternFill patternType="solid">
        <fgColor theme="0"/>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rgb="FFFFC000"/>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rgb="FFCCFFFF"/>
        <bgColor indexed="64"/>
      </patternFill>
    </fill>
    <fill>
      <patternFill patternType="solid">
        <fgColor rgb="FFFFFF99"/>
        <bgColor indexed="64"/>
      </patternFill>
    </fill>
    <fill>
      <patternFill patternType="solid">
        <fgColor rgb="FFFFCCCC"/>
        <bgColor indexed="64"/>
      </patternFill>
    </fill>
    <fill>
      <patternFill patternType="solid">
        <fgColor rgb="FF00CC99"/>
        <bgColor indexed="64"/>
      </patternFill>
    </fill>
    <fill>
      <patternFill patternType="solid">
        <fgColor rgb="FFCCECFF"/>
        <bgColor indexed="64"/>
      </patternFill>
    </fill>
    <fill>
      <patternFill patternType="solid">
        <fgColor theme="9" tint="0.39997558519241921"/>
        <bgColor indexed="64"/>
      </patternFill>
    </fill>
  </fills>
  <borders count="8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style="thin">
        <color auto="1"/>
      </left>
      <right/>
      <top style="medium">
        <color auto="1"/>
      </top>
      <bottom style="thin">
        <color auto="1"/>
      </bottom>
      <diagonal/>
    </border>
    <border>
      <left style="medium">
        <color auto="1"/>
      </left>
      <right/>
      <top/>
      <bottom style="thin">
        <color auto="1"/>
      </bottom>
      <diagonal/>
    </border>
    <border>
      <left style="thin">
        <color auto="1"/>
      </left>
      <right/>
      <top style="thin">
        <color auto="1"/>
      </top>
      <bottom style="medium">
        <color auto="1"/>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thin">
        <color indexed="64"/>
      </left>
      <right style="thin">
        <color indexed="64"/>
      </right>
      <top style="medium">
        <color indexed="64"/>
      </top>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thin">
        <color auto="1"/>
      </top>
      <bottom style="medium">
        <color auto="1"/>
      </bottom>
      <diagonal/>
    </border>
    <border>
      <left/>
      <right/>
      <top style="thin">
        <color auto="1"/>
      </top>
      <bottom/>
      <diagonal/>
    </border>
    <border>
      <left style="medium">
        <color indexed="64"/>
      </left>
      <right/>
      <top style="thin">
        <color auto="1"/>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auto="1"/>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style="thin">
        <color auto="1"/>
      </top>
      <bottom/>
      <diagonal/>
    </border>
    <border>
      <left/>
      <right style="medium">
        <color indexed="64"/>
      </right>
      <top style="thin">
        <color indexed="64"/>
      </top>
      <bottom style="medium">
        <color indexed="64"/>
      </bottom>
      <diagonal/>
    </border>
  </borders>
  <cellStyleXfs count="2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7" fillId="0" borderId="0"/>
    <xf numFmtId="172" fontId="7" fillId="0" borderId="0" applyFont="0" applyFill="0" applyBorder="0" applyAlignment="0" applyProtection="0"/>
    <xf numFmtId="171" fontId="7" fillId="0" borderId="0" applyFont="0" applyFill="0" applyBorder="0" applyAlignment="0" applyProtection="0"/>
    <xf numFmtId="9" fontId="7" fillId="0" borderId="0" applyFont="0" applyFill="0" applyBorder="0" applyAlignment="0" applyProtection="0"/>
    <xf numFmtId="0" fontId="7" fillId="0" borderId="0"/>
    <xf numFmtId="0" fontId="1" fillId="0" borderId="0"/>
    <xf numFmtId="0" fontId="26" fillId="0" borderId="0"/>
    <xf numFmtId="166" fontId="26" fillId="0" borderId="0" applyFont="0" applyFill="0" applyBorder="0" applyAlignment="0" applyProtection="0"/>
    <xf numFmtId="9" fontId="26" fillId="0" borderId="0" applyFont="0" applyFill="0" applyBorder="0" applyAlignment="0" applyProtection="0"/>
    <xf numFmtId="0" fontId="7" fillId="0" borderId="0"/>
    <xf numFmtId="166" fontId="7" fillId="0" borderId="0" applyFont="0" applyFill="0" applyBorder="0" applyAlignment="0" applyProtection="0"/>
    <xf numFmtId="9" fontId="7" fillId="0" borderId="0" applyFont="0" applyFill="0" applyBorder="0" applyAlignment="0" applyProtection="0"/>
    <xf numFmtId="177" fontId="7" fillId="0" borderId="0" applyFont="0" applyFill="0" applyBorder="0" applyAlignment="0" applyProtection="0"/>
    <xf numFmtId="166" fontId="1" fillId="0" borderId="0" applyFont="0" applyFill="0" applyBorder="0" applyAlignment="0" applyProtection="0"/>
    <xf numFmtId="0" fontId="1" fillId="0" borderId="0"/>
    <xf numFmtId="0" fontId="102" fillId="0" borderId="0"/>
    <xf numFmtId="0" fontId="7" fillId="0" borderId="0"/>
    <xf numFmtId="43" fontId="1" fillId="0" borderId="0" applyFont="0" applyFill="0" applyBorder="0" applyAlignment="0" applyProtection="0"/>
    <xf numFmtId="164" fontId="7" fillId="0" borderId="0" applyFont="0" applyFill="0" applyBorder="0" applyAlignment="0" applyProtection="0"/>
    <xf numFmtId="43" fontId="1" fillId="0" borderId="0" applyFont="0" applyFill="0" applyBorder="0" applyAlignment="0" applyProtection="0"/>
  </cellStyleXfs>
  <cellXfs count="1429">
    <xf numFmtId="0" fontId="0" fillId="0" borderId="0" xfId="0"/>
    <xf numFmtId="0" fontId="0" fillId="0" borderId="5" xfId="0" applyBorder="1" applyAlignment="1">
      <alignment horizontal="center"/>
    </xf>
    <xf numFmtId="0" fontId="0" fillId="0" borderId="6" xfId="0" applyBorder="1" applyAlignment="1">
      <alignment horizontal="center"/>
    </xf>
    <xf numFmtId="0" fontId="0" fillId="0" borderId="12" xfId="0" applyBorder="1"/>
    <xf numFmtId="0" fontId="0" fillId="0" borderId="13" xfId="0" applyBorder="1"/>
    <xf numFmtId="0" fontId="0" fillId="0" borderId="14" xfId="0" applyBorder="1"/>
    <xf numFmtId="2" fontId="3" fillId="3" borderId="3"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2" fontId="3" fillId="3" borderId="2" xfId="0" applyNumberFormat="1" applyFont="1" applyFill="1" applyBorder="1" applyAlignment="1">
      <alignment horizontal="center" vertical="center" wrapText="1"/>
    </xf>
    <xf numFmtId="0" fontId="3" fillId="3" borderId="1" xfId="0" applyFont="1" applyFill="1" applyBorder="1" applyAlignment="1">
      <alignment horizontal="center" vertical="center"/>
    </xf>
    <xf numFmtId="0" fontId="0" fillId="0" borderId="6" xfId="0" applyBorder="1"/>
    <xf numFmtId="4" fontId="0" fillId="0" borderId="5" xfId="0" applyNumberFormat="1" applyBorder="1" applyAlignment="1">
      <alignment horizontal="right"/>
    </xf>
    <xf numFmtId="4" fontId="0" fillId="0" borderId="5" xfId="2" applyNumberFormat="1" applyFont="1" applyFill="1" applyBorder="1" applyAlignment="1">
      <alignment horizontal="right"/>
    </xf>
    <xf numFmtId="167" fontId="2" fillId="0" borderId="5" xfId="0" applyNumberFormat="1" applyFont="1" applyBorder="1" applyAlignment="1">
      <alignment horizontal="right"/>
    </xf>
    <xf numFmtId="0" fontId="0" fillId="0" borderId="26" xfId="0" applyBorder="1"/>
    <xf numFmtId="167" fontId="2" fillId="0" borderId="1" xfId="0" applyNumberFormat="1" applyFont="1" applyBorder="1" applyAlignment="1">
      <alignment horizontal="right"/>
    </xf>
    <xf numFmtId="167" fontId="0" fillId="0" borderId="27" xfId="0" applyNumberFormat="1" applyBorder="1"/>
    <xf numFmtId="167" fontId="3" fillId="3" borderId="1" xfId="0" applyNumberFormat="1" applyFont="1" applyFill="1" applyBorder="1" applyAlignment="1">
      <alignment horizontal="center" vertical="center"/>
    </xf>
    <xf numFmtId="167" fontId="0" fillId="0" borderId="6" xfId="0" applyNumberFormat="1" applyBorder="1"/>
    <xf numFmtId="168" fontId="0" fillId="0" borderId="5" xfId="2" applyNumberFormat="1" applyFont="1" applyFill="1" applyBorder="1" applyAlignment="1"/>
    <xf numFmtId="167" fontId="0" fillId="0" borderId="5" xfId="0" applyNumberFormat="1" applyBorder="1" applyAlignment="1">
      <alignment horizontal="center"/>
    </xf>
    <xf numFmtId="167" fontId="2" fillId="0" borderId="1" xfId="0" applyNumberFormat="1" applyFont="1" applyBorder="1"/>
    <xf numFmtId="167" fontId="3" fillId="2" borderId="1" xfId="0" applyNumberFormat="1" applyFont="1" applyFill="1" applyBorder="1"/>
    <xf numFmtId="0" fontId="0" fillId="0" borderId="27" xfId="0" applyBorder="1"/>
    <xf numFmtId="0" fontId="0" fillId="0" borderId="33" xfId="0" applyBorder="1"/>
    <xf numFmtId="0" fontId="0" fillId="0" borderId="34" xfId="0" applyBorder="1"/>
    <xf numFmtId="0" fontId="0" fillId="0" borderId="35" xfId="0" applyBorder="1"/>
    <xf numFmtId="0" fontId="2" fillId="0" borderId="26" xfId="0" applyFont="1" applyBorder="1"/>
    <xf numFmtId="2" fontId="3" fillId="3" borderId="9" xfId="0" applyNumberFormat="1" applyFont="1" applyFill="1" applyBorder="1" applyAlignment="1">
      <alignment horizontal="center" vertical="center" wrapText="1"/>
    </xf>
    <xf numFmtId="0" fontId="3" fillId="3" borderId="9" xfId="0" applyFont="1" applyFill="1" applyBorder="1" applyAlignment="1">
      <alignment horizontal="center" vertical="center" wrapText="1"/>
    </xf>
    <xf numFmtId="169" fontId="0" fillId="0" borderId="6" xfId="0" applyNumberFormat="1" applyBorder="1" applyAlignment="1">
      <alignment horizontal="right"/>
    </xf>
    <xf numFmtId="169" fontId="2" fillId="0" borderId="11" xfId="0" applyNumberFormat="1" applyFont="1" applyBorder="1"/>
    <xf numFmtId="169" fontId="0" fillId="0" borderId="5" xfId="0" applyNumberFormat="1" applyBorder="1" applyAlignment="1">
      <alignment horizontal="right"/>
    </xf>
    <xf numFmtId="169" fontId="2" fillId="0" borderId="10" xfId="0" applyNumberFormat="1" applyFont="1" applyBorder="1"/>
    <xf numFmtId="3" fontId="0" fillId="0" borderId="5" xfId="0" applyNumberFormat="1" applyBorder="1" applyAlignment="1">
      <alignment horizontal="center"/>
    </xf>
    <xf numFmtId="169" fontId="2" fillId="0" borderId="8" xfId="0" applyNumberFormat="1" applyFont="1" applyBorder="1" applyAlignment="1">
      <alignment horizontal="right"/>
    </xf>
    <xf numFmtId="43" fontId="2" fillId="0" borderId="7" xfId="1" applyFont="1" applyFill="1" applyBorder="1" applyAlignment="1">
      <alignment horizontal="right"/>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4" xfId="0" applyBorder="1" applyAlignment="1">
      <alignment horizontal="center" vertical="center"/>
    </xf>
    <xf numFmtId="0" fontId="0" fillId="0" borderId="18" xfId="0" applyBorder="1" applyAlignment="1">
      <alignment horizontal="center" vertical="center"/>
    </xf>
    <xf numFmtId="9" fontId="0" fillId="0" borderId="5" xfId="3" applyFont="1" applyFill="1" applyBorder="1" applyAlignment="1">
      <alignment horizontal="right"/>
    </xf>
    <xf numFmtId="0" fontId="10" fillId="0" borderId="21" xfId="0" applyFont="1" applyBorder="1" applyAlignment="1">
      <alignment horizontal="center" vertical="center" wrapText="1"/>
    </xf>
    <xf numFmtId="43" fontId="2" fillId="0" borderId="21" xfId="1" applyFont="1" applyBorder="1"/>
    <xf numFmtId="9" fontId="7" fillId="0" borderId="0" xfId="3" applyFont="1"/>
    <xf numFmtId="0" fontId="7" fillId="0" borderId="0" xfId="4"/>
    <xf numFmtId="0" fontId="7" fillId="0" borderId="0" xfId="4" applyAlignment="1">
      <alignment horizontal="left" vertical="center" wrapText="1"/>
    </xf>
    <xf numFmtId="0" fontId="7" fillId="0" borderId="21" xfId="4" applyBorder="1"/>
    <xf numFmtId="0" fontId="7" fillId="0" borderId="21" xfId="4" applyBorder="1" applyAlignment="1">
      <alignment horizontal="center"/>
    </xf>
    <xf numFmtId="0" fontId="7" fillId="0" borderId="0" xfId="4" applyAlignment="1">
      <alignment horizontal="center" vertical="center" wrapText="1"/>
    </xf>
    <xf numFmtId="0" fontId="2" fillId="0" borderId="21" xfId="4" applyFont="1" applyBorder="1" applyAlignment="1">
      <alignment horizontal="center"/>
    </xf>
    <xf numFmtId="0" fontId="2" fillId="0" borderId="21" xfId="4" applyFont="1" applyBorder="1"/>
    <xf numFmtId="10" fontId="2" fillId="0" borderId="21" xfId="7" applyNumberFormat="1" applyFont="1" applyBorder="1"/>
    <xf numFmtId="10" fontId="7" fillId="0" borderId="21" xfId="7" applyNumberFormat="1" applyFont="1" applyBorder="1"/>
    <xf numFmtId="9" fontId="7" fillId="0" borderId="0" xfId="7" applyFont="1"/>
    <xf numFmtId="0" fontId="0" fillId="0" borderId="0" xfId="0" applyAlignment="1">
      <alignment horizontal="center" vertical="center"/>
    </xf>
    <xf numFmtId="0" fontId="5" fillId="0" borderId="0" xfId="0" applyFont="1" applyAlignment="1">
      <alignment vertical="center"/>
    </xf>
    <xf numFmtId="173" fontId="0" fillId="0" borderId="0" xfId="5" applyNumberFormat="1" applyFont="1" applyBorder="1" applyAlignment="1">
      <alignment vertical="center"/>
    </xf>
    <xf numFmtId="0" fontId="0" fillId="0" borderId="0" xfId="0" applyAlignment="1">
      <alignment vertical="center"/>
    </xf>
    <xf numFmtId="0" fontId="5" fillId="0" borderId="0" xfId="0" applyFont="1" applyAlignment="1">
      <alignment vertical="center" wrapText="1"/>
    </xf>
    <xf numFmtId="0" fontId="5" fillId="0" borderId="0" xfId="0" applyFont="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horizontal="center" vertical="center"/>
    </xf>
    <xf numFmtId="17" fontId="14" fillId="0" borderId="12" xfId="0" applyNumberFormat="1" applyFont="1" applyBorder="1" applyAlignment="1">
      <alignment horizontal="center" vertical="center"/>
    </xf>
    <xf numFmtId="0" fontId="15" fillId="0" borderId="0" xfId="0" applyFont="1" applyAlignment="1">
      <alignment vertical="center"/>
    </xf>
    <xf numFmtId="10" fontId="0" fillId="0" borderId="21" xfId="7" applyNumberFormat="1" applyFont="1" applyBorder="1" applyAlignment="1">
      <alignment vertical="center"/>
    </xf>
    <xf numFmtId="10" fontId="0" fillId="0" borderId="42" xfId="7" applyNumberFormat="1" applyFont="1" applyBorder="1" applyAlignment="1">
      <alignment vertical="center"/>
    </xf>
    <xf numFmtId="173" fontId="0" fillId="0" borderId="0" xfId="0" applyNumberFormat="1" applyAlignment="1">
      <alignment vertical="center"/>
    </xf>
    <xf numFmtId="0" fontId="0" fillId="0" borderId="21" xfId="0" applyBorder="1" applyAlignment="1">
      <alignment vertical="center"/>
    </xf>
    <xf numFmtId="10" fontId="0" fillId="0" borderId="24" xfId="7" applyNumberFormat="1" applyFont="1" applyBorder="1" applyAlignment="1">
      <alignment vertical="center"/>
    </xf>
    <xf numFmtId="10" fontId="0" fillId="0" borderId="51" xfId="7" applyNumberFormat="1" applyFont="1" applyBorder="1" applyAlignment="1">
      <alignment vertical="center"/>
    </xf>
    <xf numFmtId="10" fontId="0" fillId="0" borderId="0" xfId="7" applyNumberFormat="1" applyFont="1" applyBorder="1" applyAlignment="1">
      <alignment vertical="center"/>
    </xf>
    <xf numFmtId="0" fontId="0" fillId="0" borderId="18" xfId="0" applyBorder="1" applyAlignment="1">
      <alignment vertical="center"/>
    </xf>
    <xf numFmtId="0" fontId="19" fillId="0" borderId="0" xfId="0" applyFont="1" applyAlignment="1">
      <alignment horizontal="center" vertical="center"/>
    </xf>
    <xf numFmtId="0" fontId="19" fillId="0" borderId="0" xfId="0" applyFont="1" applyAlignment="1">
      <alignment horizontal="left" vertical="center"/>
    </xf>
    <xf numFmtId="0" fontId="19" fillId="0" borderId="0" xfId="0" applyFont="1" applyAlignment="1">
      <alignment vertical="center"/>
    </xf>
    <xf numFmtId="0" fontId="18" fillId="0" borderId="0" xfId="0" applyFont="1" applyAlignment="1">
      <alignment vertical="center"/>
    </xf>
    <xf numFmtId="0" fontId="20" fillId="0" borderId="0" xfId="0" applyFont="1" applyAlignment="1">
      <alignment vertical="center" wrapText="1"/>
    </xf>
    <xf numFmtId="175" fontId="0" fillId="0" borderId="0" xfId="0" applyNumberFormat="1" applyAlignment="1">
      <alignment vertical="center"/>
    </xf>
    <xf numFmtId="0" fontId="21" fillId="0" borderId="0" xfId="0" applyFont="1" applyAlignment="1">
      <alignment vertical="center" wrapText="1"/>
    </xf>
    <xf numFmtId="0" fontId="7" fillId="0" borderId="0" xfId="0" applyFont="1" applyAlignment="1">
      <alignment vertical="center"/>
    </xf>
    <xf numFmtId="173" fontId="0" fillId="0" borderId="37" xfId="5" applyNumberFormat="1" applyFont="1" applyBorder="1" applyAlignment="1">
      <alignment vertical="center"/>
    </xf>
    <xf numFmtId="0" fontId="5" fillId="0" borderId="0" xfId="0" applyFont="1" applyAlignment="1">
      <alignment horizontal="right" vertical="center"/>
    </xf>
    <xf numFmtId="0" fontId="5" fillId="0" borderId="7" xfId="0" applyFont="1" applyBorder="1" applyAlignment="1">
      <alignment vertical="center"/>
    </xf>
    <xf numFmtId="0" fontId="5" fillId="0" borderId="7" xfId="0" applyFont="1" applyBorder="1" applyAlignment="1">
      <alignment horizontal="right" vertical="center"/>
    </xf>
    <xf numFmtId="0" fontId="5" fillId="0" borderId="7" xfId="0" applyFont="1" applyBorder="1" applyAlignment="1">
      <alignment horizontal="right" vertical="center" wrapText="1"/>
    </xf>
    <xf numFmtId="0" fontId="17" fillId="0" borderId="7" xfId="0" applyFont="1" applyBorder="1" applyAlignment="1">
      <alignment horizontal="right" vertical="center"/>
    </xf>
    <xf numFmtId="0" fontId="5" fillId="0" borderId="8" xfId="0" applyFont="1" applyBorder="1" applyAlignment="1">
      <alignment horizontal="right" vertical="center"/>
    </xf>
    <xf numFmtId="0" fontId="5" fillId="0" borderId="9" xfId="0" applyFont="1" applyBorder="1" applyAlignment="1">
      <alignment vertical="center"/>
    </xf>
    <xf numFmtId="0" fontId="5" fillId="0" borderId="7" xfId="0" applyFont="1" applyBorder="1" applyAlignment="1">
      <alignment vertical="center" wrapText="1"/>
    </xf>
    <xf numFmtId="0" fontId="5" fillId="0" borderId="8" xfId="0" applyFont="1" applyBorder="1" applyAlignment="1">
      <alignment vertical="center"/>
    </xf>
    <xf numFmtId="0" fontId="0" fillId="0" borderId="7" xfId="0" applyBorder="1" applyAlignment="1">
      <alignment vertical="center"/>
    </xf>
    <xf numFmtId="173" fontId="0" fillId="0" borderId="45" xfId="5" applyNumberFormat="1" applyFont="1" applyBorder="1" applyAlignment="1">
      <alignment vertical="center"/>
    </xf>
    <xf numFmtId="0" fontId="5" fillId="0" borderId="9" xfId="0" applyFont="1" applyBorder="1" applyAlignment="1">
      <alignment horizontal="center" vertical="center"/>
    </xf>
    <xf numFmtId="173" fontId="0" fillId="0" borderId="21" xfId="0" applyNumberFormat="1" applyBorder="1" applyAlignment="1">
      <alignment vertical="center"/>
    </xf>
    <xf numFmtId="173" fontId="0" fillId="4" borderId="21" xfId="0" applyNumberFormat="1" applyFill="1" applyBorder="1" applyAlignment="1">
      <alignment vertical="center"/>
    </xf>
    <xf numFmtId="0" fontId="0" fillId="4" borderId="21" xfId="0" applyFill="1" applyBorder="1" applyAlignment="1">
      <alignment vertical="center"/>
    </xf>
    <xf numFmtId="0" fontId="16" fillId="0" borderId="21" xfId="0" applyFont="1" applyBorder="1" applyAlignment="1">
      <alignment vertical="center"/>
    </xf>
    <xf numFmtId="173" fontId="0" fillId="0" borderId="21" xfId="0" applyNumberFormat="1" applyBorder="1" applyAlignment="1">
      <alignment horizontal="center" vertical="center"/>
    </xf>
    <xf numFmtId="0" fontId="0" fillId="4" borderId="21" xfId="0" applyFill="1" applyBorder="1" applyAlignment="1">
      <alignment horizontal="center" vertical="center"/>
    </xf>
    <xf numFmtId="173" fontId="0" fillId="0" borderId="37" xfId="0" applyNumberFormat="1" applyBorder="1" applyAlignment="1">
      <alignment horizontal="center" vertical="center"/>
    </xf>
    <xf numFmtId="173" fontId="0" fillId="0" borderId="37" xfId="0" applyNumberFormat="1" applyBorder="1" applyAlignment="1">
      <alignment vertical="center"/>
    </xf>
    <xf numFmtId="0" fontId="0" fillId="0" borderId="40"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173" fontId="0" fillId="0" borderId="17" xfId="0" applyNumberFormat="1" applyBorder="1" applyAlignment="1">
      <alignment horizontal="center" vertical="center"/>
    </xf>
    <xf numFmtId="0" fontId="0" fillId="0" borderId="20" xfId="0" applyBorder="1" applyAlignment="1">
      <alignment vertical="center"/>
    </xf>
    <xf numFmtId="173" fontId="0" fillId="0" borderId="22" xfId="0" applyNumberFormat="1" applyBorder="1" applyAlignment="1">
      <alignment horizontal="center" vertical="center"/>
    </xf>
    <xf numFmtId="173" fontId="0" fillId="0" borderId="22" xfId="0" applyNumberFormat="1" applyBorder="1" applyAlignment="1">
      <alignment vertical="center"/>
    </xf>
    <xf numFmtId="0" fontId="0" fillId="4" borderId="23" xfId="0" applyFill="1" applyBorder="1" applyAlignment="1">
      <alignment vertical="center"/>
    </xf>
    <xf numFmtId="0" fontId="0" fillId="4" borderId="24" xfId="0" applyFill="1" applyBorder="1" applyAlignment="1">
      <alignment vertical="center"/>
    </xf>
    <xf numFmtId="0" fontId="0" fillId="4" borderId="25" xfId="0" applyFill="1" applyBorder="1" applyAlignment="1">
      <alignment vertical="center"/>
    </xf>
    <xf numFmtId="17" fontId="14" fillId="0" borderId="13" xfId="0" applyNumberFormat="1" applyFont="1" applyBorder="1" applyAlignment="1">
      <alignment horizontal="center" vertical="center"/>
    </xf>
    <xf numFmtId="0" fontId="0" fillId="0" borderId="37" xfId="0" applyBorder="1" applyAlignment="1">
      <alignment vertical="center"/>
    </xf>
    <xf numFmtId="173" fontId="0" fillId="4" borderId="37" xfId="0" applyNumberFormat="1" applyFill="1" applyBorder="1" applyAlignment="1">
      <alignment vertical="center"/>
    </xf>
    <xf numFmtId="17" fontId="14" fillId="0" borderId="9" xfId="0" applyNumberFormat="1" applyFont="1" applyBorder="1" applyAlignment="1">
      <alignment horizontal="center" vertical="center"/>
    </xf>
    <xf numFmtId="0" fontId="0" fillId="0" borderId="22" xfId="0" applyBorder="1" applyAlignment="1">
      <alignment vertical="center"/>
    </xf>
    <xf numFmtId="173" fontId="0" fillId="4" borderId="20" xfId="0" applyNumberFormat="1" applyFill="1" applyBorder="1" applyAlignment="1">
      <alignment vertical="center"/>
    </xf>
    <xf numFmtId="0" fontId="0" fillId="0" borderId="22" xfId="0" applyBorder="1" applyAlignment="1">
      <alignment horizontal="center" vertical="center"/>
    </xf>
    <xf numFmtId="173" fontId="0" fillId="0" borderId="20" xfId="0" applyNumberFormat="1" applyBorder="1" applyAlignment="1">
      <alignment vertical="center"/>
    </xf>
    <xf numFmtId="173" fontId="0" fillId="4" borderId="22" xfId="0" applyNumberFormat="1" applyFill="1" applyBorder="1" applyAlignment="1">
      <alignment vertical="center"/>
    </xf>
    <xf numFmtId="0" fontId="0" fillId="0" borderId="25" xfId="0" applyBorder="1" applyAlignment="1">
      <alignment vertical="center"/>
    </xf>
    <xf numFmtId="0" fontId="0" fillId="0" borderId="20" xfId="0" applyBorder="1" applyAlignment="1">
      <alignment horizontal="center" vertical="center"/>
    </xf>
    <xf numFmtId="0" fontId="0" fillId="4" borderId="22" xfId="0" applyFill="1"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0" fillId="0" borderId="17" xfId="0" applyBorder="1" applyAlignment="1">
      <alignment vertical="center"/>
    </xf>
    <xf numFmtId="0" fontId="0" fillId="4" borderId="20" xfId="0" applyFill="1" applyBorder="1" applyAlignment="1">
      <alignment vertical="center"/>
    </xf>
    <xf numFmtId="173" fontId="0" fillId="0" borderId="23" xfId="0" applyNumberFormat="1" applyBorder="1" applyAlignment="1">
      <alignment vertical="center"/>
    </xf>
    <xf numFmtId="173" fontId="0" fillId="0" borderId="25" xfId="0" applyNumberFormat="1" applyBorder="1" applyAlignment="1">
      <alignment vertical="center"/>
    </xf>
    <xf numFmtId="10" fontId="0" fillId="0" borderId="18" xfId="7" applyNumberFormat="1" applyFont="1" applyBorder="1" applyAlignment="1">
      <alignment vertical="center"/>
    </xf>
    <xf numFmtId="10" fontId="0" fillId="0" borderId="36" xfId="7" applyNumberFormat="1" applyFont="1" applyBorder="1" applyAlignment="1">
      <alignment vertical="center"/>
    </xf>
    <xf numFmtId="0" fontId="0" fillId="0" borderId="48" xfId="0" applyBorder="1" applyAlignment="1">
      <alignment vertical="center"/>
    </xf>
    <xf numFmtId="0" fontId="0" fillId="0" borderId="19" xfId="0" applyBorder="1" applyAlignment="1">
      <alignment vertical="center"/>
    </xf>
    <xf numFmtId="173" fontId="0" fillId="0" borderId="48" xfId="0" applyNumberFormat="1" applyBorder="1" applyAlignment="1">
      <alignment vertical="center"/>
    </xf>
    <xf numFmtId="173" fontId="0" fillId="0" borderId="19" xfId="0" applyNumberFormat="1" applyBorder="1" applyAlignment="1">
      <alignment vertical="center"/>
    </xf>
    <xf numFmtId="173" fontId="0" fillId="0" borderId="15" xfId="5" applyNumberFormat="1" applyFont="1" applyBorder="1" applyAlignment="1">
      <alignment vertical="center"/>
    </xf>
    <xf numFmtId="173" fontId="7" fillId="0" borderId="16" xfId="5" applyNumberFormat="1" applyFont="1" applyBorder="1" applyAlignment="1">
      <alignment vertical="center"/>
    </xf>
    <xf numFmtId="173" fontId="7" fillId="0" borderId="49" xfId="5" applyNumberFormat="1" applyFont="1" applyBorder="1" applyAlignment="1">
      <alignment vertical="center"/>
    </xf>
    <xf numFmtId="0" fontId="15" fillId="0" borderId="16" xfId="0" applyFont="1" applyBorder="1" applyAlignment="1">
      <alignment vertical="center"/>
    </xf>
    <xf numFmtId="0" fontId="15" fillId="0" borderId="15" xfId="0" applyFont="1" applyBorder="1" applyAlignment="1">
      <alignment vertical="center"/>
    </xf>
    <xf numFmtId="0" fontId="15" fillId="0" borderId="17" xfId="0" applyFont="1" applyBorder="1" applyAlignment="1">
      <alignment vertical="center"/>
    </xf>
    <xf numFmtId="173" fontId="0" fillId="0" borderId="20" xfId="5" applyNumberFormat="1" applyFont="1" applyBorder="1" applyAlignment="1">
      <alignment vertical="center"/>
    </xf>
    <xf numFmtId="173" fontId="0" fillId="0" borderId="23" xfId="5" applyNumberFormat="1" applyFont="1" applyBorder="1" applyAlignment="1">
      <alignment vertical="center"/>
    </xf>
    <xf numFmtId="173" fontId="0" fillId="0" borderId="24" xfId="0" applyNumberFormat="1" applyBorder="1" applyAlignment="1">
      <alignment vertical="center"/>
    </xf>
    <xf numFmtId="0" fontId="15" fillId="0" borderId="53" xfId="0" applyFont="1" applyBorder="1" applyAlignment="1">
      <alignment vertical="center"/>
    </xf>
    <xf numFmtId="0" fontId="0" fillId="0" borderId="54" xfId="0" applyBorder="1" applyAlignment="1">
      <alignment vertical="center"/>
    </xf>
    <xf numFmtId="0" fontId="0" fillId="4" borderId="54" xfId="0" applyFill="1" applyBorder="1" applyAlignment="1">
      <alignment vertical="center"/>
    </xf>
    <xf numFmtId="0" fontId="0" fillId="0" borderId="39" xfId="0" applyBorder="1" applyAlignment="1">
      <alignment vertical="center"/>
    </xf>
    <xf numFmtId="173" fontId="0" fillId="0" borderId="41" xfId="0" applyNumberFormat="1" applyBorder="1" applyAlignment="1">
      <alignment horizontal="center" vertical="center"/>
    </xf>
    <xf numFmtId="173" fontId="0" fillId="0" borderId="19" xfId="0" applyNumberFormat="1" applyBorder="1" applyAlignment="1">
      <alignment horizontal="center" vertical="center"/>
    </xf>
    <xf numFmtId="0" fontId="0" fillId="0" borderId="53" xfId="0" applyBorder="1" applyAlignment="1">
      <alignment vertical="center"/>
    </xf>
    <xf numFmtId="173" fontId="0" fillId="0" borderId="15" xfId="0" applyNumberFormat="1" applyBorder="1" applyAlignment="1">
      <alignment vertical="center"/>
    </xf>
    <xf numFmtId="173" fontId="0" fillId="0" borderId="17" xfId="0" applyNumberFormat="1" applyBorder="1" applyAlignment="1">
      <alignment vertical="center"/>
    </xf>
    <xf numFmtId="0" fontId="0" fillId="0" borderId="55" xfId="0" applyBorder="1" applyAlignment="1">
      <alignment vertical="center"/>
    </xf>
    <xf numFmtId="0" fontId="0" fillId="0" borderId="46" xfId="0" applyBorder="1" applyAlignment="1">
      <alignment vertical="center"/>
    </xf>
    <xf numFmtId="173" fontId="0" fillId="0" borderId="56" xfId="0" applyNumberFormat="1" applyBorder="1" applyAlignment="1">
      <alignment horizontal="center" vertical="center"/>
    </xf>
    <xf numFmtId="173" fontId="0" fillId="0" borderId="45" xfId="0" applyNumberFormat="1" applyBorder="1" applyAlignment="1">
      <alignment horizontal="center" vertical="center"/>
    </xf>
    <xf numFmtId="173" fontId="0" fillId="0" borderId="18" xfId="0" applyNumberFormat="1" applyBorder="1" applyAlignment="1">
      <alignment horizontal="center" vertical="center"/>
    </xf>
    <xf numFmtId="0" fontId="0" fillId="0" borderId="19" xfId="0" applyBorder="1" applyAlignment="1">
      <alignment horizontal="center" vertical="center"/>
    </xf>
    <xf numFmtId="0" fontId="0" fillId="0" borderId="48" xfId="0" applyBorder="1" applyAlignment="1">
      <alignment horizontal="center" vertical="center"/>
    </xf>
    <xf numFmtId="173" fontId="0" fillId="0" borderId="25" xfId="0" applyNumberFormat="1" applyBorder="1" applyAlignment="1">
      <alignment horizontal="center" vertical="center"/>
    </xf>
    <xf numFmtId="173" fontId="0" fillId="0" borderId="54" xfId="0" applyNumberFormat="1" applyBorder="1" applyAlignment="1">
      <alignment horizontal="center" vertical="center"/>
    </xf>
    <xf numFmtId="173" fontId="0" fillId="0" borderId="24" xfId="0" applyNumberFormat="1" applyBorder="1" applyAlignment="1">
      <alignment horizontal="center" vertical="center"/>
    </xf>
    <xf numFmtId="0" fontId="0" fillId="0" borderId="25" xfId="0" applyBorder="1" applyAlignment="1">
      <alignment horizontal="center" vertical="center"/>
    </xf>
    <xf numFmtId="0" fontId="0" fillId="0" borderId="23" xfId="0" applyBorder="1" applyAlignment="1">
      <alignment horizontal="center" vertical="center"/>
    </xf>
    <xf numFmtId="173" fontId="0" fillId="0" borderId="44" xfId="0" applyNumberFormat="1" applyBorder="1" applyAlignment="1">
      <alignment horizontal="center" vertical="center"/>
    </xf>
    <xf numFmtId="0" fontId="0" fillId="0" borderId="40" xfId="0" applyBorder="1" applyAlignment="1">
      <alignment horizontal="center" vertical="center"/>
    </xf>
    <xf numFmtId="173" fontId="0" fillId="0" borderId="40" xfId="0" applyNumberFormat="1" applyBorder="1" applyAlignment="1">
      <alignment vertical="center" wrapText="1"/>
    </xf>
    <xf numFmtId="0" fontId="0" fillId="4" borderId="41" xfId="0" applyFill="1" applyBorder="1" applyAlignment="1">
      <alignment vertical="center" wrapText="1"/>
    </xf>
    <xf numFmtId="0" fontId="0" fillId="4" borderId="39" xfId="0" applyFill="1" applyBorder="1" applyAlignment="1">
      <alignment vertical="center" wrapText="1"/>
    </xf>
    <xf numFmtId="0" fontId="0" fillId="0" borderId="40" xfId="0" applyBorder="1" applyAlignment="1">
      <alignment vertical="center" wrapText="1"/>
    </xf>
    <xf numFmtId="0" fontId="0" fillId="0" borderId="41" xfId="0" applyBorder="1" applyAlignment="1">
      <alignment vertical="center" wrapText="1"/>
    </xf>
    <xf numFmtId="0" fontId="0" fillId="0" borderId="39" xfId="0" applyBorder="1" applyAlignment="1">
      <alignment vertical="center" wrapText="1"/>
    </xf>
    <xf numFmtId="173" fontId="0" fillId="0" borderId="39" xfId="0" applyNumberFormat="1" applyBorder="1" applyAlignment="1">
      <alignment vertical="center"/>
    </xf>
    <xf numFmtId="0" fontId="0" fillId="0" borderId="41" xfId="0" applyBorder="1" applyAlignment="1">
      <alignment vertical="center"/>
    </xf>
    <xf numFmtId="173" fontId="0" fillId="0" borderId="41" xfId="0" applyNumberFormat="1" applyBorder="1" applyAlignment="1">
      <alignment vertical="center"/>
    </xf>
    <xf numFmtId="173" fontId="0" fillId="0" borderId="53" xfId="0" applyNumberFormat="1" applyBorder="1" applyAlignment="1">
      <alignment horizontal="center" vertical="center"/>
    </xf>
    <xf numFmtId="173" fontId="0" fillId="0" borderId="16" xfId="0" applyNumberFormat="1" applyBorder="1" applyAlignment="1">
      <alignment horizontal="center" vertical="center"/>
    </xf>
    <xf numFmtId="0" fontId="0" fillId="0" borderId="17" xfId="0" applyBorder="1" applyAlignment="1">
      <alignment horizontal="center" vertical="center"/>
    </xf>
    <xf numFmtId="0" fontId="0" fillId="0" borderId="15" xfId="0" applyBorder="1" applyAlignment="1">
      <alignment horizontal="center" vertical="center"/>
    </xf>
    <xf numFmtId="0" fontId="0" fillId="4" borderId="23" xfId="0" applyFill="1" applyBorder="1" applyAlignment="1">
      <alignment horizontal="center" vertical="center"/>
    </xf>
    <xf numFmtId="0" fontId="0" fillId="4" borderId="24" xfId="0" applyFill="1" applyBorder="1" applyAlignment="1">
      <alignment horizontal="center" vertical="center"/>
    </xf>
    <xf numFmtId="173" fontId="0" fillId="4" borderId="24" xfId="0" applyNumberFormat="1" applyFill="1" applyBorder="1" applyAlignment="1">
      <alignment vertical="center"/>
    </xf>
    <xf numFmtId="173" fontId="0" fillId="0" borderId="40" xfId="0" applyNumberForma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4" borderId="41" xfId="0" applyFill="1" applyBorder="1" applyAlignment="1">
      <alignment vertical="center"/>
    </xf>
    <xf numFmtId="0" fontId="0" fillId="4" borderId="39" xfId="0" applyFill="1" applyBorder="1" applyAlignment="1">
      <alignment vertical="center"/>
    </xf>
    <xf numFmtId="0" fontId="0" fillId="4" borderId="40" xfId="0" applyFill="1" applyBorder="1" applyAlignment="1">
      <alignment vertical="center"/>
    </xf>
    <xf numFmtId="173" fontId="0" fillId="4" borderId="23" xfId="0" applyNumberFormat="1" applyFill="1" applyBorder="1" applyAlignment="1">
      <alignment vertical="center"/>
    </xf>
    <xf numFmtId="173" fontId="0" fillId="4" borderId="25" xfId="0" applyNumberFormat="1" applyFill="1" applyBorder="1" applyAlignment="1">
      <alignment vertical="center"/>
    </xf>
    <xf numFmtId="173" fontId="0" fillId="4" borderId="44" xfId="0" applyNumberFormat="1" applyFill="1" applyBorder="1" applyAlignment="1">
      <alignment horizontal="center" vertical="center"/>
    </xf>
    <xf numFmtId="0" fontId="0" fillId="4" borderId="40" xfId="0" applyFill="1" applyBorder="1" applyAlignment="1">
      <alignment horizontal="center" vertical="center"/>
    </xf>
    <xf numFmtId="173" fontId="0" fillId="4" borderId="39" xfId="0" applyNumberFormat="1" applyFill="1" applyBorder="1" applyAlignment="1">
      <alignment vertical="center"/>
    </xf>
    <xf numFmtId="173" fontId="0" fillId="0" borderId="44" xfId="5" applyNumberFormat="1" applyFont="1" applyBorder="1" applyAlignment="1">
      <alignment vertical="center"/>
    </xf>
    <xf numFmtId="10" fontId="0" fillId="0" borderId="40" xfId="7" applyNumberFormat="1" applyFont="1" applyBorder="1" applyAlignment="1">
      <alignment vertical="center"/>
    </xf>
    <xf numFmtId="10" fontId="0" fillId="0" borderId="43" xfId="7" applyNumberFormat="1" applyFont="1" applyBorder="1" applyAlignment="1">
      <alignment vertical="center"/>
    </xf>
    <xf numFmtId="10" fontId="0" fillId="0" borderId="16" xfId="7" applyNumberFormat="1" applyFont="1" applyBorder="1" applyAlignment="1">
      <alignment vertical="center"/>
    </xf>
    <xf numFmtId="10" fontId="0" fillId="0" borderId="17" xfId="7" applyNumberFormat="1" applyFont="1" applyBorder="1" applyAlignment="1">
      <alignment vertical="center"/>
    </xf>
    <xf numFmtId="10" fontId="0" fillId="0" borderId="22" xfId="7" applyNumberFormat="1" applyFont="1" applyBorder="1" applyAlignment="1">
      <alignment vertical="center"/>
    </xf>
    <xf numFmtId="10" fontId="0" fillId="0" borderId="25" xfId="7" applyNumberFormat="1" applyFont="1" applyBorder="1" applyAlignment="1">
      <alignment vertical="center"/>
    </xf>
    <xf numFmtId="0" fontId="6" fillId="0" borderId="0" xfId="0" applyFont="1" applyAlignment="1">
      <alignment horizontal="justify" vertical="center" wrapText="1"/>
    </xf>
    <xf numFmtId="0" fontId="6" fillId="0" borderId="0" xfId="0" applyFont="1" applyAlignment="1">
      <alignment wrapText="1"/>
    </xf>
    <xf numFmtId="0" fontId="10" fillId="0" borderId="1"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0" xfId="0" applyFont="1" applyAlignment="1">
      <alignment vertical="center" wrapText="1"/>
    </xf>
    <xf numFmtId="0" fontId="6" fillId="0" borderId="21"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wrapText="1"/>
    </xf>
    <xf numFmtId="170" fontId="6" fillId="0" borderId="0" xfId="0" applyNumberFormat="1" applyFont="1" applyAlignment="1">
      <alignment horizontal="center" vertical="center" wrapText="1"/>
    </xf>
    <xf numFmtId="0" fontId="6" fillId="0" borderId="24" xfId="0" applyFont="1" applyBorder="1" applyAlignment="1">
      <alignment horizontal="center" vertical="center" wrapText="1"/>
    </xf>
    <xf numFmtId="170" fontId="6" fillId="0" borderId="0" xfId="0" applyNumberFormat="1" applyFont="1" applyAlignment="1">
      <alignment wrapText="1"/>
    </xf>
    <xf numFmtId="0" fontId="10" fillId="0" borderId="32" xfId="0" applyFont="1" applyBorder="1" applyAlignment="1">
      <alignment horizontal="center" vertical="center" wrapText="1"/>
    </xf>
    <xf numFmtId="0" fontId="10" fillId="0" borderId="63" xfId="0" applyFont="1" applyBorder="1" applyAlignment="1">
      <alignment horizontal="center" vertical="center" wrapText="1"/>
    </xf>
    <xf numFmtId="0" fontId="6" fillId="0" borderId="49" xfId="0" applyFont="1" applyBorder="1" applyAlignment="1">
      <alignment horizontal="justify" vertical="center" wrapText="1"/>
    </xf>
    <xf numFmtId="0" fontId="6" fillId="0" borderId="42" xfId="0" applyFont="1" applyBorder="1" applyAlignment="1">
      <alignment horizontal="justify" vertical="center" wrapText="1"/>
    </xf>
    <xf numFmtId="0" fontId="6" fillId="0" borderId="51" xfId="0" applyFont="1" applyBorder="1" applyAlignment="1">
      <alignment horizontal="justify" vertical="center" wrapText="1"/>
    </xf>
    <xf numFmtId="0" fontId="10" fillId="0" borderId="49" xfId="0" applyFont="1" applyBorder="1" applyAlignment="1">
      <alignment horizontal="justify" vertical="center" wrapText="1"/>
    </xf>
    <xf numFmtId="0" fontId="10" fillId="0" borderId="42" xfId="0" applyFont="1" applyBorder="1" applyAlignment="1">
      <alignment horizontal="justify" vertical="center" wrapText="1"/>
    </xf>
    <xf numFmtId="0" fontId="10" fillId="0" borderId="51" xfId="0" applyFont="1" applyBorder="1" applyAlignment="1">
      <alignment horizontal="justify" vertical="center" wrapText="1"/>
    </xf>
    <xf numFmtId="0" fontId="10" fillId="0" borderId="64" xfId="0" applyFont="1" applyBorder="1" applyAlignment="1">
      <alignment horizontal="center" vertical="center" wrapText="1"/>
    </xf>
    <xf numFmtId="170" fontId="6" fillId="0" borderId="53" xfId="0" applyNumberFormat="1" applyFont="1" applyBorder="1" applyAlignment="1">
      <alignment horizontal="center" vertical="center" wrapText="1"/>
    </xf>
    <xf numFmtId="170" fontId="6" fillId="0" borderId="16" xfId="0" applyNumberFormat="1" applyFont="1" applyBorder="1" applyAlignment="1">
      <alignment horizontal="center" vertical="center" wrapText="1"/>
    </xf>
    <xf numFmtId="170" fontId="6" fillId="0" borderId="37" xfId="0" applyNumberFormat="1" applyFont="1" applyBorder="1" applyAlignment="1">
      <alignment horizontal="center" vertical="center" wrapText="1"/>
    </xf>
    <xf numFmtId="170" fontId="6" fillId="0" borderId="21" xfId="0" applyNumberFormat="1" applyFont="1" applyBorder="1" applyAlignment="1">
      <alignment horizontal="center" vertical="center" wrapText="1"/>
    </xf>
    <xf numFmtId="170" fontId="6" fillId="0" borderId="54" xfId="0" applyNumberFormat="1" applyFont="1" applyBorder="1" applyAlignment="1">
      <alignment horizontal="center" vertical="center" wrapText="1"/>
    </xf>
    <xf numFmtId="170" fontId="6" fillId="0" borderId="24" xfId="0" applyNumberFormat="1" applyFont="1" applyBorder="1" applyAlignment="1">
      <alignment horizontal="center" vertical="center" wrapText="1"/>
    </xf>
    <xf numFmtId="170" fontId="6" fillId="0" borderId="37" xfId="0" applyNumberFormat="1" applyFont="1" applyBorder="1" applyAlignment="1">
      <alignment horizontal="center" vertical="center" wrapText="1" shrinkToFit="1"/>
    </xf>
    <xf numFmtId="170" fontId="6" fillId="0" borderId="21" xfId="0" applyNumberFormat="1" applyFont="1" applyBorder="1" applyAlignment="1">
      <alignment horizontal="center" vertical="center" wrapText="1" shrinkToFit="1"/>
    </xf>
    <xf numFmtId="170" fontId="10" fillId="0" borderId="64" xfId="0" applyNumberFormat="1" applyFont="1" applyBorder="1" applyAlignment="1">
      <alignment horizontal="center" vertical="center" wrapText="1"/>
    </xf>
    <xf numFmtId="170" fontId="10" fillId="0" borderId="31" xfId="0" applyNumberFormat="1" applyFont="1" applyBorder="1" applyAlignment="1">
      <alignment horizontal="center" vertical="center" wrapText="1"/>
    </xf>
    <xf numFmtId="170" fontId="10" fillId="0" borderId="32" xfId="0" applyNumberFormat="1" applyFont="1" applyBorder="1" applyAlignment="1">
      <alignment horizontal="center" vertical="center" wrapText="1"/>
    </xf>
    <xf numFmtId="170" fontId="6" fillId="0" borderId="49" xfId="0" applyNumberFormat="1" applyFont="1" applyBorder="1" applyAlignment="1">
      <alignment horizontal="center" vertical="center" wrapText="1"/>
    </xf>
    <xf numFmtId="170" fontId="6" fillId="0" borderId="42" xfId="0" applyNumberFormat="1" applyFont="1" applyBorder="1" applyAlignment="1">
      <alignment horizontal="center" vertical="center" wrapText="1"/>
    </xf>
    <xf numFmtId="170" fontId="6" fillId="0" borderId="51" xfId="0" applyNumberFormat="1" applyFont="1" applyBorder="1" applyAlignment="1">
      <alignment horizontal="center" vertical="center" wrapText="1"/>
    </xf>
    <xf numFmtId="170" fontId="6" fillId="0" borderId="36" xfId="0" applyNumberFormat="1" applyFont="1" applyBorder="1" applyAlignment="1">
      <alignment horizontal="center" vertical="center" wrapText="1"/>
    </xf>
    <xf numFmtId="170" fontId="6" fillId="0" borderId="62" xfId="0" applyNumberFormat="1" applyFont="1" applyBorder="1" applyAlignment="1">
      <alignment horizontal="center" vertical="center" wrapText="1"/>
    </xf>
    <xf numFmtId="170" fontId="22" fillId="0" borderId="8" xfId="0" applyNumberFormat="1" applyFont="1" applyBorder="1" applyAlignment="1">
      <alignment horizontal="center" vertical="center" wrapText="1"/>
    </xf>
    <xf numFmtId="0" fontId="10" fillId="0" borderId="24" xfId="0" applyFont="1" applyBorder="1" applyAlignment="1">
      <alignment horizontal="center" vertical="center" wrapText="1"/>
    </xf>
    <xf numFmtId="0" fontId="3" fillId="3" borderId="14" xfId="0" applyFont="1" applyFill="1" applyBorder="1" applyAlignment="1">
      <alignment horizontal="center" vertical="center"/>
    </xf>
    <xf numFmtId="0" fontId="10" fillId="5" borderId="30"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63" xfId="0" applyFont="1" applyFill="1" applyBorder="1" applyAlignment="1">
      <alignment vertical="center" wrapText="1"/>
    </xf>
    <xf numFmtId="0" fontId="6" fillId="5" borderId="32" xfId="0" applyFont="1" applyFill="1" applyBorder="1" applyAlignment="1">
      <alignment horizontal="center" vertical="center" wrapText="1"/>
    </xf>
    <xf numFmtId="170" fontId="6" fillId="5" borderId="65" xfId="0" applyNumberFormat="1" applyFont="1" applyFill="1" applyBorder="1" applyAlignment="1">
      <alignment horizontal="center" vertical="center" wrapText="1"/>
    </xf>
    <xf numFmtId="170" fontId="6" fillId="5" borderId="58" xfId="0" applyNumberFormat="1" applyFont="1" applyFill="1" applyBorder="1" applyAlignment="1">
      <alignment horizontal="center" vertical="center" wrapText="1"/>
    </xf>
    <xf numFmtId="170" fontId="6" fillId="5" borderId="63" xfId="0" applyNumberFormat="1" applyFont="1" applyFill="1" applyBorder="1" applyAlignment="1">
      <alignment horizontal="center" vertical="center" wrapText="1"/>
    </xf>
    <xf numFmtId="170" fontId="22" fillId="5" borderId="1" xfId="0" applyNumberFormat="1"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49" xfId="0" applyFont="1" applyFill="1" applyBorder="1" applyAlignment="1">
      <alignment horizontal="justify" vertical="center" wrapText="1"/>
    </xf>
    <xf numFmtId="170" fontId="6" fillId="5" borderId="53" xfId="0" applyNumberFormat="1" applyFont="1" applyFill="1" applyBorder="1" applyAlignment="1">
      <alignment horizontal="center" vertical="center" wrapText="1"/>
    </xf>
    <xf numFmtId="170" fontId="6" fillId="5" borderId="16" xfId="0" applyNumberFormat="1" applyFont="1" applyFill="1" applyBorder="1" applyAlignment="1">
      <alignment horizontal="center" vertical="center" wrapText="1"/>
    </xf>
    <xf numFmtId="170" fontId="6" fillId="5" borderId="49" xfId="0" applyNumberFormat="1" applyFont="1" applyFill="1" applyBorder="1" applyAlignment="1">
      <alignment horizontal="center" vertical="center" wrapText="1"/>
    </xf>
    <xf numFmtId="0" fontId="6" fillId="5" borderId="21" xfId="0" applyFont="1" applyFill="1" applyBorder="1" applyAlignment="1">
      <alignment horizontal="center" vertical="center" wrapText="1"/>
    </xf>
    <xf numFmtId="0" fontId="6" fillId="5" borderId="42" xfId="0" applyFont="1" applyFill="1" applyBorder="1" applyAlignment="1">
      <alignment horizontal="justify" vertical="center" wrapText="1"/>
    </xf>
    <xf numFmtId="170" fontId="6" fillId="5" borderId="37" xfId="0" applyNumberFormat="1" applyFont="1" applyFill="1" applyBorder="1" applyAlignment="1">
      <alignment horizontal="center" vertical="center" wrapText="1"/>
    </xf>
    <xf numFmtId="170" fontId="6" fillId="5" borderId="21" xfId="0" applyNumberFormat="1" applyFont="1" applyFill="1" applyBorder="1" applyAlignment="1">
      <alignment horizontal="center" vertical="center" wrapText="1"/>
    </xf>
    <xf numFmtId="170" fontId="6" fillId="5" borderId="42" xfId="0" applyNumberFormat="1" applyFont="1" applyFill="1" applyBorder="1" applyAlignment="1">
      <alignment horizontal="center" vertical="center" wrapText="1"/>
    </xf>
    <xf numFmtId="0" fontId="6" fillId="5" borderId="24" xfId="0" applyFont="1" applyFill="1" applyBorder="1" applyAlignment="1">
      <alignment horizontal="center" vertical="center" wrapText="1"/>
    </xf>
    <xf numFmtId="0" fontId="6" fillId="5" borderId="51" xfId="0" applyFont="1" applyFill="1" applyBorder="1" applyAlignment="1">
      <alignment horizontal="justify" vertical="center" wrapText="1"/>
    </xf>
    <xf numFmtId="170" fontId="6" fillId="5" borderId="54" xfId="0" applyNumberFormat="1" applyFont="1" applyFill="1" applyBorder="1" applyAlignment="1">
      <alignment horizontal="center" vertical="center" wrapText="1"/>
    </xf>
    <xf numFmtId="170" fontId="6" fillId="5" borderId="24" xfId="0" applyNumberFormat="1" applyFont="1" applyFill="1" applyBorder="1" applyAlignment="1">
      <alignment horizontal="center" vertical="center" wrapText="1"/>
    </xf>
    <xf numFmtId="170" fontId="6" fillId="5" borderId="51" xfId="0" applyNumberFormat="1" applyFont="1" applyFill="1" applyBorder="1" applyAlignment="1">
      <alignment horizontal="center" vertical="center" wrapText="1"/>
    </xf>
    <xf numFmtId="0" fontId="23" fillId="5" borderId="0" xfId="0" applyFont="1" applyFill="1" applyAlignment="1">
      <alignment horizontal="center" vertical="center" wrapText="1"/>
    </xf>
    <xf numFmtId="0" fontId="0" fillId="5" borderId="26" xfId="0" applyFill="1" applyBorder="1"/>
    <xf numFmtId="0" fontId="0" fillId="5" borderId="0" xfId="0" applyFill="1"/>
    <xf numFmtId="0" fontId="10" fillId="0" borderId="0" xfId="0" applyFont="1" applyAlignment="1">
      <alignment horizontal="center" vertical="center" wrapText="1"/>
    </xf>
    <xf numFmtId="0" fontId="6" fillId="0" borderId="21" xfId="0" applyFont="1" applyBorder="1" applyAlignment="1">
      <alignment wrapText="1"/>
    </xf>
    <xf numFmtId="0" fontId="23" fillId="0" borderId="0" xfId="0" applyFont="1" applyAlignment="1">
      <alignment horizontal="center" vertical="center" wrapText="1"/>
    </xf>
    <xf numFmtId="170" fontId="22" fillId="0" borderId="21" xfId="0" applyNumberFormat="1" applyFont="1" applyBorder="1" applyAlignment="1">
      <alignment horizontal="right" vertical="center" wrapText="1"/>
    </xf>
    <xf numFmtId="0" fontId="6" fillId="6" borderId="21" xfId="0" applyFont="1" applyFill="1" applyBorder="1" applyAlignment="1">
      <alignment horizontal="center" vertical="center" wrapText="1"/>
    </xf>
    <xf numFmtId="0" fontId="6" fillId="6" borderId="42" xfId="0" applyFont="1" applyFill="1" applyBorder="1" applyAlignment="1">
      <alignment horizontal="justify" vertical="center" wrapText="1"/>
    </xf>
    <xf numFmtId="170" fontId="6" fillId="6" borderId="37" xfId="0" applyNumberFormat="1" applyFont="1" applyFill="1" applyBorder="1" applyAlignment="1">
      <alignment horizontal="center" vertical="center" wrapText="1"/>
    </xf>
    <xf numFmtId="170" fontId="6" fillId="6" borderId="21" xfId="0" applyNumberFormat="1" applyFont="1" applyFill="1" applyBorder="1" applyAlignment="1">
      <alignment horizontal="center" vertical="center" wrapText="1"/>
    </xf>
    <xf numFmtId="170" fontId="6" fillId="6" borderId="36" xfId="0" applyNumberFormat="1" applyFont="1" applyFill="1" applyBorder="1" applyAlignment="1">
      <alignment horizontal="center" vertical="center" wrapText="1"/>
    </xf>
    <xf numFmtId="0" fontId="6" fillId="6" borderId="0" xfId="0" applyFont="1" applyFill="1" applyAlignment="1">
      <alignment wrapText="1"/>
    </xf>
    <xf numFmtId="170" fontId="6" fillId="6" borderId="37" xfId="0" applyNumberFormat="1" applyFont="1" applyFill="1" applyBorder="1" applyAlignment="1">
      <alignment horizontal="center" vertical="center" wrapText="1" shrinkToFit="1"/>
    </xf>
    <xf numFmtId="170" fontId="6" fillId="6" borderId="21" xfId="0" applyNumberFormat="1" applyFont="1" applyFill="1" applyBorder="1" applyAlignment="1">
      <alignment horizontal="center" vertical="center" wrapText="1" shrinkToFit="1"/>
    </xf>
    <xf numFmtId="0" fontId="6" fillId="6" borderId="24" xfId="0" applyFont="1" applyFill="1" applyBorder="1" applyAlignment="1">
      <alignment horizontal="center" vertical="center" wrapText="1"/>
    </xf>
    <xf numFmtId="0" fontId="6" fillId="6" borderId="51" xfId="0" applyFont="1" applyFill="1" applyBorder="1" applyAlignment="1">
      <alignment horizontal="justify" vertical="center" wrapText="1"/>
    </xf>
    <xf numFmtId="170" fontId="6" fillId="6" borderId="54" xfId="0" applyNumberFormat="1" applyFont="1" applyFill="1" applyBorder="1" applyAlignment="1">
      <alignment horizontal="center" vertical="center" wrapText="1"/>
    </xf>
    <xf numFmtId="170" fontId="6" fillId="6" borderId="24" xfId="0" applyNumberFormat="1" applyFont="1" applyFill="1" applyBorder="1" applyAlignment="1">
      <alignment horizontal="center" vertical="center" wrapText="1"/>
    </xf>
    <xf numFmtId="170" fontId="6" fillId="6" borderId="62" xfId="0" applyNumberFormat="1"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63" xfId="0" applyFont="1" applyBorder="1" applyAlignment="1">
      <alignment vertical="center" wrapText="1"/>
    </xf>
    <xf numFmtId="0" fontId="6" fillId="0" borderId="32" xfId="0" applyFont="1" applyBorder="1" applyAlignment="1">
      <alignment horizontal="center" vertical="center" wrapText="1"/>
    </xf>
    <xf numFmtId="170" fontId="6" fillId="0" borderId="65" xfId="0" applyNumberFormat="1" applyFont="1" applyBorder="1" applyAlignment="1">
      <alignment horizontal="center" vertical="center" wrapText="1"/>
    </xf>
    <xf numFmtId="170" fontId="6" fillId="0" borderId="58" xfId="0" applyNumberFormat="1" applyFont="1" applyBorder="1" applyAlignment="1">
      <alignment horizontal="center" vertical="center" wrapText="1"/>
    </xf>
    <xf numFmtId="170" fontId="6" fillId="0" borderId="63" xfId="0" applyNumberFormat="1" applyFont="1" applyBorder="1" applyAlignment="1">
      <alignment horizontal="center" vertical="center" wrapText="1"/>
    </xf>
    <xf numFmtId="170" fontId="22" fillId="0" borderId="1" xfId="0" applyNumberFormat="1" applyFont="1" applyBorder="1" applyAlignment="1">
      <alignment horizontal="center" vertical="center" wrapText="1"/>
    </xf>
    <xf numFmtId="0" fontId="6" fillId="0" borderId="21" xfId="0" applyFont="1" applyBorder="1" applyAlignment="1">
      <alignment horizontal="center" wrapText="1"/>
    </xf>
    <xf numFmtId="0" fontId="6" fillId="0" borderId="20" xfId="0" applyFont="1" applyBorder="1" applyAlignment="1">
      <alignment horizontal="center" vertical="center" wrapText="1"/>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10" fillId="0" borderId="0" xfId="0" applyFont="1" applyAlignment="1">
      <alignment vertical="center" wrapText="1"/>
    </xf>
    <xf numFmtId="170" fontId="22" fillId="0" borderId="21" xfId="0" applyNumberFormat="1" applyFont="1" applyBorder="1" applyAlignment="1">
      <alignment vertical="center" wrapText="1"/>
    </xf>
    <xf numFmtId="0" fontId="22" fillId="0" borderId="21" xfId="0" applyFont="1" applyBorder="1" applyAlignment="1">
      <alignment vertical="center" wrapText="1"/>
    </xf>
    <xf numFmtId="0" fontId="6" fillId="0" borderId="42" xfId="0" applyFont="1" applyBorder="1" applyAlignment="1">
      <alignment horizontal="left" vertical="center" wrapText="1"/>
    </xf>
    <xf numFmtId="0" fontId="6" fillId="0" borderId="51" xfId="0" applyFont="1" applyBorder="1" applyAlignment="1">
      <alignment horizontal="left" vertical="center" wrapText="1"/>
    </xf>
    <xf numFmtId="170" fontId="22" fillId="0" borderId="24" xfId="0" applyNumberFormat="1" applyFont="1" applyBorder="1" applyAlignment="1">
      <alignment horizontal="right" vertical="center" wrapText="1"/>
    </xf>
    <xf numFmtId="0" fontId="6" fillId="0" borderId="24" xfId="0" applyFont="1" applyBorder="1" applyAlignment="1">
      <alignment horizontal="center" wrapText="1"/>
    </xf>
    <xf numFmtId="170" fontId="6" fillId="7" borderId="21" xfId="0" applyNumberFormat="1" applyFont="1" applyFill="1" applyBorder="1" applyAlignment="1">
      <alignment horizontal="center" vertical="center" wrapText="1"/>
    </xf>
    <xf numFmtId="0" fontId="6" fillId="7" borderId="21" xfId="0" applyFont="1" applyFill="1" applyBorder="1" applyAlignment="1">
      <alignment wrapText="1"/>
    </xf>
    <xf numFmtId="170" fontId="22" fillId="7" borderId="21" xfId="0" applyNumberFormat="1" applyFont="1" applyFill="1" applyBorder="1" applyAlignment="1">
      <alignment vertical="center" wrapText="1"/>
    </xf>
    <xf numFmtId="0" fontId="6" fillId="0" borderId="42" xfId="0" applyFont="1" applyBorder="1" applyAlignment="1">
      <alignment horizontal="center" vertical="center" wrapText="1"/>
    </xf>
    <xf numFmtId="0" fontId="6" fillId="0" borderId="51" xfId="0" applyFont="1" applyBorder="1" applyAlignment="1">
      <alignment horizontal="center" vertical="center" wrapText="1"/>
    </xf>
    <xf numFmtId="0" fontId="6" fillId="7" borderId="70" xfId="0" applyFont="1" applyFill="1" applyBorder="1" applyAlignment="1">
      <alignment horizontal="center" vertical="center" wrapText="1"/>
    </xf>
    <xf numFmtId="0" fontId="6" fillId="0" borderId="29" xfId="0" applyFont="1" applyBorder="1" applyAlignment="1">
      <alignment horizontal="center" vertical="center" wrapText="1"/>
    </xf>
    <xf numFmtId="0" fontId="6" fillId="0" borderId="70" xfId="0" applyFont="1" applyBorder="1" applyAlignment="1">
      <alignment vertical="center" wrapText="1"/>
    </xf>
    <xf numFmtId="0" fontId="6" fillId="0" borderId="29" xfId="0" applyFont="1" applyBorder="1" applyAlignment="1">
      <alignment vertical="center" wrapText="1"/>
    </xf>
    <xf numFmtId="0" fontId="6" fillId="7" borderId="29" xfId="0" applyFont="1" applyFill="1" applyBorder="1" applyAlignment="1">
      <alignment vertical="center" wrapText="1"/>
    </xf>
    <xf numFmtId="0" fontId="6" fillId="7" borderId="0" xfId="0" applyFont="1" applyFill="1" applyAlignment="1">
      <alignment vertical="center" wrapText="1"/>
    </xf>
    <xf numFmtId="170" fontId="6" fillId="0" borderId="42" xfId="0" applyNumberFormat="1" applyFont="1" applyBorder="1" applyAlignment="1">
      <alignment vertical="center" wrapText="1"/>
    </xf>
    <xf numFmtId="170" fontId="6" fillId="0" borderId="37" xfId="0" applyNumberFormat="1" applyFont="1" applyBorder="1" applyAlignment="1">
      <alignment vertical="center" wrapText="1"/>
    </xf>
    <xf numFmtId="170" fontId="6" fillId="7" borderId="42" xfId="0" applyNumberFormat="1" applyFont="1" applyFill="1" applyBorder="1" applyAlignment="1">
      <alignment vertical="center" wrapText="1"/>
    </xf>
    <xf numFmtId="0" fontId="6" fillId="0" borderId="69" xfId="0" applyFont="1" applyBorder="1" applyAlignment="1">
      <alignment horizontal="center" vertical="center" wrapText="1"/>
    </xf>
    <xf numFmtId="0" fontId="6" fillId="0" borderId="49" xfId="0" applyFont="1" applyBorder="1" applyAlignment="1">
      <alignment horizontal="left" vertical="center" wrapText="1"/>
    </xf>
    <xf numFmtId="170" fontId="6" fillId="7" borderId="16" xfId="0" applyNumberFormat="1" applyFont="1" applyFill="1" applyBorder="1" applyAlignment="1">
      <alignment horizontal="center" vertical="center" wrapText="1"/>
    </xf>
    <xf numFmtId="170" fontId="22" fillId="0" borderId="16" xfId="0" applyNumberFormat="1" applyFont="1" applyBorder="1" applyAlignment="1">
      <alignment vertical="center" wrapText="1"/>
    </xf>
    <xf numFmtId="0" fontId="6" fillId="0" borderId="16" xfId="0" applyFont="1" applyBorder="1" applyAlignment="1">
      <alignment wrapText="1"/>
    </xf>
    <xf numFmtId="170" fontId="22" fillId="0" borderId="25" xfId="0" applyNumberFormat="1" applyFont="1" applyBorder="1" applyAlignment="1">
      <alignment wrapText="1"/>
    </xf>
    <xf numFmtId="0" fontId="25" fillId="0" borderId="0" xfId="0" applyFont="1"/>
    <xf numFmtId="0" fontId="6" fillId="0" borderId="28" xfId="0" applyFont="1" applyBorder="1" applyAlignment="1">
      <alignment horizontal="center" vertical="center" wrapText="1"/>
    </xf>
    <xf numFmtId="0" fontId="6" fillId="0" borderId="71" xfId="0" applyFont="1" applyBorder="1" applyAlignment="1">
      <alignment horizontal="center" vertical="center" wrapText="1"/>
    </xf>
    <xf numFmtId="0" fontId="15" fillId="0" borderId="12" xfId="10" applyFont="1" applyBorder="1"/>
    <xf numFmtId="0" fontId="15" fillId="0" borderId="13" xfId="10" applyFont="1" applyBorder="1"/>
    <xf numFmtId="0" fontId="26" fillId="0" borderId="0" xfId="10"/>
    <xf numFmtId="0" fontId="15" fillId="0" borderId="26" xfId="10" applyFont="1" applyBorder="1"/>
    <xf numFmtId="0" fontId="15" fillId="0" borderId="0" xfId="10" applyFont="1"/>
    <xf numFmtId="0" fontId="15" fillId="0" borderId="33" xfId="10" applyFont="1" applyBorder="1"/>
    <xf numFmtId="0" fontId="15" fillId="0" borderId="34" xfId="10" applyFont="1" applyBorder="1"/>
    <xf numFmtId="0" fontId="28" fillId="8" borderId="21" xfId="10" applyFont="1" applyFill="1" applyBorder="1" applyAlignment="1">
      <alignment horizontal="center" vertical="center" wrapText="1"/>
    </xf>
    <xf numFmtId="0" fontId="5" fillId="0" borderId="21" xfId="10" applyFont="1" applyBorder="1" applyAlignment="1">
      <alignment horizontal="center" vertical="center"/>
    </xf>
    <xf numFmtId="0" fontId="29" fillId="0" borderId="21" xfId="10" applyFont="1" applyBorder="1" applyAlignment="1">
      <alignment horizontal="center" vertical="center"/>
    </xf>
    <xf numFmtId="0" fontId="29" fillId="0" borderId="21" xfId="10" applyFont="1" applyBorder="1" applyAlignment="1">
      <alignment horizontal="left" vertical="center"/>
    </xf>
    <xf numFmtId="0" fontId="15" fillId="0" borderId="21" xfId="10" applyFont="1" applyBorder="1" applyAlignment="1">
      <alignment horizontal="center" vertical="center"/>
    </xf>
    <xf numFmtId="4" fontId="15" fillId="0" borderId="21" xfId="10" applyNumberFormat="1" applyFont="1" applyBorder="1" applyAlignment="1">
      <alignment vertical="center" wrapText="1"/>
    </xf>
    <xf numFmtId="4" fontId="15" fillId="0" borderId="21" xfId="10" applyNumberFormat="1" applyFont="1" applyBorder="1" applyAlignment="1">
      <alignment horizontal="center" vertical="center"/>
    </xf>
    <xf numFmtId="4" fontId="15" fillId="0" borderId="21" xfId="10" applyNumberFormat="1" applyFont="1" applyBorder="1" applyAlignment="1">
      <alignment horizontal="center" vertical="center" wrapText="1"/>
    </xf>
    <xf numFmtId="4" fontId="15" fillId="0" borderId="21" xfId="10" applyNumberFormat="1" applyFont="1" applyBorder="1" applyAlignment="1">
      <alignment horizontal="right" vertical="center"/>
    </xf>
    <xf numFmtId="4" fontId="15" fillId="0" borderId="21" xfId="11" applyNumberFormat="1" applyFont="1" applyBorder="1" applyAlignment="1">
      <alignment horizontal="center" vertical="center"/>
    </xf>
    <xf numFmtId="4" fontId="15" fillId="0" borderId="21" xfId="11" applyNumberFormat="1" applyFont="1" applyBorder="1" applyAlignment="1">
      <alignment vertical="center"/>
    </xf>
    <xf numFmtId="4" fontId="15" fillId="0" borderId="21" xfId="12" applyNumberFormat="1" applyFont="1" applyBorder="1" applyAlignment="1">
      <alignment horizontal="center" vertical="center"/>
    </xf>
    <xf numFmtId="4" fontId="29" fillId="0" borderId="21" xfId="10" applyNumberFormat="1" applyFont="1" applyBorder="1" applyAlignment="1">
      <alignment vertical="center" wrapText="1"/>
    </xf>
    <xf numFmtId="0" fontId="15" fillId="0" borderId="21" xfId="10" applyFont="1" applyBorder="1" applyAlignment="1">
      <alignment vertical="center"/>
    </xf>
    <xf numFmtId="0" fontId="5" fillId="0" borderId="21" xfId="10" applyFont="1" applyBorder="1" applyAlignment="1">
      <alignment vertical="center"/>
    </xf>
    <xf numFmtId="0" fontId="29" fillId="0" borderId="21" xfId="10" applyFont="1" applyBorder="1" applyAlignment="1">
      <alignment horizontal="center" vertical="center" wrapText="1"/>
    </xf>
    <xf numFmtId="4" fontId="29" fillId="0" borderId="21" xfId="10" applyNumberFormat="1" applyFont="1" applyBorder="1" applyAlignment="1">
      <alignment horizontal="right" vertical="center" wrapText="1"/>
    </xf>
    <xf numFmtId="0" fontId="15" fillId="0" borderId="21" xfId="10" applyFont="1" applyBorder="1" applyAlignment="1">
      <alignment vertical="center" wrapText="1"/>
    </xf>
    <xf numFmtId="4" fontId="15" fillId="0" borderId="21" xfId="11" applyNumberFormat="1" applyFont="1" applyBorder="1" applyAlignment="1">
      <alignment horizontal="right" vertical="center" wrapText="1"/>
    </xf>
    <xf numFmtId="4" fontId="15" fillId="0" borderId="21" xfId="11" applyNumberFormat="1" applyFont="1" applyBorder="1" applyAlignment="1">
      <alignment horizontal="center" vertical="center" wrapText="1"/>
    </xf>
    <xf numFmtId="4" fontId="15" fillId="0" borderId="21" xfId="11" applyNumberFormat="1" applyFont="1" applyBorder="1" applyAlignment="1">
      <alignment vertical="center" wrapText="1"/>
    </xf>
    <xf numFmtId="4" fontId="15" fillId="0" borderId="21" xfId="10" applyNumberFormat="1" applyFont="1" applyBorder="1" applyAlignment="1">
      <alignment horizontal="left" vertical="center" wrapText="1"/>
    </xf>
    <xf numFmtId="0" fontId="5" fillId="0" borderId="0" xfId="10" applyFont="1"/>
    <xf numFmtId="0" fontId="19" fillId="0" borderId="0" xfId="10" applyFont="1"/>
    <xf numFmtId="0" fontId="31" fillId="0" borderId="0" xfId="10" applyFont="1"/>
    <xf numFmtId="0" fontId="31" fillId="0" borderId="0" xfId="10" applyFont="1" applyAlignment="1">
      <alignment horizontal="center"/>
    </xf>
    <xf numFmtId="4" fontId="31" fillId="0" borderId="0" xfId="10" applyNumberFormat="1" applyFont="1"/>
    <xf numFmtId="3" fontId="31" fillId="0" borderId="0" xfId="10" applyNumberFormat="1" applyFont="1"/>
    <xf numFmtId="4" fontId="32" fillId="0" borderId="21" xfId="10" applyNumberFormat="1" applyFont="1" applyBorder="1" applyAlignment="1">
      <alignment horizontal="right" vertical="center" wrapText="1"/>
    </xf>
    <xf numFmtId="170" fontId="22" fillId="0" borderId="19" xfId="0" applyNumberFormat="1" applyFont="1" applyBorder="1" applyAlignment="1">
      <alignment horizontal="right" vertical="center" wrapText="1"/>
    </xf>
    <xf numFmtId="170" fontId="22" fillId="0" borderId="1" xfId="0" applyNumberFormat="1" applyFont="1" applyBorder="1" applyAlignment="1">
      <alignment horizontal="right" vertical="center" wrapText="1"/>
    </xf>
    <xf numFmtId="0" fontId="10" fillId="13" borderId="30" xfId="0" applyFont="1" applyFill="1" applyBorder="1" applyAlignment="1">
      <alignment horizontal="center" vertical="center" wrapText="1"/>
    </xf>
    <xf numFmtId="0" fontId="10" fillId="13" borderId="31" xfId="0" applyFont="1" applyFill="1" applyBorder="1" applyAlignment="1">
      <alignment horizontal="center" vertical="center"/>
    </xf>
    <xf numFmtId="0" fontId="10" fillId="13" borderId="32" xfId="0" applyFont="1" applyFill="1" applyBorder="1" applyAlignment="1">
      <alignment horizontal="center" vertical="center"/>
    </xf>
    <xf numFmtId="0" fontId="10" fillId="13" borderId="31" xfId="0" applyFont="1" applyFill="1" applyBorder="1" applyAlignment="1">
      <alignment horizontal="center" vertical="center" wrapText="1"/>
    </xf>
    <xf numFmtId="0" fontId="10" fillId="13" borderId="63" xfId="0" applyFont="1" applyFill="1" applyBorder="1" applyAlignment="1">
      <alignment horizontal="center" vertical="center" wrapText="1"/>
    </xf>
    <xf numFmtId="0" fontId="10" fillId="13" borderId="32" xfId="0" applyFont="1" applyFill="1" applyBorder="1" applyAlignment="1">
      <alignment horizontal="center" vertical="center" wrapText="1"/>
    </xf>
    <xf numFmtId="0" fontId="6" fillId="14" borderId="21" xfId="0" applyFont="1" applyFill="1" applyBorder="1" applyAlignment="1">
      <alignment horizontal="left" vertical="center" wrapText="1"/>
    </xf>
    <xf numFmtId="170" fontId="6" fillId="14" borderId="21" xfId="0" applyNumberFormat="1" applyFont="1" applyFill="1" applyBorder="1" applyAlignment="1">
      <alignment horizontal="center" vertical="center" wrapText="1"/>
    </xf>
    <xf numFmtId="170" fontId="6" fillId="14" borderId="42" xfId="0" applyNumberFormat="1" applyFont="1" applyFill="1" applyBorder="1" applyAlignment="1">
      <alignment horizontal="center" vertical="center" wrapText="1"/>
    </xf>
    <xf numFmtId="0" fontId="6" fillId="15" borderId="21" xfId="0" applyFont="1" applyFill="1" applyBorder="1" applyAlignment="1">
      <alignment horizontal="center" vertical="center" wrapText="1"/>
    </xf>
    <xf numFmtId="0" fontId="6" fillId="15" borderId="21" xfId="0" applyFont="1" applyFill="1" applyBorder="1" applyAlignment="1">
      <alignment horizontal="left" vertical="center" wrapText="1"/>
    </xf>
    <xf numFmtId="170" fontId="6" fillId="15" borderId="21" xfId="0" applyNumberFormat="1" applyFont="1" applyFill="1" applyBorder="1" applyAlignment="1">
      <alignment horizontal="center" vertical="center" wrapText="1"/>
    </xf>
    <xf numFmtId="170" fontId="22" fillId="15" borderId="22" xfId="0" applyNumberFormat="1" applyFont="1" applyFill="1" applyBorder="1" applyAlignment="1">
      <alignment horizontal="right" vertical="center" wrapText="1"/>
    </xf>
    <xf numFmtId="0" fontId="10" fillId="15" borderId="21" xfId="0" applyFont="1" applyFill="1" applyBorder="1" applyAlignment="1">
      <alignment horizontal="center" vertical="center" wrapText="1"/>
    </xf>
    <xf numFmtId="0" fontId="6" fillId="15" borderId="16" xfId="0" applyFont="1" applyFill="1" applyBorder="1" applyAlignment="1">
      <alignment horizontal="center" vertical="center" wrapText="1"/>
    </xf>
    <xf numFmtId="0" fontId="6" fillId="15" borderId="16" xfId="0" applyFont="1" applyFill="1" applyBorder="1" applyAlignment="1">
      <alignment horizontal="left" vertical="center" wrapText="1"/>
    </xf>
    <xf numFmtId="170" fontId="6" fillId="15" borderId="16" xfId="0" applyNumberFormat="1" applyFont="1" applyFill="1" applyBorder="1" applyAlignment="1">
      <alignment horizontal="center" vertical="center" wrapText="1"/>
    </xf>
    <xf numFmtId="170" fontId="22" fillId="15" borderId="17" xfId="0" applyNumberFormat="1" applyFont="1" applyFill="1" applyBorder="1" applyAlignment="1">
      <alignment horizontal="right" vertical="center" wrapText="1"/>
    </xf>
    <xf numFmtId="170" fontId="22" fillId="15" borderId="25" xfId="0" applyNumberFormat="1" applyFont="1" applyFill="1" applyBorder="1" applyAlignment="1">
      <alignment horizontal="right" wrapText="1"/>
    </xf>
    <xf numFmtId="0" fontId="6" fillId="14" borderId="16" xfId="0" applyFont="1" applyFill="1" applyBorder="1" applyAlignment="1">
      <alignment horizontal="left" vertical="center" wrapText="1"/>
    </xf>
    <xf numFmtId="170" fontId="6" fillId="14" borderId="16" xfId="0" applyNumberFormat="1" applyFont="1" applyFill="1" applyBorder="1" applyAlignment="1">
      <alignment horizontal="center" vertical="center" wrapText="1"/>
    </xf>
    <xf numFmtId="170" fontId="6" fillId="14" borderId="49" xfId="0" applyNumberFormat="1" applyFont="1" applyFill="1" applyBorder="1" applyAlignment="1">
      <alignment horizontal="center" vertical="center" wrapText="1"/>
    </xf>
    <xf numFmtId="170" fontId="22" fillId="14" borderId="25" xfId="0" applyNumberFormat="1" applyFont="1" applyFill="1" applyBorder="1" applyAlignment="1">
      <alignment horizontal="right" vertical="center" wrapText="1"/>
    </xf>
    <xf numFmtId="0" fontId="6" fillId="14" borderId="16" xfId="0" applyFont="1" applyFill="1" applyBorder="1" applyAlignment="1">
      <alignment horizontal="center" vertical="center" wrapText="1"/>
    </xf>
    <xf numFmtId="0" fontId="6" fillId="14" borderId="21" xfId="0" applyFont="1" applyFill="1" applyBorder="1" applyAlignment="1">
      <alignment horizontal="center" vertical="center" wrapText="1"/>
    </xf>
    <xf numFmtId="0" fontId="6" fillId="14" borderId="21" xfId="0" applyFont="1" applyFill="1" applyBorder="1" applyAlignment="1">
      <alignment horizontal="center" vertical="center"/>
    </xf>
    <xf numFmtId="0" fontId="10" fillId="13" borderId="58" xfId="0" applyFont="1" applyFill="1" applyBorder="1" applyAlignment="1">
      <alignment horizontal="center" vertical="center" wrapText="1"/>
    </xf>
    <xf numFmtId="3" fontId="21" fillId="0" borderId="21" xfId="10" applyNumberFormat="1" applyFont="1" applyBorder="1" applyAlignment="1">
      <alignment horizontal="right" vertical="center" wrapText="1"/>
    </xf>
    <xf numFmtId="3" fontId="15" fillId="0" borderId="14" xfId="10" applyNumberFormat="1" applyFont="1" applyBorder="1"/>
    <xf numFmtId="3" fontId="15" fillId="0" borderId="27" xfId="10" applyNumberFormat="1" applyFont="1" applyBorder="1"/>
    <xf numFmtId="3" fontId="15" fillId="0" borderId="35" xfId="10" applyNumberFormat="1" applyFont="1" applyBorder="1"/>
    <xf numFmtId="3" fontId="29" fillId="0" borderId="21" xfId="10" applyNumberFormat="1" applyFont="1" applyBorder="1" applyAlignment="1">
      <alignment horizontal="left" vertical="center"/>
    </xf>
    <xf numFmtId="3" fontId="15" fillId="0" borderId="21" xfId="10" applyNumberFormat="1" applyFont="1" applyBorder="1" applyAlignment="1">
      <alignment horizontal="right" vertical="center"/>
    </xf>
    <xf numFmtId="3" fontId="29" fillId="9" borderId="21" xfId="10" applyNumberFormat="1" applyFont="1" applyFill="1" applyBorder="1" applyAlignment="1">
      <alignment horizontal="right" vertical="center"/>
    </xf>
    <xf numFmtId="3" fontId="5" fillId="10" borderId="21" xfId="10" applyNumberFormat="1" applyFont="1" applyFill="1" applyBorder="1" applyAlignment="1">
      <alignment horizontal="right" vertical="center"/>
    </xf>
    <xf numFmtId="3" fontId="28" fillId="8" borderId="21" xfId="10" applyNumberFormat="1" applyFont="1" applyFill="1" applyBorder="1" applyAlignment="1">
      <alignment horizontal="center" vertical="center" wrapText="1"/>
    </xf>
    <xf numFmtId="3" fontId="15" fillId="0" borderId="21" xfId="10" applyNumberFormat="1" applyFont="1" applyBorder="1" applyAlignment="1">
      <alignment horizontal="right" vertical="center" wrapText="1"/>
    </xf>
    <xf numFmtId="3" fontId="5" fillId="9" borderId="21" xfId="10" applyNumberFormat="1" applyFont="1" applyFill="1" applyBorder="1" applyAlignment="1">
      <alignment horizontal="right" vertical="center"/>
    </xf>
    <xf numFmtId="3" fontId="30" fillId="10" borderId="21" xfId="10" applyNumberFormat="1" applyFont="1" applyFill="1" applyBorder="1" applyAlignment="1">
      <alignment horizontal="right" vertical="center"/>
    </xf>
    <xf numFmtId="3" fontId="29" fillId="0" borderId="21" xfId="10" applyNumberFormat="1" applyFont="1" applyBorder="1" applyAlignment="1">
      <alignment horizontal="right" vertical="center" wrapText="1"/>
    </xf>
    <xf numFmtId="3" fontId="21" fillId="8" borderId="21" xfId="10" applyNumberFormat="1" applyFont="1" applyFill="1" applyBorder="1" applyAlignment="1">
      <alignment horizontal="right" vertical="center"/>
    </xf>
    <xf numFmtId="3" fontId="15" fillId="0" borderId="0" xfId="10" applyNumberFormat="1" applyFont="1"/>
    <xf numFmtId="3" fontId="15" fillId="0" borderId="21" xfId="11" applyNumberFormat="1" applyFont="1" applyBorder="1" applyAlignment="1">
      <alignment vertical="center"/>
    </xf>
    <xf numFmtId="3" fontId="15" fillId="0" borderId="21" xfId="10" applyNumberFormat="1" applyFont="1" applyBorder="1" applyAlignment="1">
      <alignment vertical="center"/>
    </xf>
    <xf numFmtId="3" fontId="29" fillId="0" borderId="21" xfId="10" applyNumberFormat="1" applyFont="1" applyBorder="1" applyAlignment="1">
      <alignment vertical="center" wrapText="1"/>
    </xf>
    <xf numFmtId="3" fontId="15" fillId="0" borderId="21" xfId="11" applyNumberFormat="1" applyFont="1" applyBorder="1" applyAlignment="1">
      <alignment vertical="center" wrapText="1"/>
    </xf>
    <xf numFmtId="3" fontId="33" fillId="0" borderId="0" xfId="10" applyNumberFormat="1" applyFont="1"/>
    <xf numFmtId="3" fontId="38" fillId="8" borderId="0" xfId="10" applyNumberFormat="1" applyFont="1" applyFill="1" applyAlignment="1">
      <alignment horizontal="center" vertical="center" wrapText="1"/>
    </xf>
    <xf numFmtId="0" fontId="39" fillId="0" borderId="0" xfId="10" applyFont="1" applyAlignment="1">
      <alignment horizontal="left" vertical="center"/>
    </xf>
    <xf numFmtId="3" fontId="40" fillId="0" borderId="0" xfId="10" applyNumberFormat="1" applyFont="1" applyAlignment="1">
      <alignment horizontal="left" vertical="center"/>
    </xf>
    <xf numFmtId="3" fontId="33" fillId="0" borderId="0" xfId="10" applyNumberFormat="1" applyFont="1" applyAlignment="1">
      <alignment horizontal="right" vertical="center"/>
    </xf>
    <xf numFmtId="3" fontId="40" fillId="9" borderId="0" xfId="10" applyNumberFormat="1" applyFont="1" applyFill="1" applyAlignment="1">
      <alignment horizontal="right" vertical="center"/>
    </xf>
    <xf numFmtId="4" fontId="40" fillId="0" borderId="0" xfId="10" applyNumberFormat="1" applyFont="1" applyAlignment="1">
      <alignment horizontal="center" vertical="center"/>
    </xf>
    <xf numFmtId="3" fontId="39" fillId="10" borderId="0" xfId="10" applyNumberFormat="1" applyFont="1" applyFill="1" applyAlignment="1">
      <alignment horizontal="right" vertical="center"/>
    </xf>
    <xf numFmtId="4" fontId="40" fillId="11" borderId="0" xfId="10" applyNumberFormat="1" applyFont="1" applyFill="1" applyAlignment="1">
      <alignment horizontal="center" vertical="center"/>
    </xf>
    <xf numFmtId="3" fontId="40" fillId="11" borderId="0" xfId="10" applyNumberFormat="1" applyFont="1" applyFill="1" applyAlignment="1">
      <alignment horizontal="right" vertical="center"/>
    </xf>
    <xf numFmtId="3" fontId="33" fillId="0" borderId="0" xfId="10" applyNumberFormat="1" applyFont="1" applyAlignment="1">
      <alignment horizontal="right" vertical="center" wrapText="1"/>
    </xf>
    <xf numFmtId="3" fontId="39" fillId="9" borderId="0" xfId="10" applyNumberFormat="1" applyFont="1" applyFill="1" applyAlignment="1">
      <alignment horizontal="right" vertical="center"/>
    </xf>
    <xf numFmtId="3" fontId="40" fillId="11" borderId="0" xfId="10" applyNumberFormat="1" applyFont="1" applyFill="1" applyAlignment="1">
      <alignment horizontal="center" vertical="center"/>
    </xf>
    <xf numFmtId="3" fontId="41" fillId="10" borderId="0" xfId="10" applyNumberFormat="1" applyFont="1" applyFill="1" applyAlignment="1">
      <alignment horizontal="right" vertical="center"/>
    </xf>
    <xf numFmtId="4" fontId="39" fillId="11" borderId="0" xfId="10" applyNumberFormat="1" applyFont="1" applyFill="1" applyAlignment="1">
      <alignment horizontal="center" vertical="center"/>
    </xf>
    <xf numFmtId="3" fontId="40" fillId="0" borderId="0" xfId="10" applyNumberFormat="1" applyFont="1" applyAlignment="1">
      <alignment horizontal="right" vertical="center" wrapText="1"/>
    </xf>
    <xf numFmtId="3" fontId="32" fillId="8" borderId="0" xfId="10" applyNumberFormat="1" applyFont="1" applyFill="1" applyAlignment="1">
      <alignment horizontal="right" vertical="center"/>
    </xf>
    <xf numFmtId="3" fontId="32" fillId="0" borderId="0" xfId="10" applyNumberFormat="1" applyFont="1" applyAlignment="1">
      <alignment horizontal="right" vertical="center" wrapText="1"/>
    </xf>
    <xf numFmtId="1" fontId="31" fillId="0" borderId="0" xfId="10" applyNumberFormat="1" applyFont="1"/>
    <xf numFmtId="3" fontId="32" fillId="0" borderId="21" xfId="10" applyNumberFormat="1" applyFont="1" applyBorder="1" applyAlignment="1">
      <alignment horizontal="right" vertical="center" wrapText="1"/>
    </xf>
    <xf numFmtId="0" fontId="31" fillId="0" borderId="0" xfId="10" applyFont="1" applyAlignment="1">
      <alignment vertical="center"/>
    </xf>
    <xf numFmtId="0" fontId="43" fillId="0" borderId="0" xfId="0" applyFont="1" applyAlignment="1">
      <alignment horizontal="center" vertical="center" wrapText="1"/>
    </xf>
    <xf numFmtId="0" fontId="42" fillId="13" borderId="30" xfId="0" applyFont="1" applyFill="1" applyBorder="1" applyAlignment="1">
      <alignment horizontal="center" vertical="center" wrapText="1"/>
    </xf>
    <xf numFmtId="0" fontId="42" fillId="13" borderId="31" xfId="0" applyFont="1" applyFill="1" applyBorder="1" applyAlignment="1">
      <alignment horizontal="center" vertical="center" wrapText="1"/>
    </xf>
    <xf numFmtId="0" fontId="42" fillId="13" borderId="32" xfId="0" applyFont="1" applyFill="1" applyBorder="1" applyAlignment="1">
      <alignment horizontal="center" vertical="center" wrapText="1"/>
    </xf>
    <xf numFmtId="0" fontId="43" fillId="16" borderId="16" xfId="0" applyFont="1" applyFill="1" applyBorder="1" applyAlignment="1">
      <alignment horizontal="center" vertical="center" wrapText="1"/>
    </xf>
    <xf numFmtId="0" fontId="43" fillId="16" borderId="21" xfId="0" applyFont="1" applyFill="1" applyBorder="1" applyAlignment="1">
      <alignment horizontal="center" vertical="center" wrapText="1"/>
    </xf>
    <xf numFmtId="0" fontId="43" fillId="16" borderId="24" xfId="0" applyFont="1" applyFill="1" applyBorder="1" applyAlignment="1">
      <alignment horizontal="center" vertical="center" wrapText="1"/>
    </xf>
    <xf numFmtId="0" fontId="45" fillId="0" borderId="0" xfId="0" applyFont="1" applyAlignment="1">
      <alignment horizontal="center" vertical="center" wrapText="1"/>
    </xf>
    <xf numFmtId="0" fontId="43" fillId="16" borderId="18" xfId="0" applyFont="1" applyFill="1" applyBorder="1" applyAlignment="1">
      <alignment horizontal="center" vertical="center" wrapText="1"/>
    </xf>
    <xf numFmtId="0" fontId="43" fillId="16" borderId="40" xfId="0" applyFont="1" applyFill="1" applyBorder="1" applyAlignment="1">
      <alignment horizontal="center" vertical="center" wrapText="1"/>
    </xf>
    <xf numFmtId="0" fontId="42" fillId="16" borderId="64" xfId="0" applyFont="1" applyFill="1" applyBorder="1" applyAlignment="1">
      <alignment horizontal="center" vertical="center" wrapText="1"/>
    </xf>
    <xf numFmtId="0" fontId="43" fillId="16" borderId="32" xfId="0" applyFont="1" applyFill="1" applyBorder="1" applyAlignment="1">
      <alignment horizontal="center" vertical="center" wrapText="1"/>
    </xf>
    <xf numFmtId="0" fontId="43" fillId="16" borderId="64" xfId="0" applyFont="1" applyFill="1" applyBorder="1" applyAlignment="1">
      <alignment horizontal="center" vertical="center" wrapText="1"/>
    </xf>
    <xf numFmtId="0" fontId="43" fillId="16" borderId="31" xfId="0" applyFont="1" applyFill="1" applyBorder="1" applyAlignment="1">
      <alignment horizontal="center" vertical="center" wrapText="1"/>
    </xf>
    <xf numFmtId="0" fontId="42" fillId="0" borderId="0" xfId="0" applyFont="1" applyAlignment="1">
      <alignment horizontal="center" vertical="center" textRotation="90" wrapText="1"/>
    </xf>
    <xf numFmtId="0" fontId="44" fillId="0" borderId="0" xfId="0" applyFont="1" applyAlignment="1">
      <alignment horizontal="center" vertical="center" wrapText="1"/>
    </xf>
    <xf numFmtId="0" fontId="42" fillId="0" borderId="0" xfId="0" applyFont="1" applyAlignment="1">
      <alignment vertical="center" wrapText="1"/>
    </xf>
    <xf numFmtId="170" fontId="43" fillId="0" borderId="0" xfId="0" applyNumberFormat="1" applyFont="1" applyAlignment="1">
      <alignment horizontal="center" vertical="center" wrapText="1"/>
    </xf>
    <xf numFmtId="0" fontId="46" fillId="0" borderId="0" xfId="0" applyFont="1" applyAlignment="1">
      <alignment horizontal="center" vertical="center" wrapText="1"/>
    </xf>
    <xf numFmtId="0" fontId="49" fillId="3" borderId="8" xfId="0" applyFont="1" applyFill="1" applyBorder="1" applyAlignment="1">
      <alignment horizontal="center" vertical="center" wrapText="1"/>
    </xf>
    <xf numFmtId="0" fontId="50" fillId="3" borderId="75" xfId="0" applyFont="1" applyFill="1" applyBorder="1" applyAlignment="1">
      <alignment horizontal="center" vertical="center" wrapText="1"/>
    </xf>
    <xf numFmtId="0" fontId="44" fillId="3" borderId="68" xfId="0" applyFont="1" applyFill="1" applyBorder="1" applyAlignment="1">
      <alignment horizontal="center" vertical="center" wrapText="1"/>
    </xf>
    <xf numFmtId="3" fontId="49" fillId="16" borderId="16" xfId="0" applyNumberFormat="1" applyFont="1" applyFill="1" applyBorder="1" applyAlignment="1">
      <alignment horizontal="center" vertical="center" wrapText="1"/>
    </xf>
    <xf numFmtId="3" fontId="51" fillId="16" borderId="16" xfId="0" applyNumberFormat="1" applyFont="1" applyFill="1" applyBorder="1" applyAlignment="1">
      <alignment horizontal="center" vertical="center" wrapText="1"/>
    </xf>
    <xf numFmtId="3" fontId="49" fillId="16" borderId="21" xfId="0" applyNumberFormat="1" applyFont="1" applyFill="1" applyBorder="1" applyAlignment="1">
      <alignment horizontal="center" vertical="center" wrapText="1"/>
    </xf>
    <xf numFmtId="3" fontId="51" fillId="16" borderId="18" xfId="0" applyNumberFormat="1" applyFont="1" applyFill="1" applyBorder="1" applyAlignment="1">
      <alignment horizontal="center" vertical="center" wrapText="1"/>
    </xf>
    <xf numFmtId="3" fontId="49" fillId="16" borderId="24" xfId="0" applyNumberFormat="1" applyFont="1" applyFill="1" applyBorder="1" applyAlignment="1">
      <alignment horizontal="center" vertical="center" wrapText="1"/>
    </xf>
    <xf numFmtId="3" fontId="51" fillId="16" borderId="68" xfId="0" applyNumberFormat="1" applyFont="1" applyFill="1" applyBorder="1" applyAlignment="1">
      <alignment horizontal="center" vertical="center" wrapText="1"/>
    </xf>
    <xf numFmtId="3" fontId="49" fillId="16" borderId="18" xfId="0" applyNumberFormat="1" applyFont="1" applyFill="1" applyBorder="1" applyAlignment="1">
      <alignment horizontal="center" vertical="center" wrapText="1"/>
    </xf>
    <xf numFmtId="3" fontId="49" fillId="16" borderId="40" xfId="0" applyNumberFormat="1" applyFont="1" applyFill="1" applyBorder="1" applyAlignment="1">
      <alignment horizontal="center" vertical="center" wrapText="1"/>
    </xf>
    <xf numFmtId="0" fontId="49" fillId="16" borderId="31" xfId="0" applyFont="1" applyFill="1" applyBorder="1" applyAlignment="1">
      <alignment horizontal="center" vertical="center" wrapText="1"/>
    </xf>
    <xf numFmtId="3" fontId="49" fillId="16" borderId="31" xfId="0" applyNumberFormat="1" applyFont="1" applyFill="1" applyBorder="1" applyAlignment="1">
      <alignment horizontal="center" vertical="center" wrapText="1"/>
    </xf>
    <xf numFmtId="3" fontId="51" fillId="16" borderId="32" xfId="0" applyNumberFormat="1" applyFont="1" applyFill="1" applyBorder="1" applyAlignment="1">
      <alignment horizontal="center" vertical="center" wrapText="1"/>
    </xf>
    <xf numFmtId="0" fontId="49" fillId="3" borderId="68" xfId="0" applyFont="1" applyFill="1" applyBorder="1" applyAlignment="1">
      <alignment horizontal="center" vertical="center" wrapText="1"/>
    </xf>
    <xf numFmtId="3" fontId="49" fillId="3" borderId="68" xfId="0" applyNumberFormat="1" applyFont="1" applyFill="1" applyBorder="1" applyAlignment="1">
      <alignment horizontal="center" vertical="center" wrapText="1"/>
    </xf>
    <xf numFmtId="3" fontId="51" fillId="3" borderId="67" xfId="0" applyNumberFormat="1" applyFont="1" applyFill="1" applyBorder="1" applyAlignment="1">
      <alignment horizontal="center" vertical="center" wrapText="1"/>
    </xf>
    <xf numFmtId="0" fontId="51" fillId="0" borderId="0" xfId="0" applyFont="1" applyAlignment="1">
      <alignment vertical="center" wrapText="1"/>
    </xf>
    <xf numFmtId="170" fontId="51" fillId="17" borderId="19" xfId="0" applyNumberFormat="1" applyFont="1" applyFill="1" applyBorder="1" applyAlignment="1">
      <alignment horizontal="center" vertical="center" wrapText="1"/>
    </xf>
    <xf numFmtId="170" fontId="51" fillId="17" borderId="22" xfId="0" applyNumberFormat="1" applyFont="1" applyFill="1" applyBorder="1" applyAlignment="1">
      <alignment horizontal="center" vertical="center" wrapText="1"/>
    </xf>
    <xf numFmtId="170" fontId="51" fillId="17" borderId="25" xfId="0" applyNumberFormat="1" applyFont="1" applyFill="1" applyBorder="1" applyAlignment="1">
      <alignment horizontal="center" vertical="center" wrapText="1"/>
    </xf>
    <xf numFmtId="3" fontId="51" fillId="16" borderId="21" xfId="0" applyNumberFormat="1" applyFont="1" applyFill="1" applyBorder="1" applyAlignment="1">
      <alignment horizontal="center" vertical="center" wrapText="1"/>
    </xf>
    <xf numFmtId="3" fontId="51" fillId="16" borderId="24" xfId="0" applyNumberFormat="1" applyFont="1" applyFill="1" applyBorder="1" applyAlignment="1">
      <alignment horizontal="center" vertical="center" wrapText="1"/>
    </xf>
    <xf numFmtId="3" fontId="51" fillId="16" borderId="40" xfId="0" applyNumberFormat="1" applyFont="1" applyFill="1" applyBorder="1" applyAlignment="1">
      <alignment horizontal="center" vertical="center" wrapText="1"/>
    </xf>
    <xf numFmtId="3" fontId="51" fillId="16" borderId="31" xfId="0" applyNumberFormat="1" applyFont="1" applyFill="1" applyBorder="1" applyAlignment="1">
      <alignment horizontal="center" vertical="center" wrapText="1"/>
    </xf>
    <xf numFmtId="3" fontId="51" fillId="3" borderId="68" xfId="0" applyNumberFormat="1" applyFont="1" applyFill="1" applyBorder="1" applyAlignment="1">
      <alignment horizontal="center" vertical="center" wrapText="1"/>
    </xf>
    <xf numFmtId="0" fontId="43" fillId="18" borderId="21" xfId="0" applyFont="1" applyFill="1" applyBorder="1" applyAlignment="1">
      <alignment horizontal="center" vertical="center" wrapText="1"/>
    </xf>
    <xf numFmtId="0" fontId="43" fillId="18" borderId="16" xfId="0" applyFont="1" applyFill="1" applyBorder="1" applyAlignment="1">
      <alignment horizontal="center" vertical="center" wrapText="1"/>
    </xf>
    <xf numFmtId="0" fontId="44" fillId="18" borderId="24" xfId="0" applyFont="1" applyFill="1" applyBorder="1" applyAlignment="1">
      <alignment horizontal="center" vertical="center" wrapText="1"/>
    </xf>
    <xf numFmtId="3" fontId="43" fillId="0" borderId="0" xfId="0" applyNumberFormat="1" applyFont="1" applyAlignment="1">
      <alignment horizontal="center" vertical="center" wrapText="1"/>
    </xf>
    <xf numFmtId="0" fontId="43" fillId="16" borderId="16" xfId="0" applyFont="1" applyFill="1" applyBorder="1" applyAlignment="1">
      <alignment horizontal="left" vertical="center" wrapText="1"/>
    </xf>
    <xf numFmtId="0" fontId="43" fillId="16" borderId="21" xfId="0" applyFont="1" applyFill="1" applyBorder="1" applyAlignment="1">
      <alignment horizontal="left" vertical="center" wrapText="1"/>
    </xf>
    <xf numFmtId="0" fontId="43" fillId="16" borderId="24" xfId="0" applyFont="1" applyFill="1" applyBorder="1" applyAlignment="1">
      <alignment horizontal="left" vertical="center" wrapText="1"/>
    </xf>
    <xf numFmtId="0" fontId="43" fillId="18" borderId="16" xfId="0" applyFont="1" applyFill="1" applyBorder="1" applyAlignment="1">
      <alignment horizontal="left" vertical="center" wrapText="1"/>
    </xf>
    <xf numFmtId="0" fontId="43" fillId="18" borderId="21" xfId="0" applyFont="1" applyFill="1" applyBorder="1" applyAlignment="1">
      <alignment horizontal="left" vertical="center" wrapText="1"/>
    </xf>
    <xf numFmtId="0" fontId="44" fillId="18" borderId="24" xfId="0" applyFont="1" applyFill="1" applyBorder="1" applyAlignment="1">
      <alignment horizontal="left" vertical="center" wrapText="1"/>
    </xf>
    <xf numFmtId="3" fontId="45" fillId="0" borderId="0" xfId="0" applyNumberFormat="1" applyFont="1" applyAlignment="1">
      <alignment horizontal="center" vertical="center" wrapText="1"/>
    </xf>
    <xf numFmtId="0" fontId="42" fillId="19" borderId="72" xfId="0" applyFont="1" applyFill="1" applyBorder="1" applyAlignment="1">
      <alignment horizontal="center" vertical="center" wrapText="1"/>
    </xf>
    <xf numFmtId="0" fontId="42" fillId="19" borderId="58" xfId="0" applyFont="1" applyFill="1" applyBorder="1" applyAlignment="1">
      <alignment horizontal="center" vertical="center" wrapText="1"/>
    </xf>
    <xf numFmtId="0" fontId="42" fillId="19" borderId="66" xfId="0" applyFont="1" applyFill="1" applyBorder="1" applyAlignment="1">
      <alignment horizontal="center" vertical="center" wrapText="1"/>
    </xf>
    <xf numFmtId="0" fontId="52" fillId="16" borderId="21" xfId="0" applyFont="1" applyFill="1" applyBorder="1" applyAlignment="1">
      <alignment vertical="center" wrapText="1"/>
    </xf>
    <xf numFmtId="0" fontId="52" fillId="16" borderId="21" xfId="0" applyFont="1" applyFill="1" applyBorder="1" applyAlignment="1">
      <alignment horizontal="left" vertical="center" wrapText="1"/>
    </xf>
    <xf numFmtId="0" fontId="52" fillId="18" borderId="16" xfId="0" applyFont="1" applyFill="1" applyBorder="1" applyAlignment="1">
      <alignment horizontal="left" vertical="center" wrapText="1"/>
    </xf>
    <xf numFmtId="0" fontId="52" fillId="18" borderId="21" xfId="0" applyFont="1" applyFill="1" applyBorder="1" applyAlignment="1">
      <alignment vertical="center" wrapText="1"/>
    </xf>
    <xf numFmtId="0" fontId="52" fillId="18" borderId="21" xfId="0" applyFont="1" applyFill="1" applyBorder="1" applyAlignment="1">
      <alignment horizontal="left" vertical="center" wrapText="1"/>
    </xf>
    <xf numFmtId="0" fontId="53" fillId="18" borderId="24" xfId="0" applyFont="1" applyFill="1" applyBorder="1" applyAlignment="1">
      <alignment horizontal="left" vertical="center" wrapText="1"/>
    </xf>
    <xf numFmtId="0" fontId="49" fillId="18" borderId="16" xfId="0" applyFont="1" applyFill="1" applyBorder="1" applyAlignment="1">
      <alignment horizontal="center" vertical="center" wrapText="1"/>
    </xf>
    <xf numFmtId="0" fontId="49" fillId="18" borderId="21" xfId="0" applyFont="1" applyFill="1" applyBorder="1" applyAlignment="1">
      <alignment horizontal="center" vertical="center" wrapText="1"/>
    </xf>
    <xf numFmtId="0" fontId="54" fillId="18" borderId="24" xfId="0" applyFont="1" applyFill="1" applyBorder="1" applyAlignment="1">
      <alignment horizontal="center" vertical="center" wrapText="1"/>
    </xf>
    <xf numFmtId="0" fontId="52" fillId="18" borderId="24" xfId="0" applyFont="1" applyFill="1" applyBorder="1" applyAlignment="1">
      <alignment vertical="center" wrapText="1"/>
    </xf>
    <xf numFmtId="0" fontId="52" fillId="16" borderId="40" xfId="0" applyFont="1" applyFill="1" applyBorder="1" applyAlignment="1">
      <alignment horizontal="left" vertical="center" wrapText="1"/>
    </xf>
    <xf numFmtId="0" fontId="52" fillId="16" borderId="40" xfId="0" applyFont="1" applyFill="1" applyBorder="1" applyAlignment="1">
      <alignment vertical="center" wrapText="1"/>
    </xf>
    <xf numFmtId="0" fontId="52" fillId="18" borderId="16" xfId="0" applyFont="1" applyFill="1" applyBorder="1" applyAlignment="1">
      <alignment vertical="center" wrapText="1"/>
    </xf>
    <xf numFmtId="170" fontId="48" fillId="17" borderId="19" xfId="0" applyNumberFormat="1" applyFont="1" applyFill="1" applyBorder="1" applyAlignment="1">
      <alignment horizontal="center" vertical="center" wrapText="1"/>
    </xf>
    <xf numFmtId="170" fontId="48" fillId="17" borderId="22" xfId="0" applyNumberFormat="1" applyFont="1" applyFill="1" applyBorder="1" applyAlignment="1">
      <alignment horizontal="center" vertical="center" wrapText="1"/>
    </xf>
    <xf numFmtId="170" fontId="48" fillId="17" borderId="25" xfId="0" applyNumberFormat="1" applyFont="1" applyFill="1" applyBorder="1" applyAlignment="1">
      <alignment horizontal="center" vertical="center" wrapText="1"/>
    </xf>
    <xf numFmtId="0" fontId="56" fillId="0" borderId="0" xfId="0" applyFont="1" applyAlignment="1">
      <alignment horizontal="center" vertical="center" wrapText="1"/>
    </xf>
    <xf numFmtId="3" fontId="56" fillId="0" borderId="0" xfId="0" applyNumberFormat="1" applyFont="1" applyAlignment="1">
      <alignment horizontal="center" vertical="center" wrapText="1"/>
    </xf>
    <xf numFmtId="0" fontId="52" fillId="16" borderId="16" xfId="0" applyFont="1" applyFill="1" applyBorder="1" applyAlignment="1">
      <alignment vertical="center" wrapText="1"/>
    </xf>
    <xf numFmtId="0" fontId="52" fillId="16" borderId="24" xfId="0" applyFont="1" applyFill="1" applyBorder="1" applyAlignment="1">
      <alignment vertical="center" wrapText="1"/>
    </xf>
    <xf numFmtId="3" fontId="58" fillId="0" borderId="0" xfId="0" applyNumberFormat="1" applyFont="1" applyAlignment="1">
      <alignment horizontal="center" vertical="center" wrapText="1"/>
    </xf>
    <xf numFmtId="170" fontId="45" fillId="0" borderId="0" xfId="0" applyNumberFormat="1" applyFont="1" applyAlignment="1">
      <alignment horizontal="center" vertical="center" wrapText="1"/>
    </xf>
    <xf numFmtId="0" fontId="61" fillId="13" borderId="72" xfId="0" applyFont="1" applyFill="1" applyBorder="1" applyAlignment="1">
      <alignment horizontal="center" vertical="center" wrapText="1"/>
    </xf>
    <xf numFmtId="0" fontId="61" fillId="13" borderId="58" xfId="0" applyFont="1" applyFill="1" applyBorder="1" applyAlignment="1">
      <alignment horizontal="center" vertical="center" wrapText="1"/>
    </xf>
    <xf numFmtId="0" fontId="61" fillId="13" borderId="66" xfId="0" applyFont="1" applyFill="1" applyBorder="1" applyAlignment="1">
      <alignment horizontal="center" vertical="center" wrapText="1"/>
    </xf>
    <xf numFmtId="0" fontId="52" fillId="22" borderId="16" xfId="0" applyFont="1" applyFill="1" applyBorder="1" applyAlignment="1">
      <alignment vertical="center" wrapText="1"/>
    </xf>
    <xf numFmtId="3" fontId="59" fillId="22" borderId="16" xfId="0" applyNumberFormat="1" applyFont="1" applyFill="1" applyBorder="1" applyAlignment="1">
      <alignment vertical="center" wrapText="1"/>
    </xf>
    <xf numFmtId="3" fontId="60" fillId="22" borderId="16" xfId="0" applyNumberFormat="1" applyFont="1" applyFill="1" applyBorder="1" applyAlignment="1">
      <alignment vertical="center" wrapText="1"/>
    </xf>
    <xf numFmtId="0" fontId="52" fillId="22" borderId="21" xfId="0" applyFont="1" applyFill="1" applyBorder="1" applyAlignment="1">
      <alignment vertical="center" wrapText="1"/>
    </xf>
    <xf numFmtId="3" fontId="59" fillId="22" borderId="21" xfId="0" applyNumberFormat="1" applyFont="1" applyFill="1" applyBorder="1" applyAlignment="1">
      <alignment vertical="center" wrapText="1"/>
    </xf>
    <xf numFmtId="3" fontId="60" fillId="22" borderId="21" xfId="0" applyNumberFormat="1" applyFont="1" applyFill="1" applyBorder="1" applyAlignment="1">
      <alignment vertical="center" wrapText="1"/>
    </xf>
    <xf numFmtId="0" fontId="52" fillId="22" borderId="24" xfId="0" applyFont="1" applyFill="1" applyBorder="1" applyAlignment="1">
      <alignment vertical="center" wrapText="1"/>
    </xf>
    <xf numFmtId="3" fontId="59" fillId="22" borderId="24" xfId="0" applyNumberFormat="1" applyFont="1" applyFill="1" applyBorder="1" applyAlignment="1">
      <alignment vertical="center" wrapText="1"/>
    </xf>
    <xf numFmtId="3" fontId="60" fillId="22" borderId="24" xfId="0" applyNumberFormat="1" applyFont="1" applyFill="1" applyBorder="1" applyAlignment="1">
      <alignment vertical="center" wrapText="1"/>
    </xf>
    <xf numFmtId="0" fontId="52" fillId="3" borderId="16" xfId="0" applyFont="1" applyFill="1" applyBorder="1" applyAlignment="1">
      <alignment vertical="center" wrapText="1"/>
    </xf>
    <xf numFmtId="3" fontId="59" fillId="3" borderId="16" xfId="0" applyNumberFormat="1" applyFont="1" applyFill="1" applyBorder="1" applyAlignment="1">
      <alignment vertical="center" wrapText="1"/>
    </xf>
    <xf numFmtId="3" fontId="60" fillId="3" borderId="16" xfId="0" applyNumberFormat="1" applyFont="1" applyFill="1" applyBorder="1" applyAlignment="1">
      <alignment horizontal="center" vertical="center" wrapText="1"/>
    </xf>
    <xf numFmtId="0" fontId="52" fillId="3" borderId="21" xfId="0" applyFont="1" applyFill="1" applyBorder="1" applyAlignment="1">
      <alignment vertical="center" wrapText="1"/>
    </xf>
    <xf numFmtId="3" fontId="59" fillId="3" borderId="21" xfId="0" applyNumberFormat="1" applyFont="1" applyFill="1" applyBorder="1" applyAlignment="1">
      <alignment vertical="center" wrapText="1"/>
    </xf>
    <xf numFmtId="3" fontId="60" fillId="3" borderId="21" xfId="0" applyNumberFormat="1" applyFont="1" applyFill="1" applyBorder="1" applyAlignment="1">
      <alignment horizontal="center" vertical="center" wrapText="1"/>
    </xf>
    <xf numFmtId="0" fontId="52" fillId="3" borderId="24" xfId="0" applyFont="1" applyFill="1" applyBorder="1" applyAlignment="1">
      <alignment vertical="center" wrapText="1"/>
    </xf>
    <xf numFmtId="3" fontId="59" fillId="3" borderId="24" xfId="0" applyNumberFormat="1" applyFont="1" applyFill="1" applyBorder="1" applyAlignment="1">
      <alignment vertical="center" wrapText="1"/>
    </xf>
    <xf numFmtId="3" fontId="60" fillId="3" borderId="24" xfId="0" applyNumberFormat="1" applyFont="1" applyFill="1" applyBorder="1" applyAlignment="1">
      <alignment horizontal="center" vertical="center" wrapText="1"/>
    </xf>
    <xf numFmtId="3" fontId="59" fillId="16" borderId="16" xfId="0" applyNumberFormat="1" applyFont="1" applyFill="1" applyBorder="1" applyAlignment="1">
      <alignment vertical="center" wrapText="1"/>
    </xf>
    <xf numFmtId="3" fontId="60" fillId="16" borderId="16" xfId="0" applyNumberFormat="1" applyFont="1" applyFill="1" applyBorder="1" applyAlignment="1">
      <alignment horizontal="center" vertical="center" wrapText="1"/>
    </xf>
    <xf numFmtId="3" fontId="59" fillId="16" borderId="21" xfId="0" applyNumberFormat="1" applyFont="1" applyFill="1" applyBorder="1" applyAlignment="1">
      <alignment vertical="center" wrapText="1"/>
    </xf>
    <xf numFmtId="3" fontId="60" fillId="16" borderId="21" xfId="0" applyNumberFormat="1" applyFont="1" applyFill="1" applyBorder="1" applyAlignment="1">
      <alignment horizontal="center" vertical="center" wrapText="1"/>
    </xf>
    <xf numFmtId="3" fontId="59" fillId="16" borderId="24" xfId="0" applyNumberFormat="1" applyFont="1" applyFill="1" applyBorder="1" applyAlignment="1">
      <alignment vertical="center" wrapText="1"/>
    </xf>
    <xf numFmtId="3" fontId="60" fillId="16" borderId="24" xfId="0" applyNumberFormat="1" applyFont="1" applyFill="1" applyBorder="1" applyAlignment="1">
      <alignment horizontal="center" vertical="center" wrapText="1"/>
    </xf>
    <xf numFmtId="0" fontId="52" fillId="23" borderId="16" xfId="0" applyFont="1" applyFill="1" applyBorder="1" applyAlignment="1">
      <alignment vertical="center" wrapText="1"/>
    </xf>
    <xf numFmtId="3" fontId="59" fillId="23" borderId="16" xfId="0" applyNumberFormat="1" applyFont="1" applyFill="1" applyBorder="1" applyAlignment="1">
      <alignment vertical="center" wrapText="1"/>
    </xf>
    <xf numFmtId="3" fontId="60" fillId="23" borderId="16" xfId="0" applyNumberFormat="1" applyFont="1" applyFill="1" applyBorder="1" applyAlignment="1">
      <alignment horizontal="center" vertical="center" wrapText="1"/>
    </xf>
    <xf numFmtId="0" fontId="52" fillId="23" borderId="21" xfId="0" applyFont="1" applyFill="1" applyBorder="1" applyAlignment="1">
      <alignment vertical="center" wrapText="1"/>
    </xf>
    <xf numFmtId="3" fontId="59" fillId="23" borderId="21" xfId="0" applyNumberFormat="1" applyFont="1" applyFill="1" applyBorder="1" applyAlignment="1">
      <alignment vertical="center" wrapText="1"/>
    </xf>
    <xf numFmtId="3" fontId="60" fillId="23" borderId="21" xfId="0" applyNumberFormat="1" applyFont="1" applyFill="1" applyBorder="1" applyAlignment="1">
      <alignment horizontal="center" vertical="center" wrapText="1"/>
    </xf>
    <xf numFmtId="0" fontId="52" fillId="23" borderId="24" xfId="0" applyFont="1" applyFill="1" applyBorder="1" applyAlignment="1">
      <alignment vertical="center" wrapText="1"/>
    </xf>
    <xf numFmtId="3" fontId="59" fillId="23" borderId="24" xfId="0" applyNumberFormat="1" applyFont="1" applyFill="1" applyBorder="1" applyAlignment="1">
      <alignment vertical="center" wrapText="1"/>
    </xf>
    <xf numFmtId="3" fontId="60" fillId="23" borderId="24" xfId="0" applyNumberFormat="1" applyFont="1" applyFill="1" applyBorder="1" applyAlignment="1">
      <alignment horizontal="center" vertical="center" wrapText="1"/>
    </xf>
    <xf numFmtId="0" fontId="54" fillId="23" borderId="24" xfId="0" applyFont="1" applyFill="1" applyBorder="1" applyAlignment="1">
      <alignment horizontal="center" vertical="center" wrapText="1"/>
    </xf>
    <xf numFmtId="170" fontId="60" fillId="21" borderId="22" xfId="0" applyNumberFormat="1" applyFont="1" applyFill="1" applyBorder="1" applyAlignment="1">
      <alignment horizontal="center" vertical="center" wrapText="1"/>
    </xf>
    <xf numFmtId="170" fontId="60" fillId="21" borderId="25" xfId="0" applyNumberFormat="1" applyFont="1" applyFill="1" applyBorder="1" applyAlignment="1">
      <alignment horizontal="center" vertical="center" wrapText="1"/>
    </xf>
    <xf numFmtId="0" fontId="62" fillId="0" borderId="0" xfId="0" applyFont="1" applyAlignment="1">
      <alignment horizontal="center" vertical="center" wrapText="1"/>
    </xf>
    <xf numFmtId="0" fontId="52" fillId="16" borderId="18" xfId="0" applyFont="1" applyFill="1" applyBorder="1" applyAlignment="1">
      <alignment horizontal="left" vertical="center" wrapText="1"/>
    </xf>
    <xf numFmtId="0" fontId="52" fillId="16" borderId="18" xfId="0" applyFont="1" applyFill="1" applyBorder="1" applyAlignment="1">
      <alignment vertical="center" wrapText="1"/>
    </xf>
    <xf numFmtId="0" fontId="42" fillId="19" borderId="30" xfId="0" applyFont="1" applyFill="1" applyBorder="1" applyAlignment="1">
      <alignment horizontal="center" vertical="center" wrapText="1"/>
    </xf>
    <xf numFmtId="0" fontId="42" fillId="19" borderId="31" xfId="0" applyFont="1" applyFill="1" applyBorder="1" applyAlignment="1">
      <alignment horizontal="center" vertical="center" wrapText="1"/>
    </xf>
    <xf numFmtId="0" fontId="42" fillId="19" borderId="32" xfId="0" applyFont="1" applyFill="1" applyBorder="1" applyAlignment="1">
      <alignment horizontal="center" vertical="center" wrapText="1"/>
    </xf>
    <xf numFmtId="0" fontId="49" fillId="16" borderId="16" xfId="0" applyFont="1" applyFill="1" applyBorder="1" applyAlignment="1">
      <alignment horizontal="center" vertical="center" wrapText="1"/>
    </xf>
    <xf numFmtId="0" fontId="49" fillId="16" borderId="21" xfId="0" applyFont="1" applyFill="1" applyBorder="1" applyAlignment="1">
      <alignment horizontal="center" vertical="center" wrapText="1"/>
    </xf>
    <xf numFmtId="0" fontId="49" fillId="16" borderId="24" xfId="0" applyFont="1" applyFill="1" applyBorder="1" applyAlignment="1">
      <alignment horizontal="center" vertical="center" wrapText="1"/>
    </xf>
    <xf numFmtId="0" fontId="49" fillId="22" borderId="16" xfId="0" applyFont="1" applyFill="1" applyBorder="1" applyAlignment="1">
      <alignment horizontal="center" vertical="center" wrapText="1"/>
    </xf>
    <xf numFmtId="0" fontId="49" fillId="22" borderId="21" xfId="0" applyFont="1" applyFill="1" applyBorder="1" applyAlignment="1">
      <alignment horizontal="center" vertical="center" wrapText="1"/>
    </xf>
    <xf numFmtId="0" fontId="49" fillId="22" borderId="24" xfId="0" applyFont="1" applyFill="1" applyBorder="1" applyAlignment="1">
      <alignment horizontal="center" vertical="center" wrapText="1"/>
    </xf>
    <xf numFmtId="0" fontId="49" fillId="23" borderId="16" xfId="0" applyFont="1" applyFill="1" applyBorder="1" applyAlignment="1">
      <alignment horizontal="center" vertical="center" wrapText="1"/>
    </xf>
    <xf numFmtId="0" fontId="49" fillId="23" borderId="21" xfId="0" applyFont="1" applyFill="1" applyBorder="1" applyAlignment="1">
      <alignment horizontal="center" vertical="center" wrapText="1"/>
    </xf>
    <xf numFmtId="0" fontId="49" fillId="3" borderId="16" xfId="0" applyFont="1" applyFill="1" applyBorder="1" applyAlignment="1">
      <alignment horizontal="center" vertical="center" wrapText="1"/>
    </xf>
    <xf numFmtId="0" fontId="49" fillId="3" borderId="21" xfId="0" applyFont="1" applyFill="1" applyBorder="1" applyAlignment="1">
      <alignment horizontal="center" vertical="center" wrapText="1"/>
    </xf>
    <xf numFmtId="0" fontId="49" fillId="3" borderId="24" xfId="0" applyFont="1" applyFill="1" applyBorder="1" applyAlignment="1">
      <alignment horizontal="center" vertical="center" wrapText="1"/>
    </xf>
    <xf numFmtId="0" fontId="48" fillId="21" borderId="29" xfId="0" applyFont="1" applyFill="1" applyBorder="1" applyAlignment="1">
      <alignment horizontal="center" vertical="center" wrapText="1"/>
    </xf>
    <xf numFmtId="0" fontId="48" fillId="21" borderId="69" xfId="0" applyFont="1" applyFill="1" applyBorder="1" applyAlignment="1">
      <alignment horizontal="center" vertical="center" wrapText="1"/>
    </xf>
    <xf numFmtId="0" fontId="63" fillId="0" borderId="0" xfId="0" applyFont="1" applyAlignment="1">
      <alignment horizontal="center" vertical="center" wrapText="1"/>
    </xf>
    <xf numFmtId="3" fontId="64" fillId="0" borderId="0" xfId="0" applyNumberFormat="1" applyFont="1" applyAlignment="1">
      <alignment horizontal="center" vertical="center" wrapText="1"/>
    </xf>
    <xf numFmtId="170" fontId="64" fillId="0" borderId="0" xfId="0" applyNumberFormat="1" applyFont="1" applyAlignment="1">
      <alignment horizontal="center" vertical="center" wrapText="1"/>
    </xf>
    <xf numFmtId="0" fontId="48" fillId="21" borderId="61" xfId="0" applyFont="1" applyFill="1" applyBorder="1" applyAlignment="1">
      <alignment horizontal="center" vertical="center" wrapText="1"/>
    </xf>
    <xf numFmtId="170" fontId="60" fillId="21" borderId="17" xfId="0" applyNumberFormat="1" applyFont="1" applyFill="1" applyBorder="1" applyAlignment="1">
      <alignment horizontal="center" vertical="center" wrapText="1"/>
    </xf>
    <xf numFmtId="3" fontId="15" fillId="0" borderId="0" xfId="13" applyNumberFormat="1" applyFont="1"/>
    <xf numFmtId="3" fontId="65" fillId="0" borderId="0" xfId="13" applyNumberFormat="1" applyFont="1"/>
    <xf numFmtId="0" fontId="16" fillId="0" borderId="0" xfId="13" applyFont="1"/>
    <xf numFmtId="0" fontId="31" fillId="0" borderId="0" xfId="13" applyFont="1"/>
    <xf numFmtId="0" fontId="16" fillId="0" borderId="0" xfId="13" applyFont="1" applyAlignment="1">
      <alignment horizontal="center"/>
    </xf>
    <xf numFmtId="3" fontId="28" fillId="8" borderId="0" xfId="13" applyNumberFormat="1" applyFont="1" applyFill="1" applyAlignment="1">
      <alignment horizontal="center" vertical="center" wrapText="1"/>
    </xf>
    <xf numFmtId="3" fontId="66" fillId="0" borderId="0" xfId="13" applyNumberFormat="1" applyFont="1" applyAlignment="1">
      <alignment horizontal="center" vertical="center" wrapText="1"/>
    </xf>
    <xf numFmtId="0" fontId="5" fillId="0" borderId="42" xfId="13" applyFont="1" applyBorder="1" applyAlignment="1">
      <alignment horizontal="left" vertical="center"/>
    </xf>
    <xf numFmtId="0" fontId="5" fillId="0" borderId="29" xfId="13" applyFont="1" applyBorder="1" applyAlignment="1">
      <alignment horizontal="left" vertical="center"/>
    </xf>
    <xf numFmtId="0" fontId="5" fillId="0" borderId="0" xfId="13" applyFont="1" applyAlignment="1">
      <alignment horizontal="left" vertical="center"/>
    </xf>
    <xf numFmtId="0" fontId="16" fillId="0" borderId="0" xfId="13" applyFont="1" applyAlignment="1">
      <alignment horizontal="left" vertical="center"/>
    </xf>
    <xf numFmtId="4" fontId="15" fillId="0" borderId="21" xfId="13" applyNumberFormat="1" applyFont="1" applyBorder="1" applyAlignment="1">
      <alignment vertical="center" wrapText="1"/>
    </xf>
    <xf numFmtId="4" fontId="15" fillId="0" borderId="21" xfId="13" applyNumberFormat="1" applyFont="1" applyBorder="1" applyAlignment="1">
      <alignment horizontal="center" vertical="center"/>
    </xf>
    <xf numFmtId="4" fontId="15" fillId="0" borderId="21" xfId="13" applyNumberFormat="1" applyFont="1" applyBorder="1" applyAlignment="1">
      <alignment horizontal="center" vertical="center" wrapText="1"/>
    </xf>
    <xf numFmtId="3" fontId="15" fillId="0" borderId="21" xfId="13" applyNumberFormat="1" applyFont="1" applyBorder="1" applyAlignment="1">
      <alignment horizontal="right" vertical="center"/>
    </xf>
    <xf numFmtId="4" fontId="15" fillId="0" borderId="21" xfId="14" applyNumberFormat="1" applyFont="1" applyBorder="1" applyAlignment="1">
      <alignment horizontal="center" vertical="center"/>
    </xf>
    <xf numFmtId="4" fontId="15" fillId="0" borderId="21" xfId="14" applyNumberFormat="1" applyFont="1" applyBorder="1" applyAlignment="1">
      <alignment vertical="center"/>
    </xf>
    <xf numFmtId="4" fontId="15" fillId="0" borderId="21" xfId="15" applyNumberFormat="1" applyFont="1" applyBorder="1" applyAlignment="1">
      <alignment horizontal="center" vertical="center"/>
    </xf>
    <xf numFmtId="3" fontId="67" fillId="0" borderId="0" xfId="13" applyNumberFormat="1" applyFont="1" applyAlignment="1">
      <alignment horizontal="right" vertical="center"/>
    </xf>
    <xf numFmtId="4" fontId="68" fillId="0" borderId="0" xfId="13" applyNumberFormat="1" applyFont="1" applyAlignment="1">
      <alignment horizontal="right" vertical="center"/>
    </xf>
    <xf numFmtId="3" fontId="69" fillId="0" borderId="0" xfId="13" applyNumberFormat="1" applyFont="1" applyAlignment="1">
      <alignment horizontal="right" vertical="center"/>
    </xf>
    <xf numFmtId="3" fontId="65" fillId="0" borderId="0" xfId="13" applyNumberFormat="1" applyFont="1" applyAlignment="1">
      <alignment horizontal="right" vertical="center"/>
    </xf>
    <xf numFmtId="4" fontId="70" fillId="0" borderId="0" xfId="13" applyNumberFormat="1" applyFont="1" applyAlignment="1">
      <alignment horizontal="center" vertical="center"/>
    </xf>
    <xf numFmtId="4" fontId="71" fillId="0" borderId="0" xfId="13" applyNumberFormat="1" applyFont="1" applyAlignment="1">
      <alignment horizontal="center" vertical="center"/>
    </xf>
    <xf numFmtId="4" fontId="72" fillId="0" borderId="0" xfId="13" applyNumberFormat="1" applyFont="1" applyAlignment="1">
      <alignment horizontal="center" vertical="center"/>
    </xf>
    <xf numFmtId="4" fontId="65" fillId="0" borderId="0" xfId="13" applyNumberFormat="1" applyFont="1" applyAlignment="1">
      <alignment horizontal="center" vertical="center"/>
    </xf>
    <xf numFmtId="0" fontId="7" fillId="0" borderId="0" xfId="13"/>
    <xf numFmtId="10" fontId="73" fillId="9" borderId="0" xfId="3" applyNumberFormat="1" applyFont="1" applyFill="1" applyBorder="1" applyAlignment="1">
      <alignment horizontal="right" vertical="center"/>
    </xf>
    <xf numFmtId="4" fontId="74" fillId="9" borderId="0" xfId="13" applyNumberFormat="1" applyFont="1" applyFill="1" applyAlignment="1">
      <alignment horizontal="right" vertical="center"/>
    </xf>
    <xf numFmtId="3" fontId="75" fillId="9" borderId="0" xfId="13" applyNumberFormat="1" applyFont="1" applyFill="1" applyAlignment="1">
      <alignment horizontal="right" vertical="center"/>
    </xf>
    <xf numFmtId="3" fontId="16" fillId="0" borderId="0" xfId="13" applyNumberFormat="1" applyFont="1" applyAlignment="1">
      <alignment horizontal="right" vertical="center"/>
    </xf>
    <xf numFmtId="4" fontId="70" fillId="11" borderId="0" xfId="13" applyNumberFormat="1" applyFont="1" applyFill="1" applyAlignment="1">
      <alignment horizontal="center" vertical="center"/>
    </xf>
    <xf numFmtId="4" fontId="71" fillId="11" borderId="0" xfId="13" applyNumberFormat="1" applyFont="1" applyFill="1" applyAlignment="1">
      <alignment horizontal="center" vertical="center"/>
    </xf>
    <xf numFmtId="4" fontId="72" fillId="11" borderId="0" xfId="13" applyNumberFormat="1" applyFont="1" applyFill="1" applyAlignment="1">
      <alignment horizontal="center" vertical="center"/>
    </xf>
    <xf numFmtId="3" fontId="76" fillId="8" borderId="0" xfId="13" applyNumberFormat="1" applyFont="1" applyFill="1" applyAlignment="1">
      <alignment horizontal="center" vertical="center" wrapText="1"/>
    </xf>
    <xf numFmtId="3" fontId="77" fillId="8" borderId="0" xfId="13" applyNumberFormat="1" applyFont="1" applyFill="1" applyAlignment="1">
      <alignment horizontal="center" vertical="center" wrapText="1"/>
    </xf>
    <xf numFmtId="3" fontId="78" fillId="8" borderId="0" xfId="13" applyNumberFormat="1" applyFont="1" applyFill="1" applyAlignment="1">
      <alignment horizontal="center" vertical="center" wrapText="1"/>
    </xf>
    <xf numFmtId="176" fontId="29" fillId="0" borderId="29" xfId="13" applyNumberFormat="1" applyFont="1" applyBorder="1" applyAlignment="1">
      <alignment vertical="center"/>
    </xf>
    <xf numFmtId="3" fontId="29" fillId="0" borderId="29" xfId="13" applyNumberFormat="1" applyFont="1" applyBorder="1" applyAlignment="1">
      <alignment vertical="center"/>
    </xf>
    <xf numFmtId="0" fontId="73" fillId="0" borderId="0" xfId="13" applyFont="1" applyAlignment="1">
      <alignment horizontal="left" vertical="center"/>
    </xf>
    <xf numFmtId="0" fontId="74" fillId="0" borderId="0" xfId="13" applyFont="1" applyAlignment="1">
      <alignment horizontal="left" vertical="center"/>
    </xf>
    <xf numFmtId="0" fontId="75" fillId="0" borderId="0" xfId="13" applyFont="1" applyAlignment="1">
      <alignment horizontal="left" vertical="center"/>
    </xf>
    <xf numFmtId="0" fontId="15" fillId="0" borderId="21" xfId="13" applyFont="1" applyBorder="1" applyAlignment="1">
      <alignment vertical="center"/>
    </xf>
    <xf numFmtId="3" fontId="15" fillId="0" borderId="21" xfId="13" applyNumberFormat="1" applyFont="1" applyBorder="1" applyAlignment="1">
      <alignment vertical="center"/>
    </xf>
    <xf numFmtId="10" fontId="67" fillId="0" borderId="0" xfId="3" applyNumberFormat="1" applyFont="1" applyBorder="1" applyAlignment="1">
      <alignment horizontal="right" vertical="center" wrapText="1"/>
    </xf>
    <xf numFmtId="4" fontId="68" fillId="0" borderId="0" xfId="13" applyNumberFormat="1" applyFont="1" applyAlignment="1">
      <alignment horizontal="right" vertical="center" wrapText="1"/>
    </xf>
    <xf numFmtId="3" fontId="69" fillId="0" borderId="0" xfId="13" applyNumberFormat="1" applyFont="1" applyAlignment="1">
      <alignment horizontal="right" vertical="center" wrapText="1"/>
    </xf>
    <xf numFmtId="3" fontId="65" fillId="0" borderId="0" xfId="13" applyNumberFormat="1" applyFont="1" applyAlignment="1">
      <alignment horizontal="right" vertical="center" wrapText="1"/>
    </xf>
    <xf numFmtId="3" fontId="65" fillId="0" borderId="0" xfId="13" applyNumberFormat="1" applyFont="1" applyAlignment="1">
      <alignment horizontal="center" vertical="center"/>
    </xf>
    <xf numFmtId="10" fontId="79" fillId="9" borderId="0" xfId="3" applyNumberFormat="1" applyFont="1" applyFill="1" applyBorder="1" applyAlignment="1">
      <alignment horizontal="right" vertical="center"/>
    </xf>
    <xf numFmtId="4" fontId="80" fillId="9" borderId="0" xfId="13" applyNumberFormat="1" applyFont="1" applyFill="1" applyAlignment="1">
      <alignment horizontal="right" vertical="center"/>
    </xf>
    <xf numFmtId="3" fontId="81" fillId="9" borderId="0" xfId="13" applyNumberFormat="1" applyFont="1" applyFill="1" applyAlignment="1">
      <alignment horizontal="right" vertical="center"/>
    </xf>
    <xf numFmtId="3" fontId="82" fillId="0" borderId="0" xfId="13" applyNumberFormat="1" applyFont="1" applyAlignment="1">
      <alignment horizontal="right" vertical="center"/>
    </xf>
    <xf numFmtId="4" fontId="73" fillId="11" borderId="0" xfId="13" applyNumberFormat="1" applyFont="1" applyFill="1" applyAlignment="1">
      <alignment horizontal="center" vertical="center"/>
    </xf>
    <xf numFmtId="4" fontId="74" fillId="11" borderId="0" xfId="13" applyNumberFormat="1" applyFont="1" applyFill="1" applyAlignment="1">
      <alignment horizontal="center" vertical="center"/>
    </xf>
    <xf numFmtId="4" fontId="75" fillId="11" borderId="0" xfId="13" applyNumberFormat="1" applyFont="1" applyFill="1" applyAlignment="1">
      <alignment horizontal="center" vertical="center"/>
    </xf>
    <xf numFmtId="4" fontId="16" fillId="0" borderId="0" xfId="13" applyNumberFormat="1" applyFont="1" applyAlignment="1">
      <alignment horizontal="center" vertical="center"/>
    </xf>
    <xf numFmtId="3" fontId="16" fillId="0" borderId="0" xfId="13" applyNumberFormat="1" applyFont="1"/>
    <xf numFmtId="0" fontId="5" fillId="0" borderId="21" xfId="13" applyFont="1" applyBorder="1" applyAlignment="1">
      <alignment vertical="center"/>
    </xf>
    <xf numFmtId="0" fontId="29" fillId="0" borderId="42" xfId="13" applyFont="1" applyBorder="1" applyAlignment="1">
      <alignment horizontal="center" vertical="center" wrapText="1"/>
    </xf>
    <xf numFmtId="0" fontId="29" fillId="0" borderId="29" xfId="13" applyFont="1" applyBorder="1" applyAlignment="1">
      <alignment horizontal="center" vertical="center" wrapText="1"/>
    </xf>
    <xf numFmtId="4" fontId="29" fillId="0" borderId="29" xfId="13" applyNumberFormat="1" applyFont="1" applyBorder="1" applyAlignment="1">
      <alignment horizontal="right" vertical="center" wrapText="1"/>
    </xf>
    <xf numFmtId="3" fontId="29" fillId="0" borderId="29" xfId="13" applyNumberFormat="1" applyFont="1" applyBorder="1" applyAlignment="1">
      <alignment vertical="center" wrapText="1"/>
    </xf>
    <xf numFmtId="4" fontId="29" fillId="0" borderId="29" xfId="13" applyNumberFormat="1" applyFont="1" applyBorder="1" applyAlignment="1">
      <alignment vertical="center" wrapText="1"/>
    </xf>
    <xf numFmtId="3" fontId="70" fillId="0" borderId="0" xfId="13" applyNumberFormat="1" applyFont="1" applyAlignment="1">
      <alignment horizontal="right" vertical="center" wrapText="1"/>
    </xf>
    <xf numFmtId="3" fontId="71" fillId="0" borderId="0" xfId="13" applyNumberFormat="1" applyFont="1" applyAlignment="1">
      <alignment horizontal="right" vertical="center" wrapText="1"/>
    </xf>
    <xf numFmtId="3" fontId="72" fillId="0" borderId="0" xfId="13" applyNumberFormat="1" applyFont="1" applyAlignment="1">
      <alignment horizontal="right" vertical="center" wrapText="1"/>
    </xf>
    <xf numFmtId="0" fontId="15" fillId="0" borderId="21" xfId="13" applyFont="1" applyBorder="1" applyAlignment="1">
      <alignment vertical="center" wrapText="1"/>
    </xf>
    <xf numFmtId="4" fontId="15" fillId="0" borderId="21" xfId="14" applyNumberFormat="1" applyFont="1" applyBorder="1" applyAlignment="1">
      <alignment horizontal="right" vertical="center" wrapText="1"/>
    </xf>
    <xf numFmtId="4" fontId="15" fillId="0" borderId="21" xfId="14" applyNumberFormat="1" applyFont="1" applyBorder="1" applyAlignment="1">
      <alignment horizontal="center" vertical="center" wrapText="1"/>
    </xf>
    <xf numFmtId="3" fontId="15" fillId="0" borderId="21" xfId="14" applyNumberFormat="1" applyFont="1" applyBorder="1" applyAlignment="1">
      <alignment vertical="center" wrapText="1"/>
    </xf>
    <xf numFmtId="3" fontId="67" fillId="0" borderId="0" xfId="13" applyNumberFormat="1" applyFont="1" applyAlignment="1">
      <alignment horizontal="right" vertical="center" wrapText="1"/>
    </xf>
    <xf numFmtId="3" fontId="68" fillId="0" borderId="0" xfId="13" applyNumberFormat="1" applyFont="1" applyAlignment="1">
      <alignment horizontal="right" vertical="center" wrapText="1"/>
    </xf>
    <xf numFmtId="10" fontId="83" fillId="8" borderId="0" xfId="3" applyNumberFormat="1" applyFont="1" applyFill="1" applyBorder="1" applyAlignment="1">
      <alignment horizontal="right" vertical="center"/>
    </xf>
    <xf numFmtId="4" fontId="84" fillId="8" borderId="0" xfId="13" applyNumberFormat="1" applyFont="1" applyFill="1" applyAlignment="1">
      <alignment horizontal="right" vertical="center"/>
    </xf>
    <xf numFmtId="3" fontId="85" fillId="8" borderId="0" xfId="13" applyNumberFormat="1" applyFont="1" applyFill="1" applyAlignment="1">
      <alignment horizontal="right" vertical="center"/>
    </xf>
    <xf numFmtId="3" fontId="86" fillId="0" borderId="0" xfId="13" applyNumberFormat="1" applyFont="1" applyAlignment="1">
      <alignment horizontal="right" vertical="center"/>
    </xf>
    <xf numFmtId="0" fontId="15" fillId="0" borderId="0" xfId="13" applyFont="1"/>
    <xf numFmtId="3" fontId="67" fillId="0" borderId="0" xfId="13" applyNumberFormat="1" applyFont="1"/>
    <xf numFmtId="3" fontId="68" fillId="0" borderId="0" xfId="13" applyNumberFormat="1" applyFont="1"/>
    <xf numFmtId="3" fontId="69" fillId="0" borderId="0" xfId="13" applyNumberFormat="1" applyFont="1"/>
    <xf numFmtId="3" fontId="83" fillId="8" borderId="0" xfId="13" applyNumberFormat="1" applyFont="1" applyFill="1" applyAlignment="1">
      <alignment horizontal="right" vertical="center"/>
    </xf>
    <xf numFmtId="3" fontId="83" fillId="0" borderId="0" xfId="13" applyNumberFormat="1" applyFont="1" applyAlignment="1">
      <alignment horizontal="right" vertical="center" wrapText="1"/>
    </xf>
    <xf numFmtId="4" fontId="84" fillId="0" borderId="0" xfId="13" applyNumberFormat="1" applyFont="1" applyAlignment="1">
      <alignment horizontal="right" vertical="center" wrapText="1"/>
    </xf>
    <xf numFmtId="3" fontId="85" fillId="0" borderId="0" xfId="13" applyNumberFormat="1" applyFont="1" applyAlignment="1">
      <alignment horizontal="right" vertical="center" wrapText="1"/>
    </xf>
    <xf numFmtId="3" fontId="86" fillId="0" borderId="0" xfId="13" applyNumberFormat="1" applyFont="1" applyAlignment="1">
      <alignment horizontal="right" vertical="center" wrapText="1"/>
    </xf>
    <xf numFmtId="4" fontId="86" fillId="0" borderId="0" xfId="13" applyNumberFormat="1" applyFont="1" applyAlignment="1">
      <alignment horizontal="right" vertical="center" wrapText="1"/>
    </xf>
    <xf numFmtId="1" fontId="16" fillId="0" borderId="0" xfId="13" applyNumberFormat="1" applyFont="1"/>
    <xf numFmtId="0" fontId="7" fillId="0" borderId="0" xfId="13" applyAlignment="1">
      <alignment vertical="center"/>
    </xf>
    <xf numFmtId="0" fontId="16" fillId="0" borderId="0" xfId="13" applyFont="1" applyAlignment="1">
      <alignment vertical="center"/>
    </xf>
    <xf numFmtId="4" fontId="16" fillId="0" borderId="0" xfId="13" applyNumberFormat="1" applyFont="1"/>
    <xf numFmtId="0" fontId="19" fillId="0" borderId="0" xfId="13" applyFont="1"/>
    <xf numFmtId="3" fontId="33" fillId="0" borderId="0" xfId="13" applyNumberFormat="1" applyFont="1"/>
    <xf numFmtId="0" fontId="87" fillId="0" borderId="0" xfId="4" applyFont="1"/>
    <xf numFmtId="0" fontId="88" fillId="0" borderId="0" xfId="4" applyFont="1" applyAlignment="1">
      <alignment horizontal="center"/>
    </xf>
    <xf numFmtId="0" fontId="90" fillId="0" borderId="38" xfId="4" applyFont="1" applyBorder="1" applyAlignment="1">
      <alignment horizontal="center"/>
    </xf>
    <xf numFmtId="0" fontId="91" fillId="0" borderId="21" xfId="4" applyFont="1" applyBorder="1"/>
    <xf numFmtId="0" fontId="90" fillId="0" borderId="42" xfId="4" applyFont="1" applyBorder="1"/>
    <xf numFmtId="0" fontId="92" fillId="0" borderId="29" xfId="4" applyFont="1" applyBorder="1" applyAlignment="1">
      <alignment horizontal="center"/>
    </xf>
    <xf numFmtId="0" fontId="93" fillId="0" borderId="29" xfId="4" applyFont="1" applyBorder="1"/>
    <xf numFmtId="0" fontId="93" fillId="0" borderId="37" xfId="4" applyFont="1" applyBorder="1"/>
    <xf numFmtId="0" fontId="92" fillId="0" borderId="21" xfId="4" applyFont="1" applyBorder="1" applyAlignment="1">
      <alignment horizontal="right"/>
    </xf>
    <xf numFmtId="0" fontId="93" fillId="0" borderId="21" xfId="4" applyFont="1" applyBorder="1" applyAlignment="1">
      <alignment horizontal="left"/>
    </xf>
    <xf numFmtId="0" fontId="90" fillId="0" borderId="36" xfId="4" applyFont="1" applyBorder="1"/>
    <xf numFmtId="0" fontId="90" fillId="0" borderId="38" xfId="4" applyFont="1" applyBorder="1"/>
    <xf numFmtId="0" fontId="91" fillId="0" borderId="38" xfId="4" applyFont="1" applyBorder="1"/>
    <xf numFmtId="10" fontId="91" fillId="0" borderId="45" xfId="4" applyNumberFormat="1" applyFont="1" applyBorder="1"/>
    <xf numFmtId="0" fontId="91" fillId="0" borderId="21" xfId="4" applyFont="1" applyBorder="1" applyAlignment="1">
      <alignment horizontal="left"/>
    </xf>
    <xf numFmtId="10" fontId="91" fillId="0" borderId="21" xfId="4" applyNumberFormat="1" applyFont="1" applyBorder="1"/>
    <xf numFmtId="10" fontId="91" fillId="0" borderId="29" xfId="4" applyNumberFormat="1" applyFont="1" applyBorder="1"/>
    <xf numFmtId="0" fontId="91" fillId="0" borderId="29" xfId="4" applyFont="1" applyBorder="1" applyAlignment="1">
      <alignment horizontal="left"/>
    </xf>
    <xf numFmtId="0" fontId="90" fillId="0" borderId="29" xfId="4" applyFont="1" applyBorder="1"/>
    <xf numFmtId="10" fontId="91" fillId="0" borderId="37" xfId="4" applyNumberFormat="1" applyFont="1" applyBorder="1"/>
    <xf numFmtId="177" fontId="0" fillId="0" borderId="0" xfId="16" applyFont="1"/>
    <xf numFmtId="9" fontId="7" fillId="0" borderId="0" xfId="4" applyNumberFormat="1"/>
    <xf numFmtId="10" fontId="93" fillId="0" borderId="21" xfId="4" applyNumberFormat="1" applyFont="1" applyBorder="1"/>
    <xf numFmtId="0" fontId="91" fillId="0" borderId="42" xfId="4" applyFont="1" applyBorder="1"/>
    <xf numFmtId="0" fontId="91" fillId="0" borderId="29" xfId="4" applyFont="1" applyBorder="1"/>
    <xf numFmtId="0" fontId="93" fillId="0" borderId="42" xfId="4" applyFont="1" applyBorder="1"/>
    <xf numFmtId="0" fontId="92" fillId="0" borderId="29" xfId="4" applyFont="1" applyBorder="1"/>
    <xf numFmtId="10" fontId="94" fillId="0" borderId="37" xfId="4" applyNumberFormat="1" applyFont="1" applyBorder="1"/>
    <xf numFmtId="0" fontId="7" fillId="0" borderId="70" xfId="4" applyBorder="1" applyAlignment="1">
      <alignment wrapText="1"/>
    </xf>
    <xf numFmtId="3" fontId="96" fillId="3" borderId="21" xfId="0" applyNumberFormat="1" applyFont="1" applyFill="1" applyBorder="1" applyAlignment="1">
      <alignment horizontal="center" vertical="center" wrapText="1"/>
    </xf>
    <xf numFmtId="3" fontId="96" fillId="17" borderId="21" xfId="0" applyNumberFormat="1" applyFont="1" applyFill="1" applyBorder="1" applyAlignment="1">
      <alignment horizontal="center" vertical="center" wrapText="1"/>
    </xf>
    <xf numFmtId="3" fontId="96" fillId="17" borderId="21" xfId="0" quotePrefix="1" applyNumberFormat="1" applyFont="1" applyFill="1" applyBorder="1" applyAlignment="1">
      <alignment horizontal="center" vertical="center" wrapText="1"/>
    </xf>
    <xf numFmtId="3" fontId="96" fillId="24" borderId="21" xfId="0" applyNumberFormat="1" applyFont="1" applyFill="1" applyBorder="1" applyAlignment="1">
      <alignment horizontal="center" vertical="center" wrapText="1"/>
    </xf>
    <xf numFmtId="0" fontId="96" fillId="17" borderId="21" xfId="0" applyFont="1" applyFill="1" applyBorder="1" applyAlignment="1">
      <alignment horizontal="center" vertical="center" wrapText="1"/>
    </xf>
    <xf numFmtId="0" fontId="96" fillId="3" borderId="21" xfId="0" applyFont="1" applyFill="1" applyBorder="1" applyAlignment="1">
      <alignment horizontal="center" vertical="center" wrapText="1"/>
    </xf>
    <xf numFmtId="0" fontId="96" fillId="24" borderId="21" xfId="0" applyFont="1" applyFill="1" applyBorder="1" applyAlignment="1">
      <alignment horizontal="center" vertical="center" wrapText="1"/>
    </xf>
    <xf numFmtId="0" fontId="96" fillId="25" borderId="21" xfId="0" applyFont="1" applyFill="1" applyBorder="1" applyAlignment="1">
      <alignment horizontal="center" vertical="center" wrapText="1"/>
    </xf>
    <xf numFmtId="3" fontId="96" fillId="25" borderId="21" xfId="0" applyNumberFormat="1" applyFont="1" applyFill="1" applyBorder="1" applyAlignment="1">
      <alignment horizontal="center" vertical="center" wrapText="1"/>
    </xf>
    <xf numFmtId="0" fontId="96" fillId="26" borderId="21" xfId="0" applyFont="1" applyFill="1" applyBorder="1" applyAlignment="1">
      <alignment horizontal="center" vertical="center" wrapText="1"/>
    </xf>
    <xf numFmtId="3" fontId="96" fillId="26" borderId="21" xfId="0" applyNumberFormat="1" applyFont="1" applyFill="1" applyBorder="1" applyAlignment="1">
      <alignment horizontal="center" vertical="center" wrapText="1"/>
    </xf>
    <xf numFmtId="4" fontId="96" fillId="3" borderId="21" xfId="0" applyNumberFormat="1" applyFont="1" applyFill="1" applyBorder="1" applyAlignment="1">
      <alignment horizontal="center" vertical="center" wrapText="1"/>
    </xf>
    <xf numFmtId="0" fontId="96" fillId="0" borderId="0" xfId="0" applyFont="1" applyAlignment="1">
      <alignment horizontal="center" vertical="center" wrapText="1"/>
    </xf>
    <xf numFmtId="0" fontId="95" fillId="0" borderId="15" xfId="0" applyFont="1" applyBorder="1" applyAlignment="1">
      <alignment horizontal="center" vertical="center" wrapText="1"/>
    </xf>
    <xf numFmtId="0" fontId="95" fillId="0" borderId="16" xfId="0" applyFont="1" applyBorder="1" applyAlignment="1">
      <alignment horizontal="center" vertical="center" wrapText="1"/>
    </xf>
    <xf numFmtId="9" fontId="95" fillId="0" borderId="16" xfId="0" applyNumberFormat="1" applyFont="1" applyBorder="1" applyAlignment="1">
      <alignment horizontal="center" vertical="center" wrapText="1"/>
    </xf>
    <xf numFmtId="0" fontId="95" fillId="0" borderId="17" xfId="0" applyFont="1" applyBorder="1" applyAlignment="1">
      <alignment horizontal="center" vertical="center" wrapText="1"/>
    </xf>
    <xf numFmtId="3" fontId="96" fillId="0" borderId="0" xfId="0" applyNumberFormat="1" applyFont="1" applyAlignment="1">
      <alignment horizontal="center" vertical="center" wrapText="1"/>
    </xf>
    <xf numFmtId="0" fontId="97" fillId="0" borderId="0" xfId="0" applyFont="1" applyAlignment="1">
      <alignment horizontal="center" vertical="center" wrapText="1"/>
    </xf>
    <xf numFmtId="0" fontId="95" fillId="0" borderId="0" xfId="0" applyFont="1" applyAlignment="1">
      <alignment vertical="center" wrapText="1"/>
    </xf>
    <xf numFmtId="0" fontId="95" fillId="0" borderId="0" xfId="0" applyFont="1" applyAlignment="1">
      <alignment horizontal="center" vertical="center" wrapText="1"/>
    </xf>
    <xf numFmtId="0" fontId="96" fillId="2" borderId="0" xfId="0" applyFont="1" applyFill="1" applyAlignment="1">
      <alignment horizontal="center" vertical="center" wrapText="1"/>
    </xf>
    <xf numFmtId="0" fontId="96" fillId="13" borderId="21" xfId="0" applyFont="1" applyFill="1" applyBorder="1" applyAlignment="1">
      <alignment horizontal="center" vertical="center" wrapText="1"/>
    </xf>
    <xf numFmtId="3" fontId="96" fillId="13" borderId="21" xfId="0" applyNumberFormat="1" applyFont="1" applyFill="1" applyBorder="1" applyAlignment="1">
      <alignment horizontal="center" vertical="center" wrapText="1"/>
    </xf>
    <xf numFmtId="0" fontId="96" fillId="27" borderId="21" xfId="0" applyFont="1" applyFill="1" applyBorder="1" applyAlignment="1">
      <alignment horizontal="center" vertical="center" wrapText="1"/>
    </xf>
    <xf numFmtId="3" fontId="96" fillId="27" borderId="21" xfId="0" applyNumberFormat="1" applyFont="1" applyFill="1" applyBorder="1" applyAlignment="1">
      <alignment horizontal="center" vertical="center" wrapText="1"/>
    </xf>
    <xf numFmtId="0" fontId="96" fillId="28" borderId="21" xfId="0" applyFont="1" applyFill="1" applyBorder="1" applyAlignment="1">
      <alignment horizontal="center" vertical="center" wrapText="1"/>
    </xf>
    <xf numFmtId="3" fontId="96" fillId="28" borderId="21" xfId="0" applyNumberFormat="1" applyFont="1" applyFill="1" applyBorder="1" applyAlignment="1">
      <alignment horizontal="center" vertical="center" wrapText="1"/>
    </xf>
    <xf numFmtId="3" fontId="96" fillId="29" borderId="21" xfId="0" applyNumberFormat="1" applyFont="1" applyFill="1" applyBorder="1" applyAlignment="1">
      <alignment horizontal="center" vertical="center" wrapText="1"/>
    </xf>
    <xf numFmtId="0" fontId="96" fillId="29" borderId="21" xfId="0" applyFont="1" applyFill="1" applyBorder="1" applyAlignment="1">
      <alignment horizontal="center" vertical="center" wrapText="1"/>
    </xf>
    <xf numFmtId="0" fontId="96" fillId="30" borderId="21" xfId="0" applyFont="1" applyFill="1" applyBorder="1" applyAlignment="1">
      <alignment horizontal="center" vertical="center" wrapText="1"/>
    </xf>
    <xf numFmtId="3" fontId="96" fillId="30" borderId="21" xfId="0" applyNumberFormat="1" applyFont="1" applyFill="1" applyBorder="1" applyAlignment="1">
      <alignment horizontal="center" vertical="center" wrapText="1"/>
    </xf>
    <xf numFmtId="0" fontId="96" fillId="31" borderId="21" xfId="0" applyFont="1" applyFill="1" applyBorder="1" applyAlignment="1">
      <alignment horizontal="center" vertical="center" wrapText="1"/>
    </xf>
    <xf numFmtId="3" fontId="96" fillId="31" borderId="21" xfId="0" applyNumberFormat="1" applyFont="1" applyFill="1" applyBorder="1" applyAlignment="1">
      <alignment horizontal="center" vertical="center" wrapText="1"/>
    </xf>
    <xf numFmtId="3" fontId="96" fillId="32" borderId="21" xfId="0" applyNumberFormat="1" applyFont="1" applyFill="1" applyBorder="1" applyAlignment="1">
      <alignment horizontal="center" vertical="center" wrapText="1"/>
    </xf>
    <xf numFmtId="0" fontId="96" fillId="32" borderId="21" xfId="0" applyFont="1" applyFill="1" applyBorder="1" applyAlignment="1">
      <alignment horizontal="center" vertical="center" wrapText="1"/>
    </xf>
    <xf numFmtId="0" fontId="96" fillId="33" borderId="21" xfId="0" applyFont="1" applyFill="1" applyBorder="1" applyAlignment="1">
      <alignment horizontal="center" vertical="center" wrapText="1"/>
    </xf>
    <xf numFmtId="3" fontId="96" fillId="33" borderId="21" xfId="0" applyNumberFormat="1" applyFont="1" applyFill="1" applyBorder="1" applyAlignment="1">
      <alignment horizontal="center" vertical="center" wrapText="1"/>
    </xf>
    <xf numFmtId="176" fontId="96" fillId="33" borderId="21" xfId="0" applyNumberFormat="1" applyFont="1" applyFill="1" applyBorder="1" applyAlignment="1">
      <alignment horizontal="center" vertical="center" wrapText="1"/>
    </xf>
    <xf numFmtId="0" fontId="96" fillId="27" borderId="24" xfId="0" applyFont="1" applyFill="1" applyBorder="1" applyAlignment="1">
      <alignment horizontal="center" vertical="center" wrapText="1"/>
    </xf>
    <xf numFmtId="3" fontId="96" fillId="27" borderId="40" xfId="0" applyNumberFormat="1" applyFont="1" applyFill="1" applyBorder="1" applyAlignment="1">
      <alignment horizontal="center" vertical="center" wrapText="1"/>
    </xf>
    <xf numFmtId="176" fontId="96" fillId="27" borderId="40" xfId="0" applyNumberFormat="1" applyFont="1" applyFill="1" applyBorder="1" applyAlignment="1">
      <alignment horizontal="center" vertical="center" wrapText="1"/>
    </xf>
    <xf numFmtId="3" fontId="95" fillId="5" borderId="17" xfId="0" applyNumberFormat="1" applyFont="1" applyFill="1" applyBorder="1" applyAlignment="1">
      <alignment horizontal="center" vertical="center" wrapText="1"/>
    </xf>
    <xf numFmtId="3" fontId="95" fillId="5" borderId="22" xfId="0" applyNumberFormat="1" applyFont="1" applyFill="1" applyBorder="1" applyAlignment="1">
      <alignment horizontal="center" vertical="center" wrapText="1"/>
    </xf>
    <xf numFmtId="3" fontId="95" fillId="5" borderId="25" xfId="0" applyNumberFormat="1" applyFont="1" applyFill="1" applyBorder="1" applyAlignment="1">
      <alignment horizontal="center" vertical="center" wrapText="1"/>
    </xf>
    <xf numFmtId="3" fontId="95" fillId="3" borderId="21" xfId="0" applyNumberFormat="1" applyFont="1" applyFill="1" applyBorder="1" applyAlignment="1">
      <alignment horizontal="center" vertical="center" wrapText="1"/>
    </xf>
    <xf numFmtId="3" fontId="95" fillId="13" borderId="21" xfId="0" applyNumberFormat="1" applyFont="1" applyFill="1" applyBorder="1" applyAlignment="1">
      <alignment horizontal="center" vertical="center" wrapText="1"/>
    </xf>
    <xf numFmtId="3" fontId="95" fillId="24" borderId="21" xfId="0" applyNumberFormat="1" applyFont="1" applyFill="1" applyBorder="1" applyAlignment="1">
      <alignment horizontal="center" vertical="center" wrapText="1"/>
    </xf>
    <xf numFmtId="3" fontId="95" fillId="17" borderId="21" xfId="0" applyNumberFormat="1" applyFont="1" applyFill="1" applyBorder="1" applyAlignment="1">
      <alignment horizontal="center" vertical="center" wrapText="1"/>
    </xf>
    <xf numFmtId="3" fontId="95" fillId="28" borderId="21" xfId="0" applyNumberFormat="1" applyFont="1" applyFill="1" applyBorder="1" applyAlignment="1">
      <alignment horizontal="center" vertical="center" wrapText="1"/>
    </xf>
    <xf numFmtId="3" fontId="95" fillId="25" borderId="21" xfId="0" applyNumberFormat="1" applyFont="1" applyFill="1" applyBorder="1" applyAlignment="1">
      <alignment horizontal="center" vertical="center" wrapText="1"/>
    </xf>
    <xf numFmtId="3" fontId="95" fillId="26" borderId="21" xfId="0" applyNumberFormat="1" applyFont="1" applyFill="1" applyBorder="1" applyAlignment="1">
      <alignment horizontal="center" vertical="center" wrapText="1"/>
    </xf>
    <xf numFmtId="3" fontId="95" fillId="29" borderId="21" xfId="0" applyNumberFormat="1" applyFont="1" applyFill="1" applyBorder="1" applyAlignment="1">
      <alignment horizontal="center" vertical="center" wrapText="1"/>
    </xf>
    <xf numFmtId="3" fontId="95" fillId="30" borderId="21" xfId="0" applyNumberFormat="1" applyFont="1" applyFill="1" applyBorder="1" applyAlignment="1">
      <alignment horizontal="center" vertical="center" wrapText="1"/>
    </xf>
    <xf numFmtId="3" fontId="95" fillId="31" borderId="21" xfId="0" applyNumberFormat="1" applyFont="1" applyFill="1" applyBorder="1" applyAlignment="1">
      <alignment horizontal="center" vertical="center" wrapText="1"/>
    </xf>
    <xf numFmtId="3" fontId="95" fillId="32" borderId="21" xfId="0" applyNumberFormat="1" applyFont="1" applyFill="1" applyBorder="1" applyAlignment="1">
      <alignment horizontal="center" vertical="center" wrapText="1"/>
    </xf>
    <xf numFmtId="3" fontId="95" fillId="33" borderId="21" xfId="0" applyNumberFormat="1" applyFont="1" applyFill="1" applyBorder="1" applyAlignment="1">
      <alignment horizontal="center" vertical="center" wrapText="1"/>
    </xf>
    <xf numFmtId="3" fontId="95" fillId="27" borderId="21" xfId="0" applyNumberFormat="1" applyFont="1" applyFill="1" applyBorder="1" applyAlignment="1">
      <alignment horizontal="center" vertical="center" wrapText="1"/>
    </xf>
    <xf numFmtId="3" fontId="95" fillId="27" borderId="40" xfId="0" applyNumberFormat="1" applyFont="1" applyFill="1" applyBorder="1" applyAlignment="1">
      <alignment horizontal="center" vertical="center" wrapText="1"/>
    </xf>
    <xf numFmtId="176" fontId="96" fillId="13" borderId="21" xfId="0" applyNumberFormat="1" applyFont="1" applyFill="1" applyBorder="1" applyAlignment="1">
      <alignment horizontal="center" vertical="center" wrapText="1"/>
    </xf>
    <xf numFmtId="0" fontId="96" fillId="0" borderId="20" xfId="0" applyFont="1" applyBorder="1" applyAlignment="1">
      <alignment horizontal="center" vertical="center" wrapText="1"/>
    </xf>
    <xf numFmtId="3" fontId="95" fillId="0" borderId="0" xfId="0" applyNumberFormat="1" applyFont="1" applyAlignment="1">
      <alignment horizontal="center" vertical="center" wrapText="1"/>
    </xf>
    <xf numFmtId="3" fontId="95" fillId="0" borderId="21" xfId="0" applyNumberFormat="1" applyFont="1" applyBorder="1" applyAlignment="1">
      <alignment horizontal="center" vertical="center" wrapText="1"/>
    </xf>
    <xf numFmtId="3" fontId="96" fillId="0" borderId="21" xfId="0" applyNumberFormat="1" applyFont="1" applyBorder="1" applyAlignment="1">
      <alignment horizontal="center" vertical="center" wrapText="1"/>
    </xf>
    <xf numFmtId="9" fontId="96" fillId="0" borderId="21" xfId="0" applyNumberFormat="1" applyFont="1" applyBorder="1" applyAlignment="1">
      <alignment horizontal="center" vertical="center" wrapText="1"/>
    </xf>
    <xf numFmtId="4" fontId="96" fillId="0" borderId="21" xfId="0" applyNumberFormat="1" applyFont="1" applyBorder="1" applyAlignment="1">
      <alignment horizontal="center" vertical="center" wrapText="1"/>
    </xf>
    <xf numFmtId="176" fontId="96" fillId="0" borderId="21" xfId="0" applyNumberFormat="1" applyFont="1" applyBorder="1" applyAlignment="1">
      <alignment horizontal="center" vertical="center" wrapText="1"/>
    </xf>
    <xf numFmtId="3" fontId="95" fillId="0" borderId="18" xfId="0" applyNumberFormat="1" applyFont="1" applyBorder="1" applyAlignment="1">
      <alignment horizontal="center" vertical="center" wrapText="1"/>
    </xf>
    <xf numFmtId="9" fontId="96" fillId="0" borderId="0" xfId="0" applyNumberFormat="1" applyFont="1" applyAlignment="1">
      <alignment horizontal="center" vertical="center" wrapText="1"/>
    </xf>
    <xf numFmtId="4" fontId="96" fillId="0" borderId="0" xfId="0" applyNumberFormat="1" applyFont="1" applyAlignment="1">
      <alignment horizontal="center" vertical="center" wrapText="1"/>
    </xf>
    <xf numFmtId="3" fontId="96" fillId="0" borderId="24" xfId="0" applyNumberFormat="1" applyFont="1" applyBorder="1" applyAlignment="1">
      <alignment horizontal="center" vertical="center" wrapText="1"/>
    </xf>
    <xf numFmtId="9" fontId="96" fillId="0" borderId="24" xfId="0" applyNumberFormat="1" applyFont="1" applyBorder="1" applyAlignment="1">
      <alignment horizontal="center" vertical="center" wrapText="1"/>
    </xf>
    <xf numFmtId="4" fontId="96" fillId="0" borderId="24" xfId="0" applyNumberFormat="1" applyFont="1" applyBorder="1" applyAlignment="1">
      <alignment horizontal="center" vertical="center" wrapText="1"/>
    </xf>
    <xf numFmtId="3" fontId="95" fillId="0" borderId="24" xfId="0" applyNumberFormat="1" applyFont="1" applyBorder="1" applyAlignment="1">
      <alignment horizontal="center" vertical="center" wrapText="1"/>
    </xf>
    <xf numFmtId="3" fontId="95" fillId="0" borderId="22" xfId="0" applyNumberFormat="1" applyFont="1" applyBorder="1" applyAlignment="1">
      <alignment horizontal="center" vertical="center" wrapText="1"/>
    </xf>
    <xf numFmtId="3" fontId="96" fillId="0" borderId="20" xfId="0" applyNumberFormat="1" applyFont="1" applyBorder="1" applyAlignment="1">
      <alignment horizontal="center" vertical="center" wrapText="1"/>
    </xf>
    <xf numFmtId="3" fontId="96" fillId="0" borderId="23" xfId="0" applyNumberFormat="1" applyFont="1" applyBorder="1" applyAlignment="1">
      <alignment horizontal="center" vertical="center" wrapText="1"/>
    </xf>
    <xf numFmtId="3" fontId="95" fillId="0" borderId="25" xfId="0" applyNumberFormat="1" applyFont="1" applyBorder="1" applyAlignment="1">
      <alignment horizontal="center" vertical="center" wrapText="1"/>
    </xf>
    <xf numFmtId="3" fontId="95" fillId="0" borderId="32" xfId="0" applyNumberFormat="1" applyFont="1" applyBorder="1" applyAlignment="1">
      <alignment horizontal="center" vertical="center" wrapText="1"/>
    </xf>
    <xf numFmtId="0" fontId="96" fillId="0" borderId="48" xfId="0" applyFont="1" applyBorder="1" applyAlignment="1">
      <alignment horizontal="center" vertical="center" wrapText="1"/>
    </xf>
    <xf numFmtId="3" fontId="96" fillId="0" borderId="18" xfId="0" applyNumberFormat="1" applyFont="1" applyBorder="1" applyAlignment="1">
      <alignment horizontal="center" vertical="center" wrapText="1"/>
    </xf>
    <xf numFmtId="9" fontId="96" fillId="0" borderId="18" xfId="0" applyNumberFormat="1" applyFont="1" applyBorder="1" applyAlignment="1">
      <alignment horizontal="center" vertical="center" wrapText="1"/>
    </xf>
    <xf numFmtId="4" fontId="96" fillId="0" borderId="18" xfId="0" applyNumberFormat="1" applyFont="1" applyBorder="1" applyAlignment="1">
      <alignment horizontal="center" vertical="center" wrapText="1"/>
    </xf>
    <xf numFmtId="3" fontId="95" fillId="0" borderId="19" xfId="0" applyNumberFormat="1" applyFont="1" applyBorder="1" applyAlignment="1">
      <alignment horizontal="center" vertical="center" wrapText="1"/>
    </xf>
    <xf numFmtId="0" fontId="98" fillId="34" borderId="77" xfId="0" applyFont="1" applyFill="1" applyBorder="1" applyAlignment="1">
      <alignment horizontal="center" vertical="center" wrapText="1"/>
    </xf>
    <xf numFmtId="0" fontId="98" fillId="34" borderId="78" xfId="0" applyFont="1" applyFill="1" applyBorder="1" applyAlignment="1">
      <alignment horizontal="center" vertical="center" wrapText="1"/>
    </xf>
    <xf numFmtId="0" fontId="61" fillId="34" borderId="78" xfId="0" applyFont="1" applyFill="1" applyBorder="1" applyAlignment="1">
      <alignment horizontal="center" vertical="center" wrapText="1"/>
    </xf>
    <xf numFmtId="9" fontId="98" fillId="34" borderId="78" xfId="0" applyNumberFormat="1" applyFont="1" applyFill="1" applyBorder="1" applyAlignment="1">
      <alignment horizontal="center" vertical="center" wrapText="1"/>
    </xf>
    <xf numFmtId="0" fontId="98" fillId="34" borderId="79" xfId="0" applyFont="1" applyFill="1" applyBorder="1" applyAlignment="1">
      <alignment horizontal="center" vertical="center" wrapText="1"/>
    </xf>
    <xf numFmtId="3" fontId="96" fillId="0" borderId="74" xfId="0" applyNumberFormat="1" applyFont="1" applyBorder="1" applyAlignment="1">
      <alignment horizontal="center" vertical="center" wrapText="1"/>
    </xf>
    <xf numFmtId="3" fontId="96" fillId="0" borderId="68" xfId="0" applyNumberFormat="1" applyFont="1" applyBorder="1" applyAlignment="1">
      <alignment horizontal="center" vertical="center" wrapText="1"/>
    </xf>
    <xf numFmtId="9" fontId="96" fillId="0" borderId="68" xfId="0" applyNumberFormat="1" applyFont="1" applyBorder="1" applyAlignment="1">
      <alignment horizontal="center" vertical="center" wrapText="1"/>
    </xf>
    <xf numFmtId="4" fontId="96" fillId="0" borderId="68" xfId="0" applyNumberFormat="1" applyFont="1" applyBorder="1" applyAlignment="1">
      <alignment horizontal="center" vertical="center" wrapText="1"/>
    </xf>
    <xf numFmtId="3" fontId="95" fillId="0" borderId="68" xfId="0" applyNumberFormat="1" applyFont="1" applyBorder="1" applyAlignment="1">
      <alignment horizontal="center" vertical="center" wrapText="1"/>
    </xf>
    <xf numFmtId="3" fontId="95" fillId="0" borderId="67" xfId="0" applyNumberFormat="1" applyFont="1" applyBorder="1" applyAlignment="1">
      <alignment horizontal="center" vertical="center" wrapText="1"/>
    </xf>
    <xf numFmtId="3" fontId="96" fillId="0" borderId="57" xfId="0" applyNumberFormat="1" applyFont="1" applyBorder="1" applyAlignment="1">
      <alignment horizontal="center" vertical="center" wrapText="1"/>
    </xf>
    <xf numFmtId="0" fontId="95" fillId="34" borderId="77" xfId="0" applyFont="1" applyFill="1" applyBorder="1" applyAlignment="1">
      <alignment horizontal="center" vertical="center" wrapText="1"/>
    </xf>
    <xf numFmtId="0" fontId="95" fillId="34" borderId="78" xfId="0" applyFont="1" applyFill="1" applyBorder="1" applyAlignment="1">
      <alignment horizontal="center" vertical="center" wrapText="1"/>
    </xf>
    <xf numFmtId="9" fontId="95" fillId="34" borderId="78" xfId="0" applyNumberFormat="1" applyFont="1" applyFill="1" applyBorder="1" applyAlignment="1">
      <alignment horizontal="center" vertical="center" wrapText="1"/>
    </xf>
    <xf numFmtId="0" fontId="95" fillId="34" borderId="79" xfId="0" applyFont="1" applyFill="1" applyBorder="1" applyAlignment="1">
      <alignment horizontal="center" vertical="center" wrapText="1"/>
    </xf>
    <xf numFmtId="0" fontId="96" fillId="0" borderId="23" xfId="0" applyFont="1" applyBorder="1" applyAlignment="1">
      <alignment horizontal="center" vertical="center" wrapText="1"/>
    </xf>
    <xf numFmtId="3" fontId="62" fillId="0" borderId="0" xfId="0" applyNumberFormat="1" applyFont="1" applyAlignment="1">
      <alignment horizontal="center" vertical="center" wrapText="1"/>
    </xf>
    <xf numFmtId="3" fontId="21" fillId="0" borderId="0" xfId="13" applyNumberFormat="1" applyFont="1" applyAlignment="1">
      <alignment horizontal="right" vertical="center" wrapText="1"/>
    </xf>
    <xf numFmtId="0" fontId="5" fillId="0" borderId="0" xfId="13" applyFont="1" applyAlignment="1">
      <alignment horizontal="left" vertical="center" wrapText="1"/>
    </xf>
    <xf numFmtId="0" fontId="7" fillId="0" borderId="0" xfId="13" applyAlignment="1">
      <alignment horizontal="left" vertical="center"/>
    </xf>
    <xf numFmtId="0" fontId="5" fillId="0" borderId="20" xfId="13" applyFont="1" applyBorder="1" applyAlignment="1">
      <alignment horizontal="center" vertical="center"/>
    </xf>
    <xf numFmtId="0" fontId="5" fillId="0" borderId="10" xfId="13" applyFont="1" applyBorder="1" applyAlignment="1">
      <alignment horizontal="left" vertical="center"/>
    </xf>
    <xf numFmtId="0" fontId="15" fillId="0" borderId="20" xfId="13" applyFont="1" applyBorder="1" applyAlignment="1">
      <alignment horizontal="center" vertical="center"/>
    </xf>
    <xf numFmtId="3" fontId="5" fillId="10" borderId="22" xfId="13" applyNumberFormat="1" applyFont="1" applyFill="1" applyBorder="1" applyAlignment="1">
      <alignment horizontal="right" vertical="center"/>
    </xf>
    <xf numFmtId="3" fontId="15" fillId="0" borderId="22" xfId="13" applyNumberFormat="1" applyFont="1" applyBorder="1" applyAlignment="1">
      <alignment horizontal="right" vertical="center" wrapText="1"/>
    </xf>
    <xf numFmtId="3" fontId="5" fillId="9" borderId="22" xfId="13" applyNumberFormat="1" applyFont="1" applyFill="1" applyBorder="1" applyAlignment="1">
      <alignment horizontal="right" vertical="center"/>
    </xf>
    <xf numFmtId="3" fontId="30" fillId="10" borderId="22" xfId="13" applyNumberFormat="1" applyFont="1" applyFill="1" applyBorder="1" applyAlignment="1">
      <alignment horizontal="right" vertical="center"/>
    </xf>
    <xf numFmtId="3" fontId="29" fillId="0" borderId="10" xfId="13" applyNumberFormat="1" applyFont="1" applyBorder="1" applyAlignment="1">
      <alignment horizontal="right" vertical="center" wrapText="1"/>
    </xf>
    <xf numFmtId="0" fontId="15" fillId="0" borderId="26" xfId="13" applyFont="1" applyBorder="1"/>
    <xf numFmtId="3" fontId="15" fillId="0" borderId="27" xfId="13" applyNumberFormat="1" applyFont="1" applyBorder="1"/>
    <xf numFmtId="0" fontId="2" fillId="0" borderId="0" xfId="0" applyFont="1"/>
    <xf numFmtId="0" fontId="6" fillId="0" borderId="0" xfId="0" applyFont="1" applyAlignment="1">
      <alignment vertical="center"/>
    </xf>
    <xf numFmtId="0" fontId="6" fillId="0" borderId="0" xfId="0" applyFont="1"/>
    <xf numFmtId="0" fontId="10" fillId="0" borderId="0" xfId="0" applyFont="1" applyAlignment="1">
      <alignment vertical="center"/>
    </xf>
    <xf numFmtId="0" fontId="28" fillId="8" borderId="21" xfId="13" applyFont="1" applyFill="1" applyBorder="1" applyAlignment="1">
      <alignment horizontal="center" vertical="center" wrapText="1"/>
    </xf>
    <xf numFmtId="3" fontId="28" fillId="8" borderId="22" xfId="13" applyNumberFormat="1" applyFont="1" applyFill="1" applyBorder="1" applyAlignment="1">
      <alignment horizontal="center" vertical="center" wrapText="1"/>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01" fillId="0" borderId="0" xfId="0" applyFont="1" applyAlignment="1">
      <alignment vertical="center" wrapText="1"/>
    </xf>
    <xf numFmtId="0" fontId="100" fillId="0" borderId="0" xfId="0" applyFont="1" applyAlignment="1">
      <alignment horizontal="center" vertical="center"/>
    </xf>
    <xf numFmtId="166" fontId="101" fillId="0" borderId="0" xfId="17" applyFont="1" applyFill="1" applyBorder="1" applyAlignment="1">
      <alignment horizontal="center" vertical="center"/>
    </xf>
    <xf numFmtId="166" fontId="100" fillId="0" borderId="0" xfId="17" applyFont="1" applyBorder="1" applyAlignment="1">
      <alignment horizontal="center" vertical="center"/>
    </xf>
    <xf numFmtId="178" fontId="100" fillId="0" borderId="0" xfId="17" applyNumberFormat="1" applyFont="1" applyBorder="1" applyAlignment="1">
      <alignment horizontal="center" vertical="center"/>
    </xf>
    <xf numFmtId="0" fontId="100" fillId="0" borderId="0" xfId="18" applyFont="1" applyAlignment="1">
      <alignment horizontal="right" vertical="center"/>
    </xf>
    <xf numFmtId="0" fontId="103" fillId="0" borderId="0" xfId="19" applyFont="1"/>
    <xf numFmtId="0" fontId="100" fillId="0" borderId="0" xfId="20" applyFont="1"/>
    <xf numFmtId="0" fontId="101" fillId="0" borderId="0" xfId="20" applyFont="1" applyAlignment="1">
      <alignment horizontal="center"/>
    </xf>
    <xf numFmtId="0" fontId="101" fillId="0" borderId="0" xfId="0" applyFont="1" applyAlignment="1">
      <alignment horizontal="left" vertical="center" wrapText="1"/>
    </xf>
    <xf numFmtId="3" fontId="15" fillId="0" borderId="21" xfId="14" applyNumberFormat="1" applyFont="1" applyBorder="1" applyAlignment="1">
      <alignment vertical="center"/>
    </xf>
    <xf numFmtId="43" fontId="15" fillId="0" borderId="0" xfId="1" applyFont="1"/>
    <xf numFmtId="43" fontId="104" fillId="0" borderId="0" xfId="1" applyFont="1"/>
    <xf numFmtId="4" fontId="21" fillId="8" borderId="22" xfId="13" applyNumberFormat="1" applyFont="1" applyFill="1" applyBorder="1" applyAlignment="1">
      <alignment horizontal="right" vertical="center"/>
    </xf>
    <xf numFmtId="4" fontId="21" fillId="0" borderId="22" xfId="13" applyNumberFormat="1" applyFont="1" applyBorder="1" applyAlignment="1">
      <alignment horizontal="right" vertical="center" wrapText="1"/>
    </xf>
    <xf numFmtId="4" fontId="21" fillId="0" borderId="25" xfId="13" applyNumberFormat="1" applyFont="1" applyBorder="1" applyAlignment="1">
      <alignment horizontal="right" vertical="center" wrapText="1"/>
    </xf>
    <xf numFmtId="3" fontId="21" fillId="0" borderId="25" xfId="13" applyNumberFormat="1" applyFont="1" applyBorder="1" applyAlignment="1">
      <alignment horizontal="right" vertical="center" wrapText="1"/>
    </xf>
    <xf numFmtId="0" fontId="100" fillId="0" borderId="52" xfId="9" applyFont="1" applyBorder="1" applyAlignment="1">
      <alignment horizontal="left" vertical="center" indent="1"/>
    </xf>
    <xf numFmtId="0" fontId="100" fillId="0" borderId="70" xfId="9" applyFont="1" applyBorder="1" applyAlignment="1">
      <alignment horizontal="left" vertical="center" indent="1"/>
    </xf>
    <xf numFmtId="0" fontId="0" fillId="0" borderId="70" xfId="0" applyBorder="1" applyAlignment="1">
      <alignment horizontal="center" vertical="center"/>
    </xf>
    <xf numFmtId="10" fontId="0" fillId="0" borderId="70" xfId="0" applyNumberFormat="1" applyBorder="1" applyAlignment="1">
      <alignment horizontal="center" vertical="center"/>
    </xf>
    <xf numFmtId="10" fontId="0" fillId="0" borderId="80" xfId="0" applyNumberFormat="1" applyBorder="1" applyAlignment="1">
      <alignment horizontal="center" vertical="center"/>
    </xf>
    <xf numFmtId="4" fontId="15" fillId="0" borderId="22" xfId="13" applyNumberFormat="1" applyFont="1" applyBorder="1" applyAlignment="1">
      <alignment horizontal="right" vertical="center" wrapText="1"/>
    </xf>
    <xf numFmtId="4" fontId="15" fillId="0" borderId="21" xfId="14" applyNumberFormat="1" applyFont="1" applyBorder="1" applyAlignment="1">
      <alignment vertical="center" wrapText="1"/>
    </xf>
    <xf numFmtId="4" fontId="15" fillId="0" borderId="21" xfId="13" applyNumberFormat="1" applyFont="1" applyBorder="1" applyAlignment="1">
      <alignment vertical="center"/>
    </xf>
    <xf numFmtId="4" fontId="15" fillId="0" borderId="22" xfId="13" applyNumberFormat="1" applyFont="1" applyBorder="1" applyAlignment="1">
      <alignment horizontal="right" vertical="center"/>
    </xf>
    <xf numFmtId="170" fontId="6" fillId="0" borderId="29" xfId="0" applyNumberFormat="1"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wrapText="1"/>
    </xf>
    <xf numFmtId="170" fontId="22" fillId="5" borderId="6" xfId="0" applyNumberFormat="1" applyFont="1" applyFill="1" applyBorder="1" applyAlignment="1">
      <alignment horizontal="center" vertical="center" wrapText="1"/>
    </xf>
    <xf numFmtId="0" fontId="22" fillId="5" borderId="5" xfId="0" applyFont="1" applyFill="1" applyBorder="1" applyAlignment="1">
      <alignment horizontal="center" vertical="center" wrapText="1"/>
    </xf>
    <xf numFmtId="0" fontId="22" fillId="5" borderId="59" xfId="0" applyFont="1" applyFill="1" applyBorder="1" applyAlignment="1">
      <alignment horizontal="center" vertical="center" wrapText="1"/>
    </xf>
    <xf numFmtId="170" fontId="22" fillId="0" borderId="6" xfId="0" applyNumberFormat="1" applyFont="1" applyBorder="1" applyAlignment="1">
      <alignment horizontal="center" vertical="center" wrapText="1"/>
    </xf>
    <xf numFmtId="0" fontId="22" fillId="0" borderId="5" xfId="0" applyFont="1" applyBorder="1" applyAlignment="1">
      <alignment horizontal="center" vertical="center" wrapText="1"/>
    </xf>
    <xf numFmtId="0" fontId="22" fillId="0" borderId="59"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3"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56" xfId="0" applyFont="1" applyBorder="1" applyAlignment="1">
      <alignment horizontal="center" vertical="center" wrapText="1"/>
    </xf>
    <xf numFmtId="0" fontId="6" fillId="0" borderId="67"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56" xfId="0" applyFont="1" applyBorder="1" applyAlignment="1">
      <alignment horizontal="center" vertical="center" wrapText="1"/>
    </xf>
    <xf numFmtId="0" fontId="10" fillId="0" borderId="67" xfId="0" applyFont="1" applyBorder="1" applyAlignment="1">
      <alignment horizontal="center" vertical="center" wrapText="1"/>
    </xf>
    <xf numFmtId="0" fontId="6" fillId="5" borderId="66" xfId="0" applyFont="1" applyFill="1" applyBorder="1" applyAlignment="1">
      <alignment horizontal="center" vertical="center" wrapText="1"/>
    </xf>
    <xf numFmtId="0" fontId="6" fillId="5" borderId="56" xfId="0" applyFont="1" applyFill="1" applyBorder="1" applyAlignment="1">
      <alignment horizontal="center" vertical="center" wrapText="1"/>
    </xf>
    <xf numFmtId="0" fontId="6" fillId="5" borderId="67"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3" xfId="0" applyFont="1" applyFill="1" applyBorder="1" applyAlignment="1">
      <alignment horizontal="center" vertical="center" wrapText="1"/>
    </xf>
    <xf numFmtId="0" fontId="10" fillId="0" borderId="20" xfId="0" applyFont="1" applyBorder="1" applyAlignment="1">
      <alignment horizontal="center" vertical="center" wrapText="1"/>
    </xf>
    <xf numFmtId="170" fontId="22" fillId="0" borderId="5" xfId="0" applyNumberFormat="1" applyFont="1" applyBorder="1" applyAlignment="1">
      <alignment horizontal="center" vertical="center" wrapText="1"/>
    </xf>
    <xf numFmtId="170" fontId="22" fillId="0" borderId="59" xfId="0" applyNumberFormat="1" applyFont="1" applyBorder="1" applyAlignment="1">
      <alignment horizontal="center" vertical="center" wrapText="1"/>
    </xf>
    <xf numFmtId="170" fontId="6" fillId="0" borderId="61" xfId="0" applyNumberFormat="1" applyFont="1" applyBorder="1" applyAlignment="1">
      <alignment horizontal="center" vertical="center" wrapText="1"/>
    </xf>
    <xf numFmtId="0" fontId="3" fillId="0" borderId="2" xfId="0" applyFont="1" applyBorder="1" applyAlignment="1">
      <alignment horizontal="center"/>
    </xf>
    <xf numFmtId="0" fontId="3" fillId="0" borderId="3" xfId="0" applyFont="1" applyBorder="1" applyAlignment="1">
      <alignment horizont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2" fillId="0" borderId="15" xfId="0" applyFont="1" applyBorder="1" applyAlignment="1">
      <alignment horizontal="left"/>
    </xf>
    <xf numFmtId="0" fontId="2" fillId="0" borderId="16" xfId="0" applyFont="1" applyBorder="1" applyAlignment="1">
      <alignment horizontal="left"/>
    </xf>
    <xf numFmtId="0" fontId="2" fillId="0" borderId="17" xfId="0" applyFont="1" applyBorder="1" applyAlignment="1">
      <alignment horizontal="left"/>
    </xf>
    <xf numFmtId="0" fontId="2" fillId="0" borderId="20" xfId="0" applyFont="1" applyBorder="1" applyAlignment="1">
      <alignment horizontal="left" vertical="top" wrapText="1" shrinkToFit="1"/>
    </xf>
    <xf numFmtId="0" fontId="0" fillId="0" borderId="21" xfId="0" applyBorder="1" applyAlignment="1">
      <alignment horizontal="left" vertical="top" wrapText="1" shrinkToFit="1"/>
    </xf>
    <xf numFmtId="0" fontId="0" fillId="0" borderId="22" xfId="0" applyBorder="1" applyAlignment="1">
      <alignment horizontal="left" vertical="top" wrapText="1" shrinkToFit="1"/>
    </xf>
    <xf numFmtId="0" fontId="2" fillId="0" borderId="2" xfId="0" applyFont="1" applyBorder="1" applyAlignment="1">
      <alignment horizontal="center"/>
    </xf>
    <xf numFmtId="0" fontId="2" fillId="0" borderId="3" xfId="0" applyFont="1" applyBorder="1" applyAlignment="1">
      <alignment horizontal="center"/>
    </xf>
    <xf numFmtId="0" fontId="0" fillId="0" borderId="26" xfId="0" applyBorder="1" applyAlignment="1">
      <alignment horizontal="center"/>
    </xf>
    <xf numFmtId="0" fontId="0" fillId="0" borderId="0" xfId="0" applyAlignment="1">
      <alignment horizontal="center"/>
    </xf>
    <xf numFmtId="0" fontId="2" fillId="0" borderId="30" xfId="0" applyFont="1" applyBorder="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2" fillId="0" borderId="30" xfId="0" applyFont="1" applyBorder="1" applyAlignment="1">
      <alignment horizontal="left"/>
    </xf>
    <xf numFmtId="0" fontId="2" fillId="0" borderId="31" xfId="0" applyFont="1" applyBorder="1" applyAlignment="1">
      <alignment horizontal="left"/>
    </xf>
    <xf numFmtId="0" fontId="2" fillId="0" borderId="32" xfId="0" applyFont="1" applyBorder="1" applyAlignment="1">
      <alignment horizontal="left"/>
    </xf>
    <xf numFmtId="0" fontId="3" fillId="2" borderId="30" xfId="0" applyFont="1" applyFill="1" applyBorder="1" applyAlignment="1">
      <alignment horizontal="left"/>
    </xf>
    <xf numFmtId="0" fontId="3" fillId="2" borderId="31" xfId="0" applyFont="1" applyFill="1" applyBorder="1" applyAlignment="1">
      <alignment horizontal="left"/>
    </xf>
    <xf numFmtId="0" fontId="3" fillId="2" borderId="32" xfId="0" applyFont="1" applyFill="1" applyBorder="1" applyAlignment="1">
      <alignment horizontal="left"/>
    </xf>
    <xf numFmtId="0" fontId="0" fillId="0" borderId="26" xfId="0" applyBorder="1" applyAlignment="1">
      <alignment horizontal="left"/>
    </xf>
    <xf numFmtId="0" fontId="0" fillId="0" borderId="0" xfId="0" applyAlignment="1">
      <alignment horizontal="left"/>
    </xf>
    <xf numFmtId="165" fontId="99" fillId="0" borderId="0" xfId="0" applyNumberFormat="1" applyFont="1" applyAlignment="1">
      <alignment horizontal="left" wrapText="1"/>
    </xf>
    <xf numFmtId="165" fontId="0" fillId="0" borderId="0" xfId="0" applyNumberFormat="1"/>
    <xf numFmtId="3" fontId="28" fillId="8" borderId="21" xfId="13" applyNumberFormat="1" applyFont="1" applyFill="1" applyBorder="1" applyAlignment="1">
      <alignment horizontal="center" vertical="center" wrapText="1"/>
    </xf>
    <xf numFmtId="0" fontId="28" fillId="8" borderId="21" xfId="13" applyFont="1" applyFill="1" applyBorder="1" applyAlignment="1">
      <alignment horizontal="center" vertical="center" wrapText="1"/>
    </xf>
    <xf numFmtId="0" fontId="21" fillId="8" borderId="28" xfId="13" applyFont="1" applyFill="1" applyBorder="1" applyAlignment="1">
      <alignment horizontal="right" vertical="center"/>
    </xf>
    <xf numFmtId="0" fontId="21" fillId="8" borderId="29" xfId="13" applyFont="1" applyFill="1" applyBorder="1" applyAlignment="1">
      <alignment horizontal="right" vertical="center"/>
    </xf>
    <xf numFmtId="0" fontId="21" fillId="8" borderId="37" xfId="13" applyFont="1" applyFill="1" applyBorder="1" applyAlignment="1">
      <alignment horizontal="right" vertical="center"/>
    </xf>
    <xf numFmtId="0" fontId="21" fillId="0" borderId="28" xfId="14" applyNumberFormat="1" applyFont="1" applyBorder="1" applyAlignment="1">
      <alignment horizontal="right" vertical="center"/>
    </xf>
    <xf numFmtId="0" fontId="21" fillId="0" borderId="29" xfId="14" applyNumberFormat="1" applyFont="1" applyBorder="1" applyAlignment="1">
      <alignment horizontal="right" vertical="center"/>
    </xf>
    <xf numFmtId="0" fontId="21" fillId="0" borderId="37" xfId="14" applyNumberFormat="1" applyFont="1" applyBorder="1" applyAlignment="1">
      <alignment horizontal="right" vertical="center"/>
    </xf>
    <xf numFmtId="0" fontId="21" fillId="0" borderId="71" xfId="14" applyNumberFormat="1" applyFont="1" applyBorder="1" applyAlignment="1">
      <alignment horizontal="right" vertical="center"/>
    </xf>
    <xf numFmtId="0" fontId="21" fillId="0" borderId="69" xfId="14" applyNumberFormat="1" applyFont="1" applyBorder="1" applyAlignment="1">
      <alignment horizontal="right" vertical="center"/>
    </xf>
    <xf numFmtId="0" fontId="21" fillId="0" borderId="54" xfId="14" applyNumberFormat="1" applyFont="1" applyBorder="1" applyAlignment="1">
      <alignment horizontal="right" vertical="center"/>
    </xf>
    <xf numFmtId="0" fontId="28" fillId="8" borderId="20" xfId="13" applyFont="1" applyFill="1" applyBorder="1" applyAlignment="1">
      <alignment horizontal="center" vertical="center" wrapText="1"/>
    </xf>
    <xf numFmtId="4" fontId="28" fillId="8" borderId="21" xfId="13" applyNumberFormat="1" applyFont="1" applyFill="1" applyBorder="1" applyAlignment="1">
      <alignment horizontal="right" vertical="center" wrapText="1"/>
    </xf>
    <xf numFmtId="4" fontId="5" fillId="11" borderId="28" xfId="13" applyNumberFormat="1" applyFont="1" applyFill="1" applyBorder="1" applyAlignment="1">
      <alignment horizontal="center" vertical="center"/>
    </xf>
    <xf numFmtId="4" fontId="5" fillId="11" borderId="29" xfId="13" applyNumberFormat="1" applyFont="1" applyFill="1" applyBorder="1" applyAlignment="1">
      <alignment horizontal="center" vertical="center"/>
    </xf>
    <xf numFmtId="4" fontId="5" fillId="11" borderId="10" xfId="13" applyNumberFormat="1" applyFont="1" applyFill="1" applyBorder="1" applyAlignment="1">
      <alignment horizontal="center" vertical="center"/>
    </xf>
    <xf numFmtId="4" fontId="5" fillId="10" borderId="28" xfId="13" applyNumberFormat="1" applyFont="1" applyFill="1" applyBorder="1" applyAlignment="1">
      <alignment horizontal="center" vertical="center"/>
    </xf>
    <xf numFmtId="4" fontId="5" fillId="10" borderId="29" xfId="13" applyNumberFormat="1" applyFont="1" applyFill="1" applyBorder="1" applyAlignment="1">
      <alignment horizontal="center" vertical="center"/>
    </xf>
    <xf numFmtId="4" fontId="5" fillId="10" borderId="37" xfId="13" applyNumberFormat="1" applyFont="1" applyFill="1" applyBorder="1" applyAlignment="1">
      <alignment horizontal="center" vertical="center"/>
    </xf>
    <xf numFmtId="4" fontId="29" fillId="11" borderId="52" xfId="13" applyNumberFormat="1" applyFont="1" applyFill="1" applyBorder="1" applyAlignment="1">
      <alignment horizontal="center" vertical="center"/>
    </xf>
    <xf numFmtId="4" fontId="29" fillId="11" borderId="70" xfId="13" applyNumberFormat="1" applyFont="1" applyFill="1" applyBorder="1" applyAlignment="1">
      <alignment horizontal="center" vertical="center"/>
    </xf>
    <xf numFmtId="4" fontId="29" fillId="11" borderId="80" xfId="13" applyNumberFormat="1" applyFont="1" applyFill="1" applyBorder="1" applyAlignment="1">
      <alignment horizontal="center" vertical="center"/>
    </xf>
    <xf numFmtId="4" fontId="28" fillId="8" borderId="21" xfId="13" applyNumberFormat="1" applyFont="1" applyFill="1" applyBorder="1" applyAlignment="1">
      <alignment horizontal="center" vertical="center" wrapText="1"/>
    </xf>
    <xf numFmtId="0" fontId="5" fillId="9" borderId="28" xfId="13" applyFont="1" applyFill="1" applyBorder="1" applyAlignment="1">
      <alignment horizontal="center" vertical="center"/>
    </xf>
    <xf numFmtId="0" fontId="5" fillId="9" borderId="29" xfId="13" applyFont="1" applyFill="1" applyBorder="1" applyAlignment="1">
      <alignment horizontal="center" vertical="center"/>
    </xf>
    <xf numFmtId="0" fontId="5" fillId="9" borderId="37" xfId="13" applyFont="1" applyFill="1" applyBorder="1" applyAlignment="1">
      <alignment horizontal="center" vertical="center"/>
    </xf>
    <xf numFmtId="4" fontId="29" fillId="11" borderId="28" xfId="13" applyNumberFormat="1" applyFont="1" applyFill="1" applyBorder="1" applyAlignment="1">
      <alignment horizontal="center" vertical="center"/>
    </xf>
    <xf numFmtId="4" fontId="29" fillId="11" borderId="29" xfId="13" applyNumberFormat="1" applyFont="1" applyFill="1" applyBorder="1" applyAlignment="1">
      <alignment horizontal="center" vertical="center"/>
    </xf>
    <xf numFmtId="4" fontId="29" fillId="11" borderId="10" xfId="13" applyNumberFormat="1" applyFont="1" applyFill="1" applyBorder="1" applyAlignment="1">
      <alignment horizontal="center" vertical="center"/>
    </xf>
    <xf numFmtId="4" fontId="30" fillId="10" borderId="28" xfId="13" applyNumberFormat="1" applyFont="1" applyFill="1" applyBorder="1" applyAlignment="1">
      <alignment horizontal="center" vertical="center"/>
    </xf>
    <xf numFmtId="4" fontId="30" fillId="10" borderId="29" xfId="13" applyNumberFormat="1" applyFont="1" applyFill="1" applyBorder="1" applyAlignment="1">
      <alignment horizontal="center" vertical="center"/>
    </xf>
    <xf numFmtId="4" fontId="30" fillId="10" borderId="37" xfId="13" applyNumberFormat="1" applyFont="1" applyFill="1" applyBorder="1" applyAlignment="1">
      <alignment horizontal="center" vertical="center"/>
    </xf>
    <xf numFmtId="4" fontId="29" fillId="0" borderId="28" xfId="13" applyNumberFormat="1" applyFont="1" applyBorder="1" applyAlignment="1">
      <alignment horizontal="center" vertical="center"/>
    </xf>
    <xf numFmtId="4" fontId="29" fillId="0" borderId="29" xfId="13" applyNumberFormat="1" applyFont="1" applyBorder="1" applyAlignment="1">
      <alignment horizontal="center" vertical="center"/>
    </xf>
    <xf numFmtId="4" fontId="29" fillId="0" borderId="10" xfId="13" applyNumberFormat="1" applyFont="1" applyBorder="1" applyAlignment="1">
      <alignment horizontal="center" vertical="center"/>
    </xf>
    <xf numFmtId="0" fontId="27" fillId="0" borderId="12" xfId="13" applyFont="1" applyBorder="1" applyAlignment="1">
      <alignment horizontal="center"/>
    </xf>
    <xf numFmtId="0" fontId="27" fillId="0" borderId="13" xfId="13" applyFont="1" applyBorder="1" applyAlignment="1">
      <alignment horizontal="center"/>
    </xf>
    <xf numFmtId="0" fontId="27" fillId="0" borderId="14" xfId="13" applyFont="1" applyBorder="1" applyAlignment="1">
      <alignment horizontal="center"/>
    </xf>
    <xf numFmtId="0" fontId="30" fillId="0" borderId="26" xfId="13" applyFont="1" applyBorder="1" applyAlignment="1">
      <alignment horizontal="center"/>
    </xf>
    <xf numFmtId="0" fontId="30" fillId="0" borderId="0" xfId="13" applyFont="1" applyAlignment="1">
      <alignment horizontal="center"/>
    </xf>
    <xf numFmtId="0" fontId="30" fillId="0" borderId="27" xfId="13" applyFont="1" applyBorder="1" applyAlignment="1">
      <alignment horizontal="center"/>
    </xf>
    <xf numFmtId="0" fontId="21" fillId="0" borderId="33" xfId="13" applyFont="1" applyBorder="1" applyAlignment="1">
      <alignment horizontal="center" vertical="center" wrapText="1"/>
    </xf>
    <xf numFmtId="0" fontId="21" fillId="0" borderId="34" xfId="13" applyFont="1" applyBorder="1" applyAlignment="1">
      <alignment horizontal="center" vertical="center" wrapText="1"/>
    </xf>
    <xf numFmtId="0" fontId="21" fillId="0" borderId="35" xfId="13" applyFont="1" applyBorder="1" applyAlignment="1">
      <alignment horizontal="center" vertical="center" wrapText="1"/>
    </xf>
    <xf numFmtId="0" fontId="28" fillId="8" borderId="15" xfId="13" applyFont="1" applyFill="1" applyBorder="1" applyAlignment="1">
      <alignment horizontal="center" vertical="center" wrapText="1"/>
    </xf>
    <xf numFmtId="0" fontId="28" fillId="8" borderId="16" xfId="13" applyFont="1" applyFill="1" applyBorder="1" applyAlignment="1">
      <alignment horizontal="center" vertical="center" wrapText="1"/>
    </xf>
    <xf numFmtId="4" fontId="28" fillId="8" borderId="16" xfId="13" applyNumberFormat="1" applyFont="1" applyFill="1" applyBorder="1" applyAlignment="1">
      <alignment horizontal="center" vertical="center" wrapText="1"/>
    </xf>
    <xf numFmtId="3" fontId="28" fillId="8" borderId="16" xfId="13" applyNumberFormat="1" applyFont="1" applyFill="1" applyBorder="1" applyAlignment="1">
      <alignment horizontal="center" vertical="center" wrapText="1"/>
    </xf>
    <xf numFmtId="3" fontId="28" fillId="8" borderId="17" xfId="13" applyNumberFormat="1" applyFont="1" applyFill="1" applyBorder="1" applyAlignment="1">
      <alignment horizontal="center" vertical="center" wrapText="1"/>
    </xf>
    <xf numFmtId="3" fontId="28" fillId="8" borderId="22" xfId="13" applyNumberFormat="1" applyFont="1" applyFill="1" applyBorder="1" applyAlignment="1">
      <alignment horizontal="center" vertical="center" wrapText="1"/>
    </xf>
    <xf numFmtId="170" fontId="22" fillId="14" borderId="41" xfId="0" applyNumberFormat="1" applyFont="1" applyFill="1" applyBorder="1" applyAlignment="1">
      <alignment horizontal="center" vertical="center" wrapText="1"/>
    </xf>
    <xf numFmtId="170" fontId="22" fillId="14" borderId="56" xfId="0" applyNumberFormat="1" applyFont="1" applyFill="1" applyBorder="1" applyAlignment="1">
      <alignment horizontal="center" vertical="center" wrapText="1"/>
    </xf>
    <xf numFmtId="170" fontId="22" fillId="14" borderId="19" xfId="0" applyNumberFormat="1" applyFont="1" applyFill="1" applyBorder="1" applyAlignment="1">
      <alignment horizontal="center" vertical="center" wrapText="1"/>
    </xf>
    <xf numFmtId="0" fontId="6" fillId="14" borderId="21" xfId="0" applyFont="1" applyFill="1" applyBorder="1" applyAlignment="1">
      <alignment horizontal="center" vertical="center" wrapText="1"/>
    </xf>
    <xf numFmtId="0" fontId="6" fillId="14" borderId="44" xfId="0" applyFont="1" applyFill="1" applyBorder="1" applyAlignment="1">
      <alignment horizontal="center" vertical="center"/>
    </xf>
    <xf numFmtId="0" fontId="6" fillId="14" borderId="45" xfId="0" applyFont="1" applyFill="1" applyBorder="1" applyAlignment="1">
      <alignment horizontal="center" vertical="center"/>
    </xf>
    <xf numFmtId="0" fontId="10" fillId="14" borderId="40" xfId="0" applyFont="1" applyFill="1" applyBorder="1" applyAlignment="1">
      <alignment horizontal="center" vertical="center" wrapText="1"/>
    </xf>
    <xf numFmtId="0" fontId="10" fillId="14" borderId="46" xfId="0" applyFont="1" applyFill="1" applyBorder="1" applyAlignment="1">
      <alignment horizontal="center" vertical="center" wrapText="1"/>
    </xf>
    <xf numFmtId="0" fontId="10" fillId="14" borderId="18" xfId="0" applyFont="1" applyFill="1" applyBorder="1" applyAlignment="1">
      <alignment horizontal="center" vertical="center" wrapText="1"/>
    </xf>
    <xf numFmtId="0" fontId="6" fillId="14" borderId="40" xfId="0" applyFont="1" applyFill="1" applyBorder="1" applyAlignment="1">
      <alignment horizontal="center" vertical="center" wrapText="1"/>
    </xf>
    <xf numFmtId="0" fontId="6" fillId="14" borderId="18" xfId="0" applyFont="1" applyFill="1" applyBorder="1" applyAlignment="1">
      <alignment horizontal="center" vertical="center" wrapText="1"/>
    </xf>
    <xf numFmtId="0" fontId="6" fillId="14" borderId="40" xfId="0" applyFont="1" applyFill="1" applyBorder="1" applyAlignment="1">
      <alignment horizontal="center" vertical="center"/>
    </xf>
    <xf numFmtId="0" fontId="6" fillId="14" borderId="18" xfId="0" applyFont="1" applyFill="1" applyBorder="1" applyAlignment="1">
      <alignment horizontal="center" vertical="center"/>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4" fillId="0" borderId="48" xfId="0" applyFont="1" applyBorder="1" applyAlignment="1">
      <alignment horizontal="center" vertical="center" textRotation="90" wrapText="1"/>
    </xf>
    <xf numFmtId="0" fontId="24" fillId="0" borderId="20" xfId="0" applyFont="1" applyBorder="1" applyAlignment="1">
      <alignment horizontal="center" vertical="center" textRotation="90" wrapText="1"/>
    </xf>
    <xf numFmtId="0" fontId="24" fillId="0" borderId="23" xfId="0" applyFont="1" applyBorder="1" applyAlignment="1">
      <alignment horizontal="center" vertical="center" textRotation="90" wrapText="1"/>
    </xf>
    <xf numFmtId="0" fontId="10" fillId="14" borderId="71" xfId="0" applyFont="1" applyFill="1" applyBorder="1" applyAlignment="1">
      <alignment horizontal="center" vertical="center" wrapText="1"/>
    </xf>
    <xf numFmtId="0" fontId="10" fillId="14" borderId="69" xfId="0" applyFont="1" applyFill="1" applyBorder="1" applyAlignment="1">
      <alignment horizontal="center" vertical="center" wrapText="1"/>
    </xf>
    <xf numFmtId="0" fontId="10" fillId="14" borderId="54" xfId="0" applyFont="1" applyFill="1" applyBorder="1" applyAlignment="1">
      <alignment horizontal="center" vertical="center" wrapText="1"/>
    </xf>
    <xf numFmtId="0" fontId="10" fillId="15" borderId="23" xfId="0" applyFont="1" applyFill="1" applyBorder="1" applyAlignment="1">
      <alignment horizontal="center" vertical="center" wrapText="1"/>
    </xf>
    <xf numFmtId="0" fontId="10" fillId="15" borderId="24" xfId="0" applyFont="1" applyFill="1" applyBorder="1" applyAlignment="1">
      <alignment horizontal="center" vertical="center" wrapText="1"/>
    </xf>
    <xf numFmtId="0" fontId="22" fillId="0" borderId="50"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45" xfId="0" applyFont="1" applyBorder="1" applyAlignment="1">
      <alignment horizontal="center" vertical="center" wrapText="1"/>
    </xf>
    <xf numFmtId="0" fontId="22" fillId="0" borderId="71" xfId="0" applyFont="1" applyBorder="1" applyAlignment="1">
      <alignment horizontal="center" vertical="center" wrapText="1"/>
    </xf>
    <xf numFmtId="0" fontId="22" fillId="0" borderId="69" xfId="0" applyFont="1" applyBorder="1" applyAlignment="1">
      <alignment horizontal="center" vertical="center" wrapText="1"/>
    </xf>
    <xf numFmtId="0" fontId="22" fillId="0" borderId="54" xfId="0" applyFont="1" applyBorder="1" applyAlignment="1">
      <alignment horizontal="center" vertical="center" wrapText="1"/>
    </xf>
    <xf numFmtId="0" fontId="10" fillId="15" borderId="21" xfId="0" applyFont="1" applyFill="1" applyBorder="1" applyAlignment="1">
      <alignment horizontal="center" vertical="center" wrapText="1"/>
    </xf>
    <xf numFmtId="0" fontId="6" fillId="15" borderId="16" xfId="0" applyFont="1" applyFill="1" applyBorder="1" applyAlignment="1">
      <alignment horizontal="center" vertical="center" wrapText="1"/>
    </xf>
    <xf numFmtId="0" fontId="6" fillId="15" borderId="21" xfId="0" applyFont="1" applyFill="1" applyBorder="1" applyAlignment="1">
      <alignment horizontal="center" vertical="center" wrapText="1"/>
    </xf>
    <xf numFmtId="0" fontId="36" fillId="14" borderId="15" xfId="0" applyFont="1" applyFill="1" applyBorder="1" applyAlignment="1">
      <alignment horizontal="center" vertical="center" wrapText="1"/>
    </xf>
    <xf numFmtId="0" fontId="36" fillId="14" borderId="20" xfId="0" applyFont="1" applyFill="1" applyBorder="1" applyAlignment="1">
      <alignment horizontal="center" vertical="center" wrapText="1"/>
    </xf>
    <xf numFmtId="0" fontId="6" fillId="14" borderId="46" xfId="0" applyFont="1" applyFill="1" applyBorder="1" applyAlignment="1">
      <alignment horizontal="center" vertical="center" wrapText="1"/>
    </xf>
    <xf numFmtId="0" fontId="35" fillId="0" borderId="0" xfId="0" applyFont="1" applyAlignment="1">
      <alignment horizontal="center" vertical="center" wrapText="1"/>
    </xf>
    <xf numFmtId="0" fontId="37" fillId="0" borderId="18" xfId="0" applyFont="1" applyBorder="1" applyAlignment="1">
      <alignment horizontal="center" vertical="center" wrapText="1"/>
    </xf>
    <xf numFmtId="0" fontId="37" fillId="0" borderId="21" xfId="0" applyFont="1" applyBorder="1" applyAlignment="1">
      <alignment horizontal="center" vertical="center" wrapText="1"/>
    </xf>
    <xf numFmtId="0" fontId="37" fillId="0" borderId="24" xfId="0" applyFont="1" applyBorder="1" applyAlignment="1">
      <alignment horizontal="center" vertical="center" wrapText="1"/>
    </xf>
    <xf numFmtId="0" fontId="10" fillId="15" borderId="16" xfId="0" applyFont="1" applyFill="1" applyBorder="1" applyAlignment="1">
      <alignment horizontal="center" vertical="center" wrapText="1"/>
    </xf>
    <xf numFmtId="170" fontId="22" fillId="14" borderId="17" xfId="0" applyNumberFormat="1" applyFont="1" applyFill="1" applyBorder="1" applyAlignment="1">
      <alignment horizontal="right" vertical="center" wrapText="1"/>
    </xf>
    <xf numFmtId="0" fontId="22" fillId="14" borderId="22" xfId="0" applyFont="1" applyFill="1" applyBorder="1" applyAlignment="1">
      <alignment horizontal="right" vertical="center" wrapText="1"/>
    </xf>
    <xf numFmtId="0" fontId="24" fillId="0" borderId="0" xfId="0" applyFont="1" applyAlignment="1">
      <alignment horizontal="center" vertical="center" wrapText="1"/>
    </xf>
    <xf numFmtId="0" fontId="34" fillId="0" borderId="0" xfId="0" applyFont="1" applyAlignment="1">
      <alignment horizontal="center" vertical="center" wrapText="1"/>
    </xf>
    <xf numFmtId="0" fontId="37" fillId="0" borderId="56" xfId="0" applyFont="1" applyBorder="1" applyAlignment="1">
      <alignment horizontal="center" vertical="center" wrapText="1"/>
    </xf>
    <xf numFmtId="0" fontId="37" fillId="0" borderId="57" xfId="0" applyFont="1" applyBorder="1" applyAlignment="1">
      <alignment horizontal="center" vertical="center" wrapText="1"/>
    </xf>
    <xf numFmtId="0" fontId="37" fillId="0" borderId="62" xfId="0" applyFont="1" applyBorder="1" applyAlignment="1">
      <alignment horizontal="center" vertical="center" wrapText="1"/>
    </xf>
    <xf numFmtId="0" fontId="36" fillId="15" borderId="15" xfId="0" applyFont="1" applyFill="1" applyBorder="1" applyAlignment="1">
      <alignment horizontal="center" vertical="center" wrapText="1"/>
    </xf>
    <xf numFmtId="0" fontId="36" fillId="15" borderId="20" xfId="0" applyFont="1" applyFill="1" applyBorder="1" applyAlignment="1">
      <alignment horizontal="center" vertical="center" wrapText="1"/>
    </xf>
    <xf numFmtId="0" fontId="10" fillId="14" borderId="16" xfId="0" applyFont="1" applyFill="1" applyBorder="1" applyAlignment="1">
      <alignment horizontal="center" vertical="center" wrapText="1"/>
    </xf>
    <xf numFmtId="0" fontId="10" fillId="14" borderId="21" xfId="0" applyFont="1" applyFill="1" applyBorder="1" applyAlignment="1">
      <alignment horizontal="center" vertical="center" wrapText="1"/>
    </xf>
    <xf numFmtId="0" fontId="6" fillId="14" borderId="16" xfId="0" applyFont="1" applyFill="1" applyBorder="1" applyAlignment="1">
      <alignment horizontal="center" vertical="center" wrapText="1"/>
    </xf>
    <xf numFmtId="170" fontId="22" fillId="15" borderId="22" xfId="0" applyNumberFormat="1" applyFont="1" applyFill="1" applyBorder="1" applyAlignment="1">
      <alignment horizontal="right" vertical="center" wrapText="1"/>
    </xf>
    <xf numFmtId="170" fontId="22" fillId="14" borderId="22" xfId="0" applyNumberFormat="1" applyFont="1" applyFill="1" applyBorder="1" applyAlignment="1">
      <alignment horizontal="right" vertical="center" wrapText="1"/>
    </xf>
    <xf numFmtId="0" fontId="6" fillId="0" borderId="16" xfId="0" applyFont="1" applyBorder="1" applyAlignment="1">
      <alignment horizontal="center" vertical="center" wrapText="1"/>
    </xf>
    <xf numFmtId="0" fontId="6" fillId="0" borderId="21" xfId="0" applyFont="1" applyBorder="1" applyAlignment="1">
      <alignment horizontal="center" vertical="center" wrapText="1"/>
    </xf>
    <xf numFmtId="0" fontId="24" fillId="0" borderId="15" xfId="0" applyFont="1" applyBorder="1" applyAlignment="1">
      <alignment horizontal="center" vertical="center" textRotation="90" wrapText="1"/>
    </xf>
    <xf numFmtId="0" fontId="6" fillId="0" borderId="2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21" xfId="0" applyFont="1" applyBorder="1" applyAlignment="1">
      <alignment horizontal="center" vertical="center" wrapText="1"/>
    </xf>
    <xf numFmtId="0" fontId="6" fillId="0" borderId="21" xfId="0" applyFont="1" applyBorder="1" applyAlignment="1">
      <alignment horizontal="center" vertical="center"/>
    </xf>
    <xf numFmtId="0" fontId="6" fillId="0" borderId="40"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3"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8"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46" xfId="0" applyFont="1" applyBorder="1" applyAlignment="1">
      <alignment horizontal="center" vertical="center" wrapText="1"/>
    </xf>
    <xf numFmtId="0" fontId="10" fillId="0" borderId="24" xfId="0" applyFont="1" applyBorder="1" applyAlignment="1">
      <alignment horizontal="center" vertical="center" wrapText="1"/>
    </xf>
    <xf numFmtId="0" fontId="6" fillId="7" borderId="42"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6" fillId="0" borderId="43" xfId="0" applyFont="1" applyBorder="1" applyAlignment="1">
      <alignment horizontal="center" vertical="center" wrapText="1"/>
    </xf>
    <xf numFmtId="0" fontId="6" fillId="0" borderId="70"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37"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34"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4"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53" xfId="0" applyFont="1" applyBorder="1" applyAlignment="1">
      <alignment horizontal="center" vertical="center" wrapText="1"/>
    </xf>
    <xf numFmtId="170" fontId="6" fillId="0" borderId="49" xfId="0" applyNumberFormat="1" applyFont="1" applyBorder="1" applyAlignment="1">
      <alignment horizontal="center" vertical="center" wrapText="1"/>
    </xf>
    <xf numFmtId="170" fontId="6" fillId="0" borderId="53" xfId="0" applyNumberFormat="1" applyFont="1" applyBorder="1" applyAlignment="1">
      <alignment horizontal="center" vertical="center" wrapText="1"/>
    </xf>
    <xf numFmtId="170" fontId="6" fillId="0" borderId="42" xfId="0" applyNumberFormat="1" applyFont="1" applyBorder="1" applyAlignment="1">
      <alignment horizontal="center" vertical="center" wrapText="1"/>
    </xf>
    <xf numFmtId="170" fontId="6" fillId="0" borderId="37" xfId="0" applyNumberFormat="1" applyFont="1" applyBorder="1" applyAlignment="1">
      <alignment horizontal="center" vertical="center" wrapText="1"/>
    </xf>
    <xf numFmtId="170" fontId="6" fillId="0" borderId="51" xfId="0" applyNumberFormat="1" applyFont="1" applyBorder="1" applyAlignment="1">
      <alignment horizontal="center" vertical="center" wrapText="1"/>
    </xf>
    <xf numFmtId="170" fontId="6" fillId="0" borderId="54" xfId="0" applyNumberFormat="1" applyFont="1" applyBorder="1" applyAlignment="1">
      <alignment horizontal="center" vertical="center" wrapText="1"/>
    </xf>
    <xf numFmtId="0" fontId="21" fillId="8" borderId="42" xfId="10" applyFont="1" applyFill="1" applyBorder="1" applyAlignment="1">
      <alignment horizontal="right" vertical="center"/>
    </xf>
    <xf numFmtId="0" fontId="21" fillId="8" borderId="29" xfId="10" applyFont="1" applyFill="1" applyBorder="1" applyAlignment="1">
      <alignment horizontal="right" vertical="center"/>
    </xf>
    <xf numFmtId="0" fontId="21" fillId="8" borderId="37" xfId="10" applyFont="1" applyFill="1" applyBorder="1" applyAlignment="1">
      <alignment horizontal="right" vertical="center"/>
    </xf>
    <xf numFmtId="0" fontId="21" fillId="0" borderId="42" xfId="11" applyNumberFormat="1" applyFont="1" applyBorder="1" applyAlignment="1">
      <alignment horizontal="right" vertical="center"/>
    </xf>
    <xf numFmtId="0" fontId="21" fillId="0" borderId="29" xfId="11" applyNumberFormat="1" applyFont="1" applyBorder="1" applyAlignment="1">
      <alignment horizontal="right" vertical="center"/>
    </xf>
    <xf numFmtId="0" fontId="21" fillId="0" borderId="37" xfId="11" applyNumberFormat="1" applyFont="1" applyBorder="1" applyAlignment="1">
      <alignment horizontal="right" vertical="center"/>
    </xf>
    <xf numFmtId="0" fontId="5" fillId="12" borderId="70" xfId="10" applyFont="1" applyFill="1" applyBorder="1" applyAlignment="1">
      <alignment horizontal="left" vertical="center" wrapText="1"/>
    </xf>
    <xf numFmtId="0" fontId="26" fillId="12" borderId="70" xfId="10" applyFill="1" applyBorder="1" applyAlignment="1">
      <alignment horizontal="left" vertical="center"/>
    </xf>
    <xf numFmtId="0" fontId="26" fillId="0" borderId="70" xfId="10" applyBorder="1" applyAlignment="1">
      <alignment vertical="center"/>
    </xf>
    <xf numFmtId="4" fontId="5" fillId="11" borderId="42" xfId="10" applyNumberFormat="1" applyFont="1" applyFill="1" applyBorder="1" applyAlignment="1">
      <alignment horizontal="center" vertical="center"/>
    </xf>
    <xf numFmtId="4" fontId="5" fillId="11" borderId="29" xfId="10" applyNumberFormat="1" applyFont="1" applyFill="1" applyBorder="1" applyAlignment="1">
      <alignment horizontal="center" vertical="center"/>
    </xf>
    <xf numFmtId="4" fontId="5" fillId="11" borderId="37" xfId="10" applyNumberFormat="1" applyFont="1" applyFill="1" applyBorder="1" applyAlignment="1">
      <alignment horizontal="center" vertical="center"/>
    </xf>
    <xf numFmtId="0" fontId="28" fillId="8" borderId="21" xfId="10" applyFont="1" applyFill="1" applyBorder="1" applyAlignment="1">
      <alignment horizontal="center" vertical="center" wrapText="1"/>
    </xf>
    <xf numFmtId="4" fontId="28" fillId="8" borderId="21" xfId="10" applyNumberFormat="1" applyFont="1" applyFill="1" applyBorder="1" applyAlignment="1">
      <alignment horizontal="right" vertical="center" wrapText="1"/>
    </xf>
    <xf numFmtId="3" fontId="28" fillId="8" borderId="21" xfId="10" applyNumberFormat="1" applyFont="1" applyFill="1" applyBorder="1" applyAlignment="1">
      <alignment horizontal="center" vertical="center" wrapText="1"/>
    </xf>
    <xf numFmtId="0" fontId="5" fillId="0" borderId="42" xfId="10" applyFont="1" applyBorder="1" applyAlignment="1">
      <alignment horizontal="left" vertical="center"/>
    </xf>
    <xf numFmtId="0" fontId="5" fillId="0" borderId="29" xfId="10" applyFont="1" applyBorder="1" applyAlignment="1">
      <alignment horizontal="left" vertical="center"/>
    </xf>
    <xf numFmtId="0" fontId="5" fillId="0" borderId="37" xfId="10" applyFont="1" applyBorder="1" applyAlignment="1">
      <alignment horizontal="left" vertical="center"/>
    </xf>
    <xf numFmtId="0" fontId="5" fillId="9" borderId="42" xfId="10" applyFont="1" applyFill="1" applyBorder="1" applyAlignment="1">
      <alignment horizontal="center" vertical="center"/>
    </xf>
    <xf numFmtId="0" fontId="5" fillId="9" borderId="29" xfId="10" applyFont="1" applyFill="1" applyBorder="1" applyAlignment="1">
      <alignment horizontal="center" vertical="center"/>
    </xf>
    <xf numFmtId="0" fontId="5" fillId="9" borderId="37" xfId="10" applyFont="1" applyFill="1" applyBorder="1" applyAlignment="1">
      <alignment horizontal="center" vertical="center"/>
    </xf>
    <xf numFmtId="4" fontId="29" fillId="11" borderId="42" xfId="10" applyNumberFormat="1" applyFont="1" applyFill="1" applyBorder="1" applyAlignment="1">
      <alignment horizontal="center" vertical="center"/>
    </xf>
    <xf numFmtId="4" fontId="29" fillId="11" borderId="29" xfId="10" applyNumberFormat="1" applyFont="1" applyFill="1" applyBorder="1" applyAlignment="1">
      <alignment horizontal="center" vertical="center"/>
    </xf>
    <xf numFmtId="4" fontId="29" fillId="11" borderId="37" xfId="10" applyNumberFormat="1" applyFont="1" applyFill="1" applyBorder="1" applyAlignment="1">
      <alignment horizontal="center" vertical="center"/>
    </xf>
    <xf numFmtId="4" fontId="30" fillId="10" borderId="42" xfId="10" applyNumberFormat="1" applyFont="1" applyFill="1" applyBorder="1" applyAlignment="1">
      <alignment horizontal="center" vertical="center"/>
    </xf>
    <xf numFmtId="4" fontId="30" fillId="10" borderId="29" xfId="10" applyNumberFormat="1" applyFont="1" applyFill="1" applyBorder="1" applyAlignment="1">
      <alignment horizontal="center" vertical="center"/>
    </xf>
    <xf numFmtId="4" fontId="30" fillId="10" borderId="37" xfId="10" applyNumberFormat="1" applyFont="1" applyFill="1" applyBorder="1" applyAlignment="1">
      <alignment horizontal="center" vertical="center"/>
    </xf>
    <xf numFmtId="4" fontId="29" fillId="11" borderId="38" xfId="10" applyNumberFormat="1" applyFont="1" applyFill="1" applyBorder="1" applyAlignment="1">
      <alignment horizontal="center" vertical="center"/>
    </xf>
    <xf numFmtId="3" fontId="28" fillId="8" borderId="18" xfId="10" applyNumberFormat="1" applyFont="1" applyFill="1" applyBorder="1" applyAlignment="1">
      <alignment horizontal="center" vertical="center" wrapText="1"/>
    </xf>
    <xf numFmtId="0" fontId="5" fillId="0" borderId="21" xfId="10" applyFont="1" applyBorder="1" applyAlignment="1">
      <alignment horizontal="left" vertical="center"/>
    </xf>
    <xf numFmtId="4" fontId="29" fillId="8" borderId="21" xfId="10" applyNumberFormat="1" applyFont="1" applyFill="1" applyBorder="1" applyAlignment="1">
      <alignment horizontal="right" vertical="center"/>
    </xf>
    <xf numFmtId="4" fontId="29" fillId="8" borderId="42" xfId="10" applyNumberFormat="1" applyFont="1" applyFill="1" applyBorder="1" applyAlignment="1">
      <alignment horizontal="right" vertical="center"/>
    </xf>
    <xf numFmtId="4" fontId="29" fillId="8" borderId="29" xfId="10" applyNumberFormat="1" applyFont="1" applyFill="1" applyBorder="1" applyAlignment="1">
      <alignment horizontal="right" vertical="center"/>
    </xf>
    <xf numFmtId="4" fontId="29" fillId="8" borderId="37" xfId="10" applyNumberFormat="1" applyFont="1" applyFill="1" applyBorder="1" applyAlignment="1">
      <alignment horizontal="right" vertical="center"/>
    </xf>
    <xf numFmtId="4" fontId="29" fillId="11" borderId="70" xfId="10" applyNumberFormat="1" applyFont="1" applyFill="1" applyBorder="1" applyAlignment="1">
      <alignment horizontal="center" vertical="center"/>
    </xf>
    <xf numFmtId="4" fontId="29" fillId="0" borderId="42" xfId="10" applyNumberFormat="1" applyFont="1" applyBorder="1" applyAlignment="1">
      <alignment horizontal="center" vertical="center"/>
    </xf>
    <xf numFmtId="4" fontId="29" fillId="0" borderId="29" xfId="10" applyNumberFormat="1" applyFont="1" applyBorder="1" applyAlignment="1">
      <alignment horizontal="center" vertical="center"/>
    </xf>
    <xf numFmtId="4" fontId="29" fillId="0" borderId="37" xfId="10" applyNumberFormat="1" applyFont="1" applyBorder="1" applyAlignment="1">
      <alignment horizontal="center" vertical="center"/>
    </xf>
    <xf numFmtId="4" fontId="28" fillId="8" borderId="21" xfId="10" applyNumberFormat="1" applyFont="1" applyFill="1" applyBorder="1" applyAlignment="1">
      <alignment horizontal="center" vertical="center" wrapText="1"/>
    </xf>
    <xf numFmtId="0" fontId="27" fillId="0" borderId="13" xfId="10" applyFont="1" applyBorder="1" applyAlignment="1">
      <alignment horizontal="center"/>
    </xf>
    <xf numFmtId="0" fontId="5" fillId="0" borderId="0" xfId="10" applyFont="1" applyAlignment="1">
      <alignment horizontal="center"/>
    </xf>
    <xf numFmtId="0" fontId="21" fillId="0" borderId="34" xfId="10" applyFont="1" applyBorder="1" applyAlignment="1">
      <alignment horizontal="center" vertical="center" wrapText="1"/>
    </xf>
    <xf numFmtId="0" fontId="28" fillId="8" borderId="18" xfId="10" applyFont="1" applyFill="1" applyBorder="1" applyAlignment="1">
      <alignment horizontal="center" vertical="center" wrapText="1"/>
    </xf>
    <xf numFmtId="4" fontId="28" fillId="8" borderId="18" xfId="10" applyNumberFormat="1" applyFont="1" applyFill="1" applyBorder="1" applyAlignment="1">
      <alignment horizontal="center" vertical="center" wrapText="1"/>
    </xf>
    <xf numFmtId="0" fontId="51" fillId="17" borderId="28" xfId="0" applyFont="1" applyFill="1" applyBorder="1" applyAlignment="1">
      <alignment horizontal="center" vertical="center" wrapText="1"/>
    </xf>
    <xf numFmtId="0" fontId="51" fillId="17" borderId="29" xfId="0" applyFont="1" applyFill="1" applyBorder="1" applyAlignment="1">
      <alignment horizontal="center" vertical="center" wrapText="1"/>
    </xf>
    <xf numFmtId="0" fontId="51" fillId="17" borderId="37" xfId="0" applyFont="1" applyFill="1" applyBorder="1" applyAlignment="1">
      <alignment horizontal="center" vertical="center" wrapText="1"/>
    </xf>
    <xf numFmtId="0" fontId="51" fillId="17" borderId="71" xfId="0" applyFont="1" applyFill="1" applyBorder="1" applyAlignment="1">
      <alignment horizontal="center" vertical="center" wrapText="1"/>
    </xf>
    <xf numFmtId="0" fontId="51" fillId="17" borderId="69" xfId="0" applyFont="1" applyFill="1" applyBorder="1" applyAlignment="1">
      <alignment horizontal="center" vertical="center" wrapText="1"/>
    </xf>
    <xf numFmtId="0" fontId="51" fillId="17" borderId="54" xfId="0" applyFont="1" applyFill="1" applyBorder="1" applyAlignment="1">
      <alignment horizontal="center" vertical="center" wrapText="1"/>
    </xf>
    <xf numFmtId="0" fontId="49" fillId="16" borderId="6" xfId="0" applyFont="1" applyFill="1" applyBorder="1" applyAlignment="1">
      <alignment horizontal="center" vertical="center" wrapText="1"/>
    </xf>
    <xf numFmtId="0" fontId="49" fillId="16" borderId="5" xfId="0" applyFont="1" applyFill="1" applyBorder="1" applyAlignment="1">
      <alignment horizontal="center" vertical="center" wrapText="1"/>
    </xf>
    <xf numFmtId="0" fontId="49" fillId="16" borderId="59" xfId="0" applyFont="1" applyFill="1" applyBorder="1" applyAlignment="1">
      <alignment horizontal="center" vertical="center" wrapText="1"/>
    </xf>
    <xf numFmtId="0" fontId="47" fillId="0" borderId="73" xfId="0" applyFont="1" applyBorder="1" applyAlignment="1">
      <alignment horizontal="center" vertical="center" wrapText="1"/>
    </xf>
    <xf numFmtId="0" fontId="47" fillId="0" borderId="57" xfId="0" applyFont="1" applyBorder="1" applyAlignment="1">
      <alignment horizontal="center" vertical="center" wrapText="1"/>
    </xf>
    <xf numFmtId="0" fontId="47" fillId="0" borderId="62" xfId="0" applyFont="1" applyBorder="1" applyAlignment="1">
      <alignment horizontal="center" vertical="center" wrapText="1"/>
    </xf>
    <xf numFmtId="3" fontId="51" fillId="16" borderId="19" xfId="0" applyNumberFormat="1" applyFont="1" applyFill="1" applyBorder="1" applyAlignment="1">
      <alignment horizontal="center" vertical="center" wrapText="1"/>
    </xf>
    <xf numFmtId="3" fontId="51" fillId="16" borderId="41" xfId="0" applyNumberFormat="1" applyFont="1" applyFill="1" applyBorder="1" applyAlignment="1">
      <alignment horizontal="center" vertical="center" wrapText="1"/>
    </xf>
    <xf numFmtId="0" fontId="51" fillId="17" borderId="50" xfId="0" applyFont="1" applyFill="1" applyBorder="1" applyAlignment="1">
      <alignment horizontal="center" vertical="center" wrapText="1"/>
    </xf>
    <xf numFmtId="0" fontId="51" fillId="17" borderId="38" xfId="0" applyFont="1" applyFill="1" applyBorder="1" applyAlignment="1">
      <alignment horizontal="center" vertical="center" wrapText="1"/>
    </xf>
    <xf numFmtId="0" fontId="51" fillId="17" borderId="45" xfId="0" applyFont="1" applyFill="1" applyBorder="1" applyAlignment="1">
      <alignment horizontal="center" vertical="center" wrapText="1"/>
    </xf>
    <xf numFmtId="0" fontId="43" fillId="16" borderId="19" xfId="0" applyFont="1" applyFill="1" applyBorder="1" applyAlignment="1">
      <alignment horizontal="center" vertical="center" wrapText="1"/>
    </xf>
    <xf numFmtId="0" fontId="43" fillId="16" borderId="41" xfId="0" applyFont="1" applyFill="1" applyBorder="1" applyAlignment="1">
      <alignment horizontal="center" vertical="center" wrapText="1"/>
    </xf>
    <xf numFmtId="0" fontId="42" fillId="16" borderId="45" xfId="0" applyFont="1" applyFill="1" applyBorder="1" applyAlignment="1">
      <alignment horizontal="center" vertical="center" wrapText="1"/>
    </xf>
    <xf numFmtId="0" fontId="42" fillId="16" borderId="44" xfId="0" applyFont="1" applyFill="1" applyBorder="1" applyAlignment="1">
      <alignment horizontal="center" vertical="center" wrapText="1"/>
    </xf>
    <xf numFmtId="0" fontId="43" fillId="16" borderId="45" xfId="0" applyFont="1" applyFill="1" applyBorder="1" applyAlignment="1">
      <alignment horizontal="center" vertical="center" wrapText="1"/>
    </xf>
    <xf numFmtId="0" fontId="43" fillId="16" borderId="44" xfId="0" applyFont="1" applyFill="1" applyBorder="1" applyAlignment="1">
      <alignment horizontal="center" vertical="center" wrapText="1"/>
    </xf>
    <xf numFmtId="0" fontId="49" fillId="16" borderId="18" xfId="0" applyFont="1" applyFill="1" applyBorder="1" applyAlignment="1">
      <alignment horizontal="center" vertical="center" wrapText="1"/>
    </xf>
    <xf numFmtId="0" fontId="49" fillId="16" borderId="40" xfId="0" applyFont="1" applyFill="1" applyBorder="1" applyAlignment="1">
      <alignment horizontal="center" vertical="center" wrapText="1"/>
    </xf>
    <xf numFmtId="0" fontId="48" fillId="0" borderId="0" xfId="0" applyFont="1" applyAlignment="1">
      <alignment horizontal="center" vertical="center" wrapText="1"/>
    </xf>
    <xf numFmtId="0" fontId="42" fillId="16" borderId="53" xfId="0" applyFont="1" applyFill="1" applyBorder="1" applyAlignment="1">
      <alignment horizontal="center" vertical="center" wrapText="1"/>
    </xf>
    <xf numFmtId="0" fontId="42" fillId="16" borderId="37" xfId="0" applyFont="1" applyFill="1" applyBorder="1" applyAlignment="1">
      <alignment horizontal="center" vertical="center" wrapText="1"/>
    </xf>
    <xf numFmtId="0" fontId="42" fillId="16" borderId="54" xfId="0" applyFont="1" applyFill="1" applyBorder="1" applyAlignment="1">
      <alignment horizontal="center" vertical="center" wrapText="1"/>
    </xf>
    <xf numFmtId="0" fontId="49" fillId="16" borderId="16" xfId="0" applyFont="1" applyFill="1" applyBorder="1" applyAlignment="1">
      <alignment horizontal="center" vertical="center" wrapText="1"/>
    </xf>
    <xf numFmtId="0" fontId="49" fillId="16" borderId="21" xfId="0" applyFont="1" applyFill="1" applyBorder="1" applyAlignment="1">
      <alignment horizontal="center" vertical="center" wrapText="1"/>
    </xf>
    <xf numFmtId="0" fontId="49" fillId="16" borderId="24" xfId="0" applyFont="1" applyFill="1" applyBorder="1" applyAlignment="1">
      <alignment horizontal="center" vertical="center" wrapText="1"/>
    </xf>
    <xf numFmtId="3" fontId="51" fillId="16" borderId="17" xfId="0" applyNumberFormat="1" applyFont="1" applyFill="1" applyBorder="1" applyAlignment="1">
      <alignment horizontal="center" vertical="center" wrapText="1"/>
    </xf>
    <xf numFmtId="3" fontId="51" fillId="16" borderId="22" xfId="0" applyNumberFormat="1" applyFont="1" applyFill="1" applyBorder="1" applyAlignment="1">
      <alignment horizontal="center" vertical="center" wrapText="1"/>
    </xf>
    <xf numFmtId="3" fontId="51" fillId="16" borderId="25" xfId="0" applyNumberFormat="1" applyFont="1" applyFill="1" applyBorder="1" applyAlignment="1">
      <alignment horizontal="center" vertical="center" wrapText="1"/>
    </xf>
    <xf numFmtId="0" fontId="42" fillId="13" borderId="63" xfId="0" applyFont="1" applyFill="1" applyBorder="1" applyAlignment="1">
      <alignment horizontal="center" vertical="center" wrapText="1"/>
    </xf>
    <xf numFmtId="0" fontId="42" fillId="13" borderId="64" xfId="0" applyFont="1" applyFill="1" applyBorder="1" applyAlignment="1">
      <alignment horizontal="center" vertical="center" wrapText="1"/>
    </xf>
    <xf numFmtId="0" fontId="43" fillId="16" borderId="17" xfId="0" applyFont="1" applyFill="1" applyBorder="1" applyAlignment="1">
      <alignment horizontal="center" vertical="center" wrapText="1"/>
    </xf>
    <xf numFmtId="0" fontId="43" fillId="16" borderId="22" xfId="0" applyFont="1" applyFill="1" applyBorder="1" applyAlignment="1">
      <alignment horizontal="center" vertical="center" wrapText="1"/>
    </xf>
    <xf numFmtId="0" fontId="43" fillId="16" borderId="25" xfId="0" applyFont="1" applyFill="1" applyBorder="1" applyAlignment="1">
      <alignment horizontal="center" vertical="center" wrapText="1"/>
    </xf>
    <xf numFmtId="0" fontId="43" fillId="16" borderId="53" xfId="0" applyFont="1" applyFill="1" applyBorder="1" applyAlignment="1">
      <alignment horizontal="center" vertical="center" wrapText="1"/>
    </xf>
    <xf numFmtId="0" fontId="43" fillId="16" borderId="37" xfId="0" applyFont="1" applyFill="1" applyBorder="1" applyAlignment="1">
      <alignment horizontal="center" vertical="center" wrapText="1"/>
    </xf>
    <xf numFmtId="0" fontId="43" fillId="16" borderId="54" xfId="0" applyFont="1" applyFill="1" applyBorder="1" applyAlignment="1">
      <alignment horizontal="center" vertical="center" wrapText="1"/>
    </xf>
    <xf numFmtId="3" fontId="51" fillId="16" borderId="66" xfId="0" applyNumberFormat="1" applyFont="1" applyFill="1" applyBorder="1" applyAlignment="1">
      <alignment horizontal="center" vertical="center" wrapText="1"/>
    </xf>
    <xf numFmtId="3" fontId="51" fillId="16" borderId="56" xfId="0" applyNumberFormat="1" applyFont="1" applyFill="1" applyBorder="1" applyAlignment="1">
      <alignment horizontal="center" vertical="center" wrapText="1"/>
    </xf>
    <xf numFmtId="3" fontId="51" fillId="16" borderId="67" xfId="0" applyNumberFormat="1" applyFont="1" applyFill="1" applyBorder="1" applyAlignment="1">
      <alignment horizontal="center" vertical="center" wrapText="1"/>
    </xf>
    <xf numFmtId="0" fontId="48" fillId="0" borderId="72" xfId="0" applyFont="1" applyBorder="1" applyAlignment="1">
      <alignment horizontal="center" vertical="center" textRotation="90" wrapText="1"/>
    </xf>
    <xf numFmtId="0" fontId="48" fillId="0" borderId="55" xfId="0" applyFont="1" applyBorder="1" applyAlignment="1">
      <alignment horizontal="center" vertical="center" textRotation="90" wrapText="1"/>
    </xf>
    <xf numFmtId="0" fontId="48" fillId="0" borderId="74" xfId="0" applyFont="1" applyBorder="1" applyAlignment="1">
      <alignment horizontal="center" vertical="center" textRotation="90" wrapText="1"/>
    </xf>
    <xf numFmtId="3" fontId="51" fillId="18" borderId="66" xfId="0" applyNumberFormat="1" applyFont="1" applyFill="1" applyBorder="1" applyAlignment="1">
      <alignment horizontal="center" vertical="center" wrapText="1"/>
    </xf>
    <xf numFmtId="3" fontId="51" fillId="18" borderId="56" xfId="0" applyNumberFormat="1" applyFont="1" applyFill="1" applyBorder="1" applyAlignment="1">
      <alignment horizontal="center" vertical="center" wrapText="1"/>
    </xf>
    <xf numFmtId="3" fontId="51" fillId="18" borderId="67" xfId="0" applyNumberFormat="1" applyFont="1" applyFill="1" applyBorder="1" applyAlignment="1">
      <alignment horizontal="center" vertical="center" wrapText="1"/>
    </xf>
    <xf numFmtId="3" fontId="49" fillId="16" borderId="40" xfId="0" applyNumberFormat="1" applyFont="1" applyFill="1" applyBorder="1" applyAlignment="1">
      <alignment horizontal="center" vertical="center" wrapText="1"/>
    </xf>
    <xf numFmtId="3" fontId="49" fillId="16" borderId="46" xfId="0" applyNumberFormat="1" applyFont="1" applyFill="1" applyBorder="1" applyAlignment="1">
      <alignment horizontal="center" vertical="center" wrapText="1"/>
    </xf>
    <xf numFmtId="3" fontId="49" fillId="16" borderId="68" xfId="0" applyNumberFormat="1" applyFont="1" applyFill="1" applyBorder="1" applyAlignment="1">
      <alignment horizontal="center" vertical="center" wrapText="1"/>
    </xf>
    <xf numFmtId="3" fontId="49" fillId="18" borderId="58" xfId="0" applyNumberFormat="1" applyFont="1" applyFill="1" applyBorder="1" applyAlignment="1">
      <alignment horizontal="center" vertical="center" wrapText="1"/>
    </xf>
    <xf numFmtId="3" fontId="49" fillId="18" borderId="46" xfId="0" applyNumberFormat="1" applyFont="1" applyFill="1" applyBorder="1" applyAlignment="1">
      <alignment horizontal="center" vertical="center" wrapText="1"/>
    </xf>
    <xf numFmtId="3" fontId="49" fillId="18" borderId="68" xfId="0" applyNumberFormat="1" applyFont="1" applyFill="1" applyBorder="1" applyAlignment="1">
      <alignment horizontal="center" vertical="center" wrapText="1"/>
    </xf>
    <xf numFmtId="3" fontId="49" fillId="16" borderId="58" xfId="0" applyNumberFormat="1" applyFont="1" applyFill="1" applyBorder="1" applyAlignment="1">
      <alignment horizontal="center" vertical="center" wrapText="1"/>
    </xf>
    <xf numFmtId="3" fontId="49" fillId="16" borderId="18" xfId="0" applyNumberFormat="1" applyFont="1" applyFill="1" applyBorder="1" applyAlignment="1">
      <alignment horizontal="center" vertical="center" wrapText="1"/>
    </xf>
    <xf numFmtId="0" fontId="43" fillId="16" borderId="21" xfId="0" applyFont="1" applyFill="1" applyBorder="1" applyAlignment="1">
      <alignment horizontal="center" vertical="center" wrapText="1"/>
    </xf>
    <xf numFmtId="0" fontId="43" fillId="16" borderId="24" xfId="0" applyFont="1" applyFill="1" applyBorder="1" applyAlignment="1">
      <alignment horizontal="center" vertical="center" wrapText="1"/>
    </xf>
    <xf numFmtId="0" fontId="49" fillId="18" borderId="15" xfId="0" applyFont="1" applyFill="1" applyBorder="1" applyAlignment="1">
      <alignment horizontal="center" vertical="center" wrapText="1"/>
    </xf>
    <xf numFmtId="0" fontId="49" fillId="18" borderId="20" xfId="0" applyFont="1" applyFill="1" applyBorder="1" applyAlignment="1">
      <alignment horizontal="center" vertical="center" wrapText="1"/>
    </xf>
    <xf numFmtId="0" fontId="49" fillId="18" borderId="23" xfId="0" applyFont="1" applyFill="1" applyBorder="1" applyAlignment="1">
      <alignment horizontal="center" vertical="center" wrapText="1"/>
    </xf>
    <xf numFmtId="0" fontId="44" fillId="18" borderId="16" xfId="0" applyFont="1" applyFill="1" applyBorder="1" applyAlignment="1">
      <alignment horizontal="center" vertical="center" wrapText="1"/>
    </xf>
    <xf numFmtId="0" fontId="44" fillId="18" borderId="21" xfId="0" applyFont="1" applyFill="1" applyBorder="1" applyAlignment="1">
      <alignment horizontal="center" vertical="center" wrapText="1"/>
    </xf>
    <xf numFmtId="0" fontId="44" fillId="18" borderId="24" xfId="0" applyFont="1" applyFill="1" applyBorder="1" applyAlignment="1">
      <alignment horizontal="center" vertical="center" wrapText="1"/>
    </xf>
    <xf numFmtId="0" fontId="43" fillId="16" borderId="40" xfId="0" applyFont="1" applyFill="1" applyBorder="1" applyAlignment="1">
      <alignment horizontal="center" vertical="center" wrapText="1"/>
    </xf>
    <xf numFmtId="0" fontId="43" fillId="16" borderId="46" xfId="0" applyFont="1" applyFill="1" applyBorder="1" applyAlignment="1">
      <alignment horizontal="center" vertical="center" wrapText="1"/>
    </xf>
    <xf numFmtId="0" fontId="43" fillId="16" borderId="68" xfId="0" applyFont="1" applyFill="1" applyBorder="1" applyAlignment="1">
      <alignment horizontal="center" vertical="center" wrapText="1"/>
    </xf>
    <xf numFmtId="0" fontId="49" fillId="16" borderId="46" xfId="0" applyFont="1" applyFill="1" applyBorder="1" applyAlignment="1">
      <alignment horizontal="center" vertical="center" wrapText="1"/>
    </xf>
    <xf numFmtId="0" fontId="49" fillId="16" borderId="68" xfId="0" applyFont="1" applyFill="1" applyBorder="1" applyAlignment="1">
      <alignment horizontal="center" vertical="center" wrapText="1"/>
    </xf>
    <xf numFmtId="0" fontId="49" fillId="18" borderId="58" xfId="0" applyFont="1" applyFill="1" applyBorder="1" applyAlignment="1">
      <alignment horizontal="center" vertical="center" wrapText="1"/>
    </xf>
    <xf numFmtId="0" fontId="49" fillId="18" borderId="46" xfId="0" applyFont="1" applyFill="1" applyBorder="1" applyAlignment="1">
      <alignment horizontal="center" vertical="center" wrapText="1"/>
    </xf>
    <xf numFmtId="0" fontId="49" fillId="18" borderId="68" xfId="0" applyFont="1" applyFill="1" applyBorder="1" applyAlignment="1">
      <alignment horizontal="center" vertical="center" wrapText="1"/>
    </xf>
    <xf numFmtId="0" fontId="48" fillId="20" borderId="15" xfId="0" applyFont="1" applyFill="1" applyBorder="1" applyAlignment="1">
      <alignment horizontal="center" vertical="center" textRotation="90" wrapText="1"/>
    </xf>
    <xf numFmtId="0" fontId="48" fillId="20" borderId="20" xfId="0" applyFont="1" applyFill="1" applyBorder="1" applyAlignment="1">
      <alignment horizontal="center" vertical="center" textRotation="90" wrapText="1"/>
    </xf>
    <xf numFmtId="0" fontId="48" fillId="20" borderId="23" xfId="0" applyFont="1" applyFill="1" applyBorder="1" applyAlignment="1">
      <alignment horizontal="center" vertical="center" textRotation="90" wrapText="1"/>
    </xf>
    <xf numFmtId="0" fontId="47" fillId="20" borderId="49" xfId="0" applyFont="1" applyFill="1" applyBorder="1" applyAlignment="1">
      <alignment horizontal="center" vertical="center" wrapText="1"/>
    </xf>
    <xf numFmtId="0" fontId="47" fillId="20" borderId="42" xfId="0" applyFont="1" applyFill="1" applyBorder="1" applyAlignment="1">
      <alignment horizontal="center" vertical="center" wrapText="1"/>
    </xf>
    <xf numFmtId="0" fontId="47" fillId="20" borderId="51" xfId="0" applyFont="1" applyFill="1" applyBorder="1" applyAlignment="1">
      <alignment horizontal="center" vertical="center" wrapText="1"/>
    </xf>
    <xf numFmtId="0" fontId="49" fillId="16" borderId="15" xfId="0" applyFont="1" applyFill="1" applyBorder="1" applyAlignment="1">
      <alignment horizontal="center" vertical="center" wrapText="1"/>
    </xf>
    <xf numFmtId="0" fontId="49" fillId="16" borderId="20" xfId="0" applyFont="1" applyFill="1" applyBorder="1" applyAlignment="1">
      <alignment horizontal="center" vertical="center" wrapText="1"/>
    </xf>
    <xf numFmtId="0" fontId="49" fillId="16" borderId="23" xfId="0" applyFont="1" applyFill="1" applyBorder="1" applyAlignment="1">
      <alignment horizontal="center" vertical="center" wrapText="1"/>
    </xf>
    <xf numFmtId="0" fontId="43" fillId="16" borderId="16" xfId="0" applyFont="1" applyFill="1" applyBorder="1" applyAlignment="1">
      <alignment horizontal="center" vertical="center" wrapText="1"/>
    </xf>
    <xf numFmtId="3" fontId="55" fillId="16" borderId="46" xfId="0" applyNumberFormat="1" applyFont="1" applyFill="1" applyBorder="1" applyAlignment="1">
      <alignment horizontal="center" vertical="center" wrapText="1"/>
    </xf>
    <xf numFmtId="3" fontId="55" fillId="16" borderId="18" xfId="0" applyNumberFormat="1" applyFont="1" applyFill="1" applyBorder="1" applyAlignment="1">
      <alignment horizontal="center" vertical="center" wrapText="1"/>
    </xf>
    <xf numFmtId="3" fontId="48" fillId="16" borderId="19" xfId="0" applyNumberFormat="1" applyFont="1" applyFill="1" applyBorder="1" applyAlignment="1">
      <alignment horizontal="center" vertical="center" wrapText="1"/>
    </xf>
    <xf numFmtId="3" fontId="48" fillId="16" borderId="22" xfId="0" applyNumberFormat="1" applyFont="1" applyFill="1" applyBorder="1" applyAlignment="1">
      <alignment horizontal="center" vertical="center" wrapText="1"/>
    </xf>
    <xf numFmtId="0" fontId="48" fillId="20" borderId="48" xfId="0" applyFont="1" applyFill="1" applyBorder="1" applyAlignment="1">
      <alignment horizontal="center" vertical="center" textRotation="90" wrapText="1"/>
    </xf>
    <xf numFmtId="0" fontId="53" fillId="20" borderId="36" xfId="0" applyFont="1" applyFill="1" applyBorder="1" applyAlignment="1">
      <alignment horizontal="center" vertical="center" wrapText="1"/>
    </xf>
    <xf numFmtId="0" fontId="53" fillId="20" borderId="42" xfId="0" applyFont="1" applyFill="1" applyBorder="1" applyAlignment="1">
      <alignment horizontal="center" vertical="center" wrapText="1"/>
    </xf>
    <xf numFmtId="0" fontId="53" fillId="20" borderId="51" xfId="0" applyFont="1" applyFill="1" applyBorder="1" applyAlignment="1">
      <alignment horizontal="center" vertical="center" wrapText="1"/>
    </xf>
    <xf numFmtId="0" fontId="52" fillId="16" borderId="48" xfId="0" applyFont="1" applyFill="1" applyBorder="1" applyAlignment="1">
      <alignment horizontal="center" vertical="center" wrapText="1"/>
    </xf>
    <xf numFmtId="0" fontId="52" fillId="16" borderId="20" xfId="0" applyFont="1" applyFill="1" applyBorder="1" applyAlignment="1">
      <alignment horizontal="center" vertical="center" wrapText="1"/>
    </xf>
    <xf numFmtId="0" fontId="52" fillId="16" borderId="39" xfId="0" applyFont="1" applyFill="1" applyBorder="1" applyAlignment="1">
      <alignment horizontal="center" vertical="center" wrapText="1"/>
    </xf>
    <xf numFmtId="0" fontId="52" fillId="16" borderId="18" xfId="0" applyFont="1" applyFill="1" applyBorder="1" applyAlignment="1">
      <alignment horizontal="center" vertical="center" wrapText="1"/>
    </xf>
    <xf numFmtId="0" fontId="52" fillId="16" borderId="21" xfId="0" applyFont="1" applyFill="1" applyBorder="1" applyAlignment="1">
      <alignment horizontal="center" vertical="center" wrapText="1"/>
    </xf>
    <xf numFmtId="3" fontId="55" fillId="16" borderId="40" xfId="0" applyNumberFormat="1" applyFont="1" applyFill="1" applyBorder="1" applyAlignment="1">
      <alignment horizontal="center" vertical="center" wrapText="1"/>
    </xf>
    <xf numFmtId="0" fontId="52" fillId="16" borderId="40" xfId="0" applyFont="1" applyFill="1" applyBorder="1" applyAlignment="1">
      <alignment horizontal="center" vertical="center" wrapText="1"/>
    </xf>
    <xf numFmtId="3" fontId="48" fillId="16" borderId="41" xfId="0" applyNumberFormat="1" applyFont="1" applyFill="1" applyBorder="1" applyAlignment="1">
      <alignment horizontal="center" vertical="center" wrapText="1"/>
    </xf>
    <xf numFmtId="3" fontId="48" fillId="16" borderId="56" xfId="0" applyNumberFormat="1" applyFont="1" applyFill="1" applyBorder="1" applyAlignment="1">
      <alignment horizontal="center" vertical="center" wrapText="1"/>
    </xf>
    <xf numFmtId="3" fontId="48" fillId="18" borderId="66" xfId="0" applyNumberFormat="1" applyFont="1" applyFill="1" applyBorder="1" applyAlignment="1">
      <alignment horizontal="center" vertical="center" wrapText="1"/>
    </xf>
    <xf numFmtId="3" fontId="48" fillId="18" borderId="56" xfId="0" applyNumberFormat="1" applyFont="1" applyFill="1" applyBorder="1" applyAlignment="1">
      <alignment horizontal="center" vertical="center" wrapText="1"/>
    </xf>
    <xf numFmtId="3" fontId="48" fillId="18" borderId="67" xfId="0" applyNumberFormat="1" applyFont="1" applyFill="1" applyBorder="1" applyAlignment="1">
      <alignment horizontal="center" vertical="center" wrapText="1"/>
    </xf>
    <xf numFmtId="0" fontId="48" fillId="17" borderId="50" xfId="0" applyFont="1" applyFill="1" applyBorder="1" applyAlignment="1">
      <alignment horizontal="center" vertical="center" wrapText="1"/>
    </xf>
    <xf numFmtId="0" fontId="48" fillId="17" borderId="38" xfId="0" applyFont="1" applyFill="1" applyBorder="1" applyAlignment="1">
      <alignment horizontal="center" vertical="center" wrapText="1"/>
    </xf>
    <xf numFmtId="0" fontId="48" fillId="17" borderId="28" xfId="0" applyFont="1" applyFill="1" applyBorder="1" applyAlignment="1">
      <alignment horizontal="center" vertical="center" wrapText="1"/>
    </xf>
    <xf numFmtId="0" fontId="48" fillId="17" borderId="29" xfId="0" applyFont="1" applyFill="1" applyBorder="1" applyAlignment="1">
      <alignment horizontal="center" vertical="center" wrapText="1"/>
    </xf>
    <xf numFmtId="0" fontId="52" fillId="18" borderId="15" xfId="0" applyFont="1" applyFill="1" applyBorder="1" applyAlignment="1">
      <alignment horizontal="center" vertical="center" wrapText="1"/>
    </xf>
    <xf numFmtId="0" fontId="52" fillId="18" borderId="20" xfId="0" applyFont="1" applyFill="1" applyBorder="1" applyAlignment="1">
      <alignment horizontal="center" vertical="center" wrapText="1"/>
    </xf>
    <xf numFmtId="0" fontId="52" fillId="18" borderId="23" xfId="0" applyFont="1" applyFill="1" applyBorder="1" applyAlignment="1">
      <alignment horizontal="center" vertical="center" wrapText="1"/>
    </xf>
    <xf numFmtId="0" fontId="53" fillId="18" borderId="16" xfId="0" applyFont="1" applyFill="1" applyBorder="1" applyAlignment="1">
      <alignment horizontal="center" vertical="center" wrapText="1"/>
    </xf>
    <xf numFmtId="0" fontId="53" fillId="18" borderId="21" xfId="0" applyFont="1" applyFill="1" applyBorder="1" applyAlignment="1">
      <alignment horizontal="center" vertical="center" wrapText="1"/>
    </xf>
    <xf numFmtId="0" fontId="53" fillId="18" borderId="24" xfId="0" applyFont="1" applyFill="1" applyBorder="1" applyAlignment="1">
      <alignment horizontal="center" vertical="center" wrapText="1"/>
    </xf>
    <xf numFmtId="3" fontId="55" fillId="18" borderId="58" xfId="0" applyNumberFormat="1" applyFont="1" applyFill="1" applyBorder="1" applyAlignment="1">
      <alignment horizontal="center" vertical="center" wrapText="1"/>
    </xf>
    <xf numFmtId="3" fontId="55" fillId="18" borderId="46" xfId="0" applyNumberFormat="1" applyFont="1" applyFill="1" applyBorder="1" applyAlignment="1">
      <alignment horizontal="center" vertical="center" wrapText="1"/>
    </xf>
    <xf numFmtId="3" fontId="55" fillId="18" borderId="68" xfId="0" applyNumberFormat="1" applyFont="1" applyFill="1" applyBorder="1" applyAlignment="1">
      <alignment horizontal="center" vertical="center" wrapText="1"/>
    </xf>
    <xf numFmtId="0" fontId="48" fillId="17" borderId="71" xfId="0" applyFont="1" applyFill="1" applyBorder="1" applyAlignment="1">
      <alignment horizontal="center" vertical="center" wrapText="1"/>
    </xf>
    <xf numFmtId="0" fontId="48" fillId="17" borderId="69" xfId="0" applyFont="1" applyFill="1" applyBorder="1" applyAlignment="1">
      <alignment horizontal="center" vertical="center" wrapText="1"/>
    </xf>
    <xf numFmtId="0" fontId="96" fillId="0" borderId="20" xfId="0" applyFont="1" applyBorder="1" applyAlignment="1">
      <alignment horizontal="center" vertical="center" wrapText="1"/>
    </xf>
    <xf numFmtId="0" fontId="96" fillId="0" borderId="21" xfId="0" applyFont="1" applyBorder="1" applyAlignment="1">
      <alignment horizontal="center" vertical="center" wrapText="1"/>
    </xf>
    <xf numFmtId="0" fontId="96" fillId="26" borderId="21" xfId="0" applyFont="1" applyFill="1" applyBorder="1" applyAlignment="1">
      <alignment horizontal="center" vertical="center" wrapText="1"/>
    </xf>
    <xf numFmtId="0" fontId="96" fillId="28" borderId="21" xfId="0" applyFont="1" applyFill="1" applyBorder="1" applyAlignment="1">
      <alignment horizontal="center" vertical="center" wrapText="1"/>
    </xf>
    <xf numFmtId="0" fontId="96" fillId="25" borderId="21" xfId="0" applyFont="1" applyFill="1" applyBorder="1" applyAlignment="1">
      <alignment horizontal="center" vertical="center" wrapText="1"/>
    </xf>
    <xf numFmtId="0" fontId="96" fillId="17" borderId="21" xfId="0" applyFont="1" applyFill="1" applyBorder="1" applyAlignment="1">
      <alignment horizontal="center" vertical="center" wrapText="1"/>
    </xf>
    <xf numFmtId="0" fontId="47" fillId="0" borderId="20" xfId="0" applyFont="1" applyBorder="1" applyAlignment="1">
      <alignment horizontal="center" vertical="center" wrapText="1"/>
    </xf>
    <xf numFmtId="0" fontId="47" fillId="0" borderId="23" xfId="0" applyFont="1" applyBorder="1" applyAlignment="1">
      <alignment horizontal="center" vertical="center" wrapText="1"/>
    </xf>
    <xf numFmtId="0" fontId="96" fillId="33" borderId="21" xfId="0" applyFont="1" applyFill="1" applyBorder="1" applyAlignment="1">
      <alignment horizontal="center" vertical="center" wrapText="1"/>
    </xf>
    <xf numFmtId="0" fontId="47" fillId="0" borderId="21" xfId="0" applyFont="1" applyBorder="1" applyAlignment="1">
      <alignment horizontal="center" vertical="center" wrapText="1"/>
    </xf>
    <xf numFmtId="0" fontId="47" fillId="0" borderId="24" xfId="0" applyFont="1" applyBorder="1" applyAlignment="1">
      <alignment horizontal="center" vertical="center" wrapText="1"/>
    </xf>
    <xf numFmtId="0" fontId="47" fillId="27" borderId="21" xfId="0" applyFont="1" applyFill="1" applyBorder="1" applyAlignment="1">
      <alignment horizontal="center" vertical="center" wrapText="1"/>
    </xf>
    <xf numFmtId="0" fontId="47" fillId="27" borderId="24" xfId="0" applyFont="1" applyFill="1" applyBorder="1" applyAlignment="1">
      <alignment horizontal="center" vertical="center" wrapText="1"/>
    </xf>
    <xf numFmtId="0" fontId="96" fillId="3" borderId="21" xfId="0" applyFont="1" applyFill="1" applyBorder="1" applyAlignment="1">
      <alignment horizontal="center" vertical="center" wrapText="1"/>
    </xf>
    <xf numFmtId="0" fontId="96" fillId="13" borderId="21" xfId="0" applyFont="1" applyFill="1" applyBorder="1" applyAlignment="1">
      <alignment horizontal="center" vertical="center" wrapText="1"/>
    </xf>
    <xf numFmtId="3" fontId="95" fillId="24" borderId="22" xfId="0" applyNumberFormat="1" applyFont="1" applyFill="1" applyBorder="1" applyAlignment="1">
      <alignment horizontal="center" vertical="center" wrapText="1"/>
    </xf>
    <xf numFmtId="0" fontId="96" fillId="32" borderId="21" xfId="0" applyFont="1" applyFill="1" applyBorder="1" applyAlignment="1">
      <alignment horizontal="center" vertical="center" wrapText="1"/>
    </xf>
    <xf numFmtId="0" fontId="96" fillId="29" borderId="21" xfId="0" applyFont="1" applyFill="1" applyBorder="1" applyAlignment="1">
      <alignment horizontal="center" vertical="center" wrapText="1"/>
    </xf>
    <xf numFmtId="0" fontId="96" fillId="30" borderId="21" xfId="0" applyFont="1" applyFill="1" applyBorder="1" applyAlignment="1">
      <alignment horizontal="center" vertical="center" wrapText="1"/>
    </xf>
    <xf numFmtId="0" fontId="96" fillId="31" borderId="21" xfId="0" applyFont="1" applyFill="1" applyBorder="1" applyAlignment="1">
      <alignment horizontal="center" vertical="center" wrapText="1"/>
    </xf>
    <xf numFmtId="0" fontId="96" fillId="24" borderId="21" xfId="0" applyFont="1" applyFill="1" applyBorder="1" applyAlignment="1">
      <alignment horizontal="center" vertical="center" wrapText="1"/>
    </xf>
    <xf numFmtId="3" fontId="96" fillId="3" borderId="21" xfId="0" applyNumberFormat="1" applyFont="1" applyFill="1" applyBorder="1" applyAlignment="1">
      <alignment horizontal="center" vertical="center" wrapText="1"/>
    </xf>
    <xf numFmtId="3" fontId="95" fillId="13" borderId="22" xfId="0" applyNumberFormat="1" applyFont="1" applyFill="1" applyBorder="1" applyAlignment="1">
      <alignment horizontal="center" vertical="center" wrapText="1"/>
    </xf>
    <xf numFmtId="3" fontId="95" fillId="17" borderId="22" xfId="0" applyNumberFormat="1" applyFont="1" applyFill="1" applyBorder="1" applyAlignment="1">
      <alignment horizontal="center" vertical="center" wrapText="1"/>
    </xf>
    <xf numFmtId="3" fontId="95" fillId="28" borderId="22" xfId="0" applyNumberFormat="1" applyFont="1" applyFill="1" applyBorder="1" applyAlignment="1">
      <alignment horizontal="center" vertical="center" wrapText="1"/>
    </xf>
    <xf numFmtId="3" fontId="95" fillId="25" borderId="22" xfId="0" applyNumberFormat="1" applyFont="1" applyFill="1" applyBorder="1" applyAlignment="1">
      <alignment horizontal="center" vertical="center" wrapText="1"/>
    </xf>
    <xf numFmtId="3" fontId="96" fillId="13" borderId="21" xfId="0" applyNumberFormat="1" applyFont="1" applyFill="1" applyBorder="1" applyAlignment="1">
      <alignment horizontal="center" vertical="center" wrapText="1"/>
    </xf>
    <xf numFmtId="0" fontId="95" fillId="5" borderId="15" xfId="0" applyFont="1" applyFill="1" applyBorder="1" applyAlignment="1">
      <alignment horizontal="center" vertical="center" wrapText="1"/>
    </xf>
    <xf numFmtId="0" fontId="95" fillId="5" borderId="16" xfId="0" applyFont="1" applyFill="1" applyBorder="1" applyAlignment="1">
      <alignment horizontal="center" vertical="center" wrapText="1"/>
    </xf>
    <xf numFmtId="0" fontId="95" fillId="5" borderId="20" xfId="0" applyFont="1" applyFill="1" applyBorder="1" applyAlignment="1">
      <alignment horizontal="center" vertical="center" wrapText="1"/>
    </xf>
    <xf numFmtId="0" fontId="95" fillId="5" borderId="21" xfId="0" applyFont="1" applyFill="1" applyBorder="1" applyAlignment="1">
      <alignment horizontal="center" vertical="center" wrapText="1"/>
    </xf>
    <xf numFmtId="0" fontId="95" fillId="5" borderId="23" xfId="0" applyFont="1" applyFill="1" applyBorder="1" applyAlignment="1">
      <alignment horizontal="center" vertical="center" wrapText="1"/>
    </xf>
    <xf numFmtId="0" fontId="95" fillId="5" borderId="24" xfId="0" applyFont="1" applyFill="1" applyBorder="1" applyAlignment="1">
      <alignment horizontal="center" vertical="center" wrapText="1"/>
    </xf>
    <xf numFmtId="0" fontId="95" fillId="0" borderId="16" xfId="0" applyFont="1" applyBorder="1" applyAlignment="1">
      <alignment horizontal="center" vertical="center" wrapText="1"/>
    </xf>
    <xf numFmtId="0" fontId="95" fillId="0" borderId="0" xfId="0" applyFont="1" applyAlignment="1">
      <alignment horizontal="center" vertical="center" wrapText="1"/>
    </xf>
    <xf numFmtId="3" fontId="95" fillId="3" borderId="22" xfId="0" applyNumberFormat="1" applyFont="1" applyFill="1" applyBorder="1" applyAlignment="1">
      <alignment horizontal="center" vertical="center" wrapText="1"/>
    </xf>
    <xf numFmtId="3" fontId="95" fillId="27" borderId="22" xfId="0" applyNumberFormat="1" applyFont="1" applyFill="1" applyBorder="1" applyAlignment="1">
      <alignment horizontal="center" vertical="center" wrapText="1"/>
    </xf>
    <xf numFmtId="3" fontId="95" fillId="27" borderId="41" xfId="0" applyNumberFormat="1" applyFont="1" applyFill="1" applyBorder="1" applyAlignment="1">
      <alignment horizontal="center" vertical="center" wrapText="1"/>
    </xf>
    <xf numFmtId="3" fontId="95" fillId="26" borderId="22" xfId="0" applyNumberFormat="1" applyFont="1" applyFill="1" applyBorder="1" applyAlignment="1">
      <alignment horizontal="center" vertical="center" wrapText="1"/>
    </xf>
    <xf numFmtId="3" fontId="95" fillId="29" borderId="22" xfId="0" applyNumberFormat="1" applyFont="1" applyFill="1" applyBorder="1" applyAlignment="1">
      <alignment horizontal="center" vertical="center" wrapText="1"/>
    </xf>
    <xf numFmtId="3" fontId="95" fillId="30" borderId="22" xfId="0" applyNumberFormat="1" applyFont="1" applyFill="1" applyBorder="1" applyAlignment="1">
      <alignment horizontal="center" vertical="center" wrapText="1"/>
    </xf>
    <xf numFmtId="3" fontId="95" fillId="31" borderId="22" xfId="0" applyNumberFormat="1" applyFont="1" applyFill="1" applyBorder="1" applyAlignment="1">
      <alignment horizontal="center" vertical="center" wrapText="1"/>
    </xf>
    <xf numFmtId="3" fontId="95" fillId="32" borderId="22" xfId="0" applyNumberFormat="1" applyFont="1" applyFill="1" applyBorder="1" applyAlignment="1">
      <alignment horizontal="center" vertical="center" wrapText="1"/>
    </xf>
    <xf numFmtId="3" fontId="95" fillId="33" borderId="22" xfId="0" applyNumberFormat="1" applyFont="1" applyFill="1" applyBorder="1" applyAlignment="1">
      <alignment horizontal="center" vertical="center" wrapText="1"/>
    </xf>
    <xf numFmtId="3" fontId="95" fillId="0" borderId="30" xfId="0" applyNumberFormat="1" applyFont="1" applyBorder="1" applyAlignment="1">
      <alignment horizontal="center" vertical="center" wrapText="1"/>
    </xf>
    <xf numFmtId="3" fontId="95" fillId="0" borderId="31" xfId="0" applyNumberFormat="1" applyFont="1" applyBorder="1" applyAlignment="1">
      <alignment horizontal="center" vertical="center" wrapText="1"/>
    </xf>
    <xf numFmtId="0" fontId="60" fillId="0" borderId="0" xfId="0" applyFont="1" applyAlignment="1">
      <alignment horizontal="left" vertical="center" wrapText="1"/>
    </xf>
    <xf numFmtId="3" fontId="48" fillId="0" borderId="57" xfId="0" applyNumberFormat="1" applyFont="1" applyBorder="1" applyAlignment="1">
      <alignment horizontal="left" vertical="center" wrapText="1"/>
    </xf>
    <xf numFmtId="3" fontId="48" fillId="0" borderId="0" xfId="0" applyNumberFormat="1" applyFont="1" applyAlignment="1">
      <alignment horizontal="left" vertical="center" wrapText="1"/>
    </xf>
    <xf numFmtId="3" fontId="48" fillId="0" borderId="47" xfId="0" applyNumberFormat="1" applyFont="1" applyBorder="1" applyAlignment="1">
      <alignment horizontal="left" vertical="center" wrapText="1"/>
    </xf>
    <xf numFmtId="0" fontId="60" fillId="0" borderId="0" xfId="0" applyFont="1" applyAlignment="1">
      <alignment horizontal="center" vertical="center" wrapText="1"/>
    </xf>
    <xf numFmtId="0" fontId="48" fillId="0" borderId="0" xfId="0" applyFont="1" applyAlignment="1">
      <alignment horizontal="left" vertical="center" wrapText="1"/>
    </xf>
    <xf numFmtId="3" fontId="96" fillId="0" borderId="0" xfId="0" applyNumberFormat="1" applyFont="1" applyAlignment="1">
      <alignment horizontal="center" vertical="center" wrapText="1"/>
    </xf>
    <xf numFmtId="0" fontId="100" fillId="0" borderId="0" xfId="0" applyFont="1" applyAlignment="1">
      <alignment horizontal="center" vertical="center" wrapText="1"/>
    </xf>
    <xf numFmtId="0" fontId="0" fillId="0" borderId="0" xfId="0"/>
    <xf numFmtId="0" fontId="0" fillId="0" borderId="71" xfId="0" applyBorder="1" applyAlignment="1">
      <alignment horizontal="center" vertical="center"/>
    </xf>
    <xf numFmtId="0" fontId="0" fillId="0" borderId="69" xfId="0" applyBorder="1" applyAlignment="1">
      <alignment horizontal="center" vertical="center"/>
    </xf>
    <xf numFmtId="0" fontId="0" fillId="0" borderId="81" xfId="0" applyBorder="1" applyAlignment="1">
      <alignment horizontal="center" vertical="center"/>
    </xf>
    <xf numFmtId="0" fontId="101" fillId="9" borderId="2" xfId="9" applyFont="1" applyFill="1" applyBorder="1" applyAlignment="1">
      <alignment horizontal="center" vertical="center"/>
    </xf>
    <xf numFmtId="0" fontId="101" fillId="9" borderId="3" xfId="9" applyFont="1" applyFill="1" applyBorder="1" applyAlignment="1">
      <alignment horizontal="center" vertical="center"/>
    </xf>
    <xf numFmtId="0" fontId="101" fillId="9" borderId="4" xfId="9" applyFont="1" applyFill="1" applyBorder="1" applyAlignment="1">
      <alignment horizontal="center" vertical="center"/>
    </xf>
    <xf numFmtId="10" fontId="2" fillId="9" borderId="2" xfId="0" applyNumberFormat="1" applyFont="1" applyFill="1" applyBorder="1" applyAlignment="1">
      <alignment horizontal="center" vertical="center" wrapText="1"/>
    </xf>
    <xf numFmtId="10" fontId="2" fillId="9" borderId="3" xfId="0" applyNumberFormat="1" applyFont="1" applyFill="1" applyBorder="1" applyAlignment="1">
      <alignment horizontal="center" vertical="center" wrapText="1"/>
    </xf>
    <xf numFmtId="10" fontId="2" fillId="9" borderId="4" xfId="0" applyNumberFormat="1" applyFont="1" applyFill="1" applyBorder="1" applyAlignment="1">
      <alignment horizontal="center" vertical="center" wrapText="1"/>
    </xf>
    <xf numFmtId="2" fontId="2" fillId="9" borderId="2" xfId="0" applyNumberFormat="1" applyFont="1" applyFill="1" applyBorder="1" applyAlignment="1">
      <alignment horizontal="center" vertical="center"/>
    </xf>
    <xf numFmtId="2" fontId="2" fillId="9" borderId="3" xfId="0" applyNumberFormat="1" applyFont="1" applyFill="1" applyBorder="1" applyAlignment="1">
      <alignment horizontal="center" vertical="center"/>
    </xf>
    <xf numFmtId="2" fontId="2" fillId="9" borderId="4" xfId="0" applyNumberFormat="1" applyFont="1" applyFill="1" applyBorder="1" applyAlignment="1">
      <alignment horizontal="center" vertical="center"/>
    </xf>
    <xf numFmtId="0" fontId="100" fillId="0" borderId="0" xfId="0" applyFont="1" applyAlignment="1">
      <alignment horizontal="center" vertical="center"/>
    </xf>
    <xf numFmtId="0" fontId="100" fillId="0" borderId="28" xfId="9" applyFont="1" applyBorder="1" applyAlignment="1">
      <alignment horizontal="left" vertical="center" indent="1"/>
    </xf>
    <xf numFmtId="0" fontId="100" fillId="0" borderId="29" xfId="9" applyFont="1" applyBorder="1" applyAlignment="1">
      <alignment horizontal="left" vertical="center" indent="1"/>
    </xf>
    <xf numFmtId="0" fontId="100" fillId="0" borderId="37" xfId="9" applyFont="1" applyBorder="1" applyAlignment="1">
      <alignment horizontal="left" vertical="center" indent="1"/>
    </xf>
    <xf numFmtId="10" fontId="0" fillId="0" borderId="42" xfId="0" applyNumberFormat="1" applyBorder="1" applyAlignment="1">
      <alignment horizontal="center" vertical="center"/>
    </xf>
    <xf numFmtId="10" fontId="0" fillId="0" borderId="29" xfId="0" applyNumberFormat="1" applyBorder="1" applyAlignment="1">
      <alignment horizontal="center" vertical="center"/>
    </xf>
    <xf numFmtId="10" fontId="0" fillId="0" borderId="10" xfId="0" applyNumberFormat="1" applyBorder="1" applyAlignment="1">
      <alignment horizontal="center" vertical="center"/>
    </xf>
    <xf numFmtId="0" fontId="0" fillId="0" borderId="42" xfId="0" applyBorder="1" applyAlignment="1">
      <alignment horizontal="center" vertical="center"/>
    </xf>
    <xf numFmtId="0" fontId="0" fillId="0" borderId="29" xfId="0" applyBorder="1" applyAlignment="1">
      <alignment horizontal="center" vertical="center"/>
    </xf>
    <xf numFmtId="0" fontId="0" fillId="0" borderId="37" xfId="0" applyBorder="1" applyAlignment="1">
      <alignment horizontal="center" vertical="center"/>
    </xf>
    <xf numFmtId="0" fontId="101" fillId="2" borderId="28" xfId="9" applyFont="1" applyFill="1" applyBorder="1" applyAlignment="1">
      <alignment horizontal="left" vertical="center" indent="1"/>
    </xf>
    <xf numFmtId="0" fontId="101" fillId="2" borderId="29" xfId="9" applyFont="1" applyFill="1" applyBorder="1" applyAlignment="1">
      <alignment horizontal="left" vertical="center" indent="1"/>
    </xf>
    <xf numFmtId="0" fontId="101" fillId="2" borderId="37" xfId="9" applyFont="1" applyFill="1" applyBorder="1" applyAlignment="1">
      <alignment horizontal="left" vertical="center" indent="1"/>
    </xf>
    <xf numFmtId="0" fontId="2" fillId="2" borderId="42" xfId="0" applyFont="1" applyFill="1" applyBorder="1" applyAlignment="1">
      <alignment horizontal="center" vertical="center"/>
    </xf>
    <xf numFmtId="0" fontId="2" fillId="2" borderId="29" xfId="0" applyFont="1" applyFill="1" applyBorder="1" applyAlignment="1">
      <alignment horizontal="center" vertical="center"/>
    </xf>
    <xf numFmtId="0" fontId="2" fillId="2" borderId="37" xfId="0" applyFont="1" applyFill="1" applyBorder="1" applyAlignment="1">
      <alignment horizontal="center" vertical="center"/>
    </xf>
    <xf numFmtId="10" fontId="2" fillId="2" borderId="42" xfId="0" applyNumberFormat="1" applyFont="1" applyFill="1" applyBorder="1" applyAlignment="1">
      <alignment horizontal="center" vertical="center"/>
    </xf>
    <xf numFmtId="10" fontId="2" fillId="2" borderId="29" xfId="0" applyNumberFormat="1" applyFont="1" applyFill="1" applyBorder="1" applyAlignment="1">
      <alignment horizontal="center" vertical="center"/>
    </xf>
    <xf numFmtId="10" fontId="2" fillId="2" borderId="10" xfId="0" applyNumberFormat="1" applyFont="1" applyFill="1" applyBorder="1" applyAlignment="1">
      <alignment horizontal="center" vertical="center"/>
    </xf>
    <xf numFmtId="0" fontId="0" fillId="2" borderId="42" xfId="0" applyFill="1" applyBorder="1" applyAlignment="1">
      <alignment horizontal="center" vertical="center"/>
    </xf>
    <xf numFmtId="0" fontId="0" fillId="2" borderId="29" xfId="0" applyFill="1" applyBorder="1" applyAlignment="1">
      <alignment horizontal="center" vertical="center"/>
    </xf>
    <xf numFmtId="0" fontId="0" fillId="2" borderId="37" xfId="0" applyFill="1" applyBorder="1" applyAlignment="1">
      <alignment horizontal="center" vertical="center"/>
    </xf>
    <xf numFmtId="0" fontId="100" fillId="0" borderId="28" xfId="9" applyFont="1" applyBorder="1" applyAlignment="1">
      <alignment horizontal="left" vertical="center" wrapText="1" indent="1"/>
    </xf>
    <xf numFmtId="0" fontId="100" fillId="0" borderId="29" xfId="9" applyFont="1" applyBorder="1" applyAlignment="1">
      <alignment horizontal="left" vertical="center" wrapText="1" indent="1"/>
    </xf>
    <xf numFmtId="0" fontId="100" fillId="0" borderId="37" xfId="9" applyFont="1" applyBorder="1" applyAlignment="1">
      <alignment horizontal="left" vertical="center" wrapText="1" indent="1"/>
    </xf>
    <xf numFmtId="0" fontId="2" fillId="2" borderId="76" xfId="0" applyFont="1" applyFill="1" applyBorder="1" applyAlignment="1">
      <alignment horizontal="center" vertical="center" wrapText="1"/>
    </xf>
    <xf numFmtId="0" fontId="2" fillId="2" borderId="6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10" xfId="0" applyFont="1" applyBorder="1" applyAlignment="1">
      <alignment horizontal="center" vertical="center" wrapText="1"/>
    </xf>
    <xf numFmtId="0" fontId="2" fillId="2" borderId="28" xfId="0" applyFont="1" applyFill="1" applyBorder="1" applyAlignment="1">
      <alignment horizontal="center" vertical="center"/>
    </xf>
    <xf numFmtId="0" fontId="2" fillId="2" borderId="10" xfId="0" applyFont="1" applyFill="1" applyBorder="1" applyAlignment="1">
      <alignment horizontal="center" vertical="center"/>
    </xf>
    <xf numFmtId="0" fontId="91" fillId="0" borderId="42" xfId="4" applyFont="1" applyBorder="1" applyAlignment="1">
      <alignment horizontal="left"/>
    </xf>
    <xf numFmtId="0" fontId="7" fillId="0" borderId="29" xfId="4" applyBorder="1" applyAlignment="1">
      <alignment wrapText="1"/>
    </xf>
    <xf numFmtId="0" fontId="7" fillId="0" borderId="37" xfId="4" applyBorder="1" applyAlignment="1">
      <alignment wrapText="1"/>
    </xf>
    <xf numFmtId="0" fontId="89" fillId="0" borderId="57" xfId="4" applyFont="1" applyBorder="1" applyAlignment="1">
      <alignment horizontal="center"/>
    </xf>
    <xf numFmtId="0" fontId="89" fillId="0" borderId="0" xfId="4" applyFont="1" applyAlignment="1">
      <alignment horizontal="center"/>
    </xf>
    <xf numFmtId="0" fontId="88" fillId="0" borderId="0" xfId="4" applyFont="1" applyAlignment="1">
      <alignment horizontal="center"/>
    </xf>
    <xf numFmtId="0" fontId="90" fillId="0" borderId="36" xfId="4" applyFont="1" applyBorder="1" applyAlignment="1">
      <alignment horizontal="center"/>
    </xf>
    <xf numFmtId="0" fontId="7" fillId="0" borderId="38" xfId="4" applyBorder="1" applyAlignment="1">
      <alignment wrapText="1"/>
    </xf>
    <xf numFmtId="0" fontId="92" fillId="0" borderId="43" xfId="4" applyFont="1" applyBorder="1" applyAlignment="1">
      <alignment horizontal="left"/>
    </xf>
    <xf numFmtId="0" fontId="7" fillId="0" borderId="70" xfId="4" applyBorder="1" applyAlignment="1">
      <alignment wrapText="1"/>
    </xf>
    <xf numFmtId="0" fontId="90" fillId="0" borderId="38" xfId="4" applyFont="1" applyBorder="1" applyAlignment="1">
      <alignment horizontal="center"/>
    </xf>
    <xf numFmtId="0" fontId="93" fillId="0" borderId="29" xfId="4" applyFont="1" applyBorder="1" applyAlignment="1">
      <alignment horizontal="right"/>
    </xf>
    <xf numFmtId="0" fontId="92" fillId="0" borderId="42" xfId="4" applyFont="1" applyBorder="1" applyAlignment="1">
      <alignment horizontal="left"/>
    </xf>
    <xf numFmtId="0" fontId="91" fillId="0" borderId="29" xfId="4" applyFont="1" applyBorder="1" applyAlignment="1">
      <alignment horizontal="left"/>
    </xf>
    <xf numFmtId="0" fontId="91" fillId="0" borderId="37" xfId="4" applyFont="1" applyBorder="1" applyAlignment="1">
      <alignment horizontal="left"/>
    </xf>
    <xf numFmtId="0" fontId="92" fillId="0" borderId="42" xfId="4" applyFont="1" applyBorder="1" applyAlignment="1">
      <alignment horizontal="left" wrapText="1"/>
    </xf>
    <xf numFmtId="0" fontId="94" fillId="0" borderId="42" xfId="4" applyFont="1" applyBorder="1" applyAlignment="1">
      <alignment horizontal="center"/>
    </xf>
    <xf numFmtId="0" fontId="48" fillId="21" borderId="28" xfId="0" applyFont="1" applyFill="1" applyBorder="1" applyAlignment="1">
      <alignment horizontal="center" vertical="center" wrapText="1"/>
    </xf>
    <xf numFmtId="0" fontId="48" fillId="21" borderId="29" xfId="0" applyFont="1" applyFill="1" applyBorder="1" applyAlignment="1">
      <alignment horizontal="center" vertical="center" wrapText="1"/>
    </xf>
    <xf numFmtId="0" fontId="48" fillId="21" borderId="71" xfId="0" applyFont="1" applyFill="1" applyBorder="1" applyAlignment="1">
      <alignment horizontal="center" vertical="center" wrapText="1"/>
    </xf>
    <xf numFmtId="0" fontId="48" fillId="21" borderId="69" xfId="0" applyFont="1" applyFill="1" applyBorder="1" applyAlignment="1">
      <alignment horizontal="center" vertical="center" wrapText="1"/>
    </xf>
    <xf numFmtId="3" fontId="60" fillId="16" borderId="17" xfId="0" applyNumberFormat="1" applyFont="1" applyFill="1" applyBorder="1" applyAlignment="1">
      <alignment horizontal="center" vertical="center" wrapText="1"/>
    </xf>
    <xf numFmtId="3" fontId="60" fillId="16" borderId="22" xfId="0" applyNumberFormat="1" applyFont="1" applyFill="1" applyBorder="1" applyAlignment="1">
      <alignment horizontal="center" vertical="center" wrapText="1"/>
    </xf>
    <xf numFmtId="3" fontId="60" fillId="16" borderId="25" xfId="0" applyNumberFormat="1" applyFont="1" applyFill="1" applyBorder="1" applyAlignment="1">
      <alignment horizontal="center" vertical="center" wrapText="1"/>
    </xf>
    <xf numFmtId="0" fontId="48" fillId="21" borderId="76" xfId="0" applyFont="1" applyFill="1" applyBorder="1" applyAlignment="1">
      <alignment horizontal="center" vertical="center" wrapText="1"/>
    </xf>
    <xf numFmtId="0" fontId="48" fillId="21" borderId="61" xfId="0" applyFont="1" applyFill="1" applyBorder="1" applyAlignment="1">
      <alignment horizontal="center" vertical="center" wrapText="1"/>
    </xf>
    <xf numFmtId="3" fontId="57" fillId="0" borderId="0" xfId="0" applyNumberFormat="1" applyFont="1" applyAlignment="1">
      <alignment horizontal="center" vertical="center" wrapText="1"/>
    </xf>
    <xf numFmtId="0" fontId="49" fillId="3" borderId="15" xfId="0" applyFont="1" applyFill="1" applyBorder="1" applyAlignment="1">
      <alignment horizontal="center" vertical="center" wrapText="1"/>
    </xf>
    <xf numFmtId="0" fontId="49" fillId="3" borderId="20" xfId="0" applyFont="1" applyFill="1" applyBorder="1" applyAlignment="1">
      <alignment horizontal="center" vertical="center" wrapText="1"/>
    </xf>
    <xf numFmtId="0" fontId="49" fillId="3" borderId="23" xfId="0" applyFont="1" applyFill="1" applyBorder="1" applyAlignment="1">
      <alignment horizontal="center" vertical="center" wrapText="1"/>
    </xf>
    <xf numFmtId="0" fontId="49" fillId="3" borderId="16" xfId="0" applyFont="1" applyFill="1" applyBorder="1" applyAlignment="1">
      <alignment horizontal="center" vertical="center" wrapText="1"/>
    </xf>
    <xf numFmtId="0" fontId="49" fillId="3" borderId="21" xfId="0" applyFont="1" applyFill="1" applyBorder="1" applyAlignment="1">
      <alignment horizontal="center" vertical="center" wrapText="1"/>
    </xf>
    <xf numFmtId="0" fontId="49" fillId="3" borderId="24" xfId="0" applyFont="1" applyFill="1" applyBorder="1" applyAlignment="1">
      <alignment horizontal="center" vertical="center" wrapText="1"/>
    </xf>
    <xf numFmtId="3" fontId="60" fillId="3" borderId="17" xfId="0" applyNumberFormat="1" applyFont="1" applyFill="1" applyBorder="1" applyAlignment="1">
      <alignment horizontal="center" vertical="center" wrapText="1"/>
    </xf>
    <xf numFmtId="3" fontId="60" fillId="3" borderId="22" xfId="0" applyNumberFormat="1" applyFont="1" applyFill="1" applyBorder="1" applyAlignment="1">
      <alignment horizontal="center" vertical="center" wrapText="1"/>
    </xf>
    <xf numFmtId="3" fontId="60" fillId="3" borderId="25" xfId="0" applyNumberFormat="1" applyFont="1" applyFill="1" applyBorder="1" applyAlignment="1">
      <alignment horizontal="center" vertical="center" wrapText="1"/>
    </xf>
    <xf numFmtId="0" fontId="62" fillId="0" borderId="0" xfId="0" applyFont="1" applyAlignment="1">
      <alignment horizontal="center" vertical="center" wrapText="1"/>
    </xf>
    <xf numFmtId="0" fontId="51" fillId="13" borderId="15" xfId="0" applyFont="1" applyFill="1" applyBorder="1" applyAlignment="1">
      <alignment horizontal="center" vertical="center" textRotation="90" wrapText="1"/>
    </xf>
    <xf numFmtId="0" fontId="51" fillId="13" borderId="20" xfId="0" applyFont="1" applyFill="1" applyBorder="1" applyAlignment="1">
      <alignment horizontal="center" vertical="center" textRotation="90" wrapText="1"/>
    </xf>
    <xf numFmtId="0" fontId="51" fillId="13" borderId="23" xfId="0" applyFont="1" applyFill="1" applyBorder="1" applyAlignment="1">
      <alignment horizontal="center" vertical="center" textRotation="90" wrapText="1"/>
    </xf>
    <xf numFmtId="0" fontId="54" fillId="13" borderId="16" xfId="0" applyFont="1" applyFill="1" applyBorder="1" applyAlignment="1">
      <alignment horizontal="center" vertical="center" wrapText="1"/>
    </xf>
    <xf numFmtId="0" fontId="54" fillId="13" borderId="21" xfId="0" applyFont="1" applyFill="1" applyBorder="1" applyAlignment="1">
      <alignment horizontal="center" vertical="center" wrapText="1"/>
    </xf>
    <xf numFmtId="0" fontId="54" fillId="13" borderId="24" xfId="0" applyFont="1" applyFill="1" applyBorder="1" applyAlignment="1">
      <alignment horizontal="center" vertical="center" wrapText="1"/>
    </xf>
    <xf numFmtId="0" fontId="49" fillId="13" borderId="17" xfId="0" applyFont="1" applyFill="1" applyBorder="1" applyAlignment="1">
      <alignment horizontal="center" vertical="center" wrapText="1"/>
    </xf>
    <xf numFmtId="0" fontId="49" fillId="13" borderId="22" xfId="0" applyFont="1" applyFill="1" applyBorder="1" applyAlignment="1">
      <alignment horizontal="center" vertical="center" wrapText="1"/>
    </xf>
    <xf numFmtId="0" fontId="49" fillId="22" borderId="15" xfId="0" applyFont="1" applyFill="1" applyBorder="1" applyAlignment="1">
      <alignment horizontal="center" vertical="center" wrapText="1"/>
    </xf>
    <xf numFmtId="0" fontId="49" fillId="22" borderId="20" xfId="0" applyFont="1" applyFill="1" applyBorder="1" applyAlignment="1">
      <alignment horizontal="center" vertical="center" wrapText="1"/>
    </xf>
    <xf numFmtId="0" fontId="49" fillId="22" borderId="23" xfId="0" applyFont="1" applyFill="1" applyBorder="1" applyAlignment="1">
      <alignment horizontal="center" vertical="center" wrapText="1"/>
    </xf>
    <xf numFmtId="0" fontId="49" fillId="22" borderId="16" xfId="0" applyFont="1" applyFill="1" applyBorder="1" applyAlignment="1">
      <alignment horizontal="center" vertical="center" wrapText="1"/>
    </xf>
    <xf numFmtId="0" fontId="49" fillId="22" borderId="21" xfId="0" applyFont="1" applyFill="1" applyBorder="1" applyAlignment="1">
      <alignment horizontal="center" vertical="center" wrapText="1"/>
    </xf>
    <xf numFmtId="0" fontId="49" fillId="22" borderId="24" xfId="0" applyFont="1" applyFill="1" applyBorder="1" applyAlignment="1">
      <alignment horizontal="center" vertical="center" wrapText="1"/>
    </xf>
    <xf numFmtId="3" fontId="60" fillId="22" borderId="17" xfId="0" applyNumberFormat="1" applyFont="1" applyFill="1" applyBorder="1" applyAlignment="1">
      <alignment horizontal="center" vertical="center" wrapText="1"/>
    </xf>
    <xf numFmtId="3" fontId="60" fillId="22" borderId="22" xfId="0" applyNumberFormat="1" applyFont="1" applyFill="1" applyBorder="1" applyAlignment="1">
      <alignment horizontal="center" vertical="center" wrapText="1"/>
    </xf>
    <xf numFmtId="3" fontId="60" fillId="22" borderId="25" xfId="0" applyNumberFormat="1" applyFont="1" applyFill="1" applyBorder="1" applyAlignment="1">
      <alignment horizontal="center" vertical="center" wrapText="1"/>
    </xf>
    <xf numFmtId="0" fontId="49" fillId="13" borderId="25" xfId="0" applyFont="1" applyFill="1" applyBorder="1" applyAlignment="1">
      <alignment horizontal="center" vertical="center" wrapText="1"/>
    </xf>
    <xf numFmtId="0" fontId="54" fillId="23" borderId="15" xfId="0" applyFont="1" applyFill="1" applyBorder="1" applyAlignment="1">
      <alignment horizontal="center" vertical="center" wrapText="1"/>
    </xf>
    <xf numFmtId="0" fontId="54" fillId="23" borderId="20" xfId="0" applyFont="1" applyFill="1" applyBorder="1" applyAlignment="1">
      <alignment horizontal="center" vertical="center" wrapText="1"/>
    </xf>
    <xf numFmtId="0" fontId="54" fillId="23" borderId="23" xfId="0" applyFont="1" applyFill="1" applyBorder="1" applyAlignment="1">
      <alignment horizontal="center" vertical="center" wrapText="1"/>
    </xf>
    <xf numFmtId="0" fontId="49" fillId="23" borderId="16" xfId="0" applyFont="1" applyFill="1" applyBorder="1" applyAlignment="1">
      <alignment horizontal="center" vertical="center" wrapText="1"/>
    </xf>
    <xf numFmtId="0" fontId="49" fillId="23" borderId="21" xfId="0" applyFont="1" applyFill="1" applyBorder="1" applyAlignment="1">
      <alignment horizontal="center" vertical="center" wrapText="1"/>
    </xf>
    <xf numFmtId="0" fontId="49" fillId="23" borderId="24" xfId="0" applyFont="1" applyFill="1" applyBorder="1" applyAlignment="1">
      <alignment horizontal="center" vertical="center" wrapText="1"/>
    </xf>
    <xf numFmtId="3" fontId="60" fillId="23" borderId="17" xfId="0" applyNumberFormat="1" applyFont="1" applyFill="1" applyBorder="1" applyAlignment="1">
      <alignment horizontal="center" vertical="center" wrapText="1"/>
    </xf>
    <xf numFmtId="3" fontId="60" fillId="23" borderId="22" xfId="0" applyNumberFormat="1" applyFont="1" applyFill="1" applyBorder="1" applyAlignment="1">
      <alignment horizontal="center" vertical="center" wrapText="1"/>
    </xf>
    <xf numFmtId="3" fontId="60" fillId="23" borderId="25" xfId="0" applyNumberFormat="1" applyFont="1" applyFill="1" applyBorder="1" applyAlignment="1">
      <alignment horizontal="center" vertical="center" wrapText="1"/>
    </xf>
    <xf numFmtId="175" fontId="18" fillId="0" borderId="0" xfId="6" applyNumberFormat="1" applyFont="1" applyBorder="1" applyAlignment="1">
      <alignment horizontal="center" vertical="center"/>
    </xf>
    <xf numFmtId="0" fontId="5" fillId="0" borderId="52" xfId="0" applyFont="1" applyBorder="1" applyAlignment="1">
      <alignment horizontal="center" vertical="center"/>
    </xf>
    <xf numFmtId="0" fontId="5" fillId="0" borderId="26" xfId="0" applyFont="1" applyBorder="1" applyAlignment="1">
      <alignment horizontal="center" vertical="center"/>
    </xf>
    <xf numFmtId="0" fontId="5" fillId="0" borderId="50" xfId="0" applyFont="1" applyBorder="1" applyAlignment="1">
      <alignment horizontal="center" vertical="center"/>
    </xf>
    <xf numFmtId="0" fontId="5" fillId="0" borderId="9"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5" fillId="0" borderId="12" xfId="0" applyFont="1" applyBorder="1" applyAlignment="1">
      <alignment horizontal="center" vertical="center"/>
    </xf>
    <xf numFmtId="173" fontId="0" fillId="0" borderId="28" xfId="0" applyNumberFormat="1" applyBorder="1" applyAlignment="1">
      <alignment horizontal="center" vertical="center"/>
    </xf>
    <xf numFmtId="173" fontId="0" fillId="0" borderId="29" xfId="0" applyNumberFormat="1" applyBorder="1" applyAlignment="1">
      <alignment horizontal="center" vertical="center"/>
    </xf>
    <xf numFmtId="173" fontId="0" fillId="0" borderId="10" xfId="0" applyNumberFormat="1" applyBorder="1" applyAlignment="1">
      <alignment horizontal="center" vertical="center"/>
    </xf>
    <xf numFmtId="0" fontId="11" fillId="0" borderId="34" xfId="0" applyFont="1" applyBorder="1" applyAlignment="1">
      <alignment horizontal="right" vertical="center"/>
    </xf>
    <xf numFmtId="174" fontId="0" fillId="0" borderId="0" xfId="0" applyNumberFormat="1" applyAlignment="1">
      <alignment horizontal="center" vertical="center"/>
    </xf>
    <xf numFmtId="0" fontId="5" fillId="0" borderId="15" xfId="0" applyFont="1" applyBorder="1" applyAlignment="1">
      <alignment horizontal="center" vertical="center"/>
    </xf>
    <xf numFmtId="0" fontId="5" fillId="0" borderId="23" xfId="0" applyFont="1" applyBorder="1" applyAlignment="1">
      <alignment horizontal="center" vertical="center"/>
    </xf>
    <xf numFmtId="0" fontId="5" fillId="0" borderId="16" xfId="0" applyFont="1" applyBorder="1" applyAlignment="1">
      <alignment horizontal="center" vertical="center"/>
    </xf>
    <xf numFmtId="0" fontId="5" fillId="0" borderId="40" xfId="0" applyFont="1" applyBorder="1" applyAlignment="1">
      <alignment horizontal="center" vertical="center"/>
    </xf>
    <xf numFmtId="173" fontId="7" fillId="0" borderId="16" xfId="5" applyNumberFormat="1" applyFont="1" applyBorder="1" applyAlignment="1">
      <alignment horizontal="center" vertical="center" wrapText="1"/>
    </xf>
    <xf numFmtId="173" fontId="7" fillId="0" borderId="40" xfId="5" applyNumberFormat="1" applyFont="1" applyBorder="1" applyAlignment="1">
      <alignment horizontal="center" vertical="center" wrapText="1"/>
    </xf>
    <xf numFmtId="173" fontId="7" fillId="0" borderId="49" xfId="5" applyNumberFormat="1" applyFont="1" applyBorder="1" applyAlignment="1">
      <alignment horizontal="center" vertical="center" wrapText="1"/>
    </xf>
    <xf numFmtId="173" fontId="7" fillId="0" borderId="41" xfId="5" applyNumberFormat="1" applyFont="1" applyBorder="1" applyAlignment="1">
      <alignment horizontal="center" vertical="center" wrapText="1"/>
    </xf>
    <xf numFmtId="0" fontId="2" fillId="0" borderId="0" xfId="0" applyFont="1" applyAlignment="1">
      <alignment horizontal="center"/>
    </xf>
    <xf numFmtId="0" fontId="2" fillId="0" borderId="38" xfId="4" applyFont="1" applyBorder="1" applyAlignment="1">
      <alignment horizontal="center" wrapText="1"/>
    </xf>
    <xf numFmtId="0" fontId="3" fillId="0" borderId="0" xfId="4" applyFont="1" applyAlignment="1">
      <alignment horizontal="left" wrapText="1"/>
    </xf>
    <xf numFmtId="0" fontId="0" fillId="0" borderId="20" xfId="0" applyBorder="1" applyAlignment="1">
      <alignment horizontal="left" vertical="top" wrapText="1" shrinkToFit="1"/>
    </xf>
    <xf numFmtId="0" fontId="0" fillId="0" borderId="28" xfId="0" applyBorder="1" applyAlignment="1">
      <alignment horizontal="left" vertical="top" wrapText="1" shrinkToFit="1"/>
    </xf>
    <xf numFmtId="0" fontId="0" fillId="0" borderId="29" xfId="0" applyBorder="1" applyAlignment="1">
      <alignment horizontal="left" vertical="top" wrapText="1" shrinkToFit="1"/>
    </xf>
    <xf numFmtId="0" fontId="0" fillId="0" borderId="10" xfId="0" applyBorder="1" applyAlignment="1">
      <alignment horizontal="left" vertical="top" wrapText="1" shrinkToFit="1"/>
    </xf>
    <xf numFmtId="0" fontId="2" fillId="0" borderId="33" xfId="0" applyFont="1" applyBorder="1" applyAlignment="1">
      <alignment horizontal="center"/>
    </xf>
    <xf numFmtId="0" fontId="2" fillId="0" borderId="34"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0" fillId="0" borderId="15" xfId="0" applyBorder="1" applyAlignment="1">
      <alignment horizontal="left"/>
    </xf>
    <xf numFmtId="0" fontId="0" fillId="0" borderId="16" xfId="0" applyBorder="1" applyAlignment="1">
      <alignment horizontal="left"/>
    </xf>
    <xf numFmtId="0" fontId="0" fillId="0" borderId="17" xfId="0" applyBorder="1" applyAlignment="1">
      <alignment horizontal="left"/>
    </xf>
  </cellXfs>
  <cellStyles count="24">
    <cellStyle name="Millares" xfId="1" builtinId="3"/>
    <cellStyle name="Millares 149" xfId="17" xr:uid="{00000000-0005-0000-0000-000001000000}"/>
    <cellStyle name="Millares 149 2" xfId="23" xr:uid="{C849CD30-2835-4C2A-9B6E-FAF8CC7D7FD6}"/>
    <cellStyle name="Millares 2" xfId="5" xr:uid="{00000000-0005-0000-0000-000002000000}"/>
    <cellStyle name="Millares 3" xfId="21" xr:uid="{355E2D48-B7A1-4739-BD2F-E900DEC694E7}"/>
    <cellStyle name="Millares_PRES CERRAMIENTO MELVIN JHON" xfId="11" xr:uid="{00000000-0005-0000-0000-000003000000}"/>
    <cellStyle name="Millares_PRES CERRAMIENTO MELVIN JHON 2" xfId="14" xr:uid="{00000000-0005-0000-0000-000004000000}"/>
    <cellStyle name="Moneda" xfId="2" builtinId="4"/>
    <cellStyle name="Moneda 2" xfId="6" xr:uid="{00000000-0005-0000-0000-000006000000}"/>
    <cellStyle name="Moneda 3" xfId="16" xr:uid="{00000000-0005-0000-0000-000007000000}"/>
    <cellStyle name="Moneda 3 2" xfId="22" xr:uid="{A84FFF87-FF3D-4041-A169-A1A795141AA1}"/>
    <cellStyle name="Normal" xfId="0" builtinId="0"/>
    <cellStyle name="Normal 2" xfId="9" xr:uid="{00000000-0005-0000-0000-000009000000}"/>
    <cellStyle name="Normal 2 10 10 3" xfId="18" xr:uid="{00000000-0005-0000-0000-00000A000000}"/>
    <cellStyle name="Normal 3" xfId="4" xr:uid="{00000000-0005-0000-0000-00000B000000}"/>
    <cellStyle name="Normal 4" xfId="8" xr:uid="{00000000-0005-0000-0000-00000C000000}"/>
    <cellStyle name="Normal 40 2" xfId="20" xr:uid="{00000000-0005-0000-0000-00000D000000}"/>
    <cellStyle name="Normal 43" xfId="19" xr:uid="{00000000-0005-0000-0000-00000E000000}"/>
    <cellStyle name="Normal 5" xfId="10" xr:uid="{00000000-0005-0000-0000-00000F000000}"/>
    <cellStyle name="Normal 5 2" xfId="13" xr:uid="{00000000-0005-0000-0000-000010000000}"/>
    <cellStyle name="Porcentaje" xfId="3" builtinId="5"/>
    <cellStyle name="Porcentaje 2" xfId="7" xr:uid="{00000000-0005-0000-0000-000012000000}"/>
    <cellStyle name="Porcentaje 3" xfId="12" xr:uid="{00000000-0005-0000-0000-000013000000}"/>
    <cellStyle name="Porcentaje 3 2" xfId="15" xr:uid="{00000000-0005-0000-0000-000014000000}"/>
  </cellStyles>
  <dxfs count="0"/>
  <tableStyles count="0" defaultTableStyle="TableStyleMedium2" defaultPivotStyle="PivotStyleLight16"/>
  <colors>
    <mruColors>
      <color rgb="FFFBFEDA"/>
      <color rgb="FFFFFF00"/>
      <color rgb="FFFF9900"/>
      <color rgb="FF33CC33"/>
      <color rgb="FFFF00FF"/>
      <color rgb="FF0000FF"/>
      <color rgb="FF63E452"/>
      <color rgb="FFCCECFF"/>
      <color rgb="FF00CC99"/>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14</xdr:col>
      <xdr:colOff>960120</xdr:colOff>
      <xdr:row>0</xdr:row>
      <xdr:rowOff>243840</xdr:rowOff>
    </xdr:from>
    <xdr:to>
      <xdr:col>16</xdr:col>
      <xdr:colOff>1528899</xdr:colOff>
      <xdr:row>2</xdr:row>
      <xdr:rowOff>598714</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802600" y="243840"/>
          <a:ext cx="2732859" cy="1071154"/>
        </a:xfrm>
        <a:prstGeom prst="rect">
          <a:avLst/>
        </a:prstGeom>
      </xdr:spPr>
    </xdr:pic>
    <xdr:clientData/>
  </xdr:twoCellAnchor>
  <xdr:twoCellAnchor editAs="oneCell">
    <xdr:from>
      <xdr:col>0</xdr:col>
      <xdr:colOff>274320</xdr:colOff>
      <xdr:row>0</xdr:row>
      <xdr:rowOff>91440</xdr:rowOff>
    </xdr:from>
    <xdr:to>
      <xdr:col>1</xdr:col>
      <xdr:colOff>792480</xdr:colOff>
      <xdr:row>2</xdr:row>
      <xdr:rowOff>739679</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74320" y="91440"/>
          <a:ext cx="1783080" cy="13645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121920</xdr:colOff>
      <xdr:row>0</xdr:row>
      <xdr:rowOff>281940</xdr:rowOff>
    </xdr:from>
    <xdr:to>
      <xdr:col>14</xdr:col>
      <xdr:colOff>1770199</xdr:colOff>
      <xdr:row>2</xdr:row>
      <xdr:rowOff>636814</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340320" y="281940"/>
          <a:ext cx="2727779" cy="1066074"/>
        </a:xfrm>
        <a:prstGeom prst="rect">
          <a:avLst/>
        </a:prstGeom>
      </xdr:spPr>
    </xdr:pic>
    <xdr:clientData/>
  </xdr:twoCellAnchor>
  <xdr:twoCellAnchor editAs="oneCell">
    <xdr:from>
      <xdr:col>0</xdr:col>
      <xdr:colOff>134620</xdr:colOff>
      <xdr:row>0</xdr:row>
      <xdr:rowOff>116840</xdr:rowOff>
    </xdr:from>
    <xdr:to>
      <xdr:col>1</xdr:col>
      <xdr:colOff>652780</xdr:colOff>
      <xdr:row>2</xdr:row>
      <xdr:rowOff>765079</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4620" y="116840"/>
          <a:ext cx="1788160" cy="13594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14</xdr:col>
      <xdr:colOff>121920</xdr:colOff>
      <xdr:row>0</xdr:row>
      <xdr:rowOff>281940</xdr:rowOff>
    </xdr:from>
    <xdr:to>
      <xdr:col>16</xdr:col>
      <xdr:colOff>1724</xdr:colOff>
      <xdr:row>2</xdr:row>
      <xdr:rowOff>636814</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752945" y="281940"/>
          <a:ext cx="2657929" cy="1069249"/>
        </a:xfrm>
        <a:prstGeom prst="rect">
          <a:avLst/>
        </a:prstGeom>
      </xdr:spPr>
    </xdr:pic>
    <xdr:clientData/>
  </xdr:twoCellAnchor>
  <xdr:twoCellAnchor editAs="oneCell">
    <xdr:from>
      <xdr:col>0</xdr:col>
      <xdr:colOff>134620</xdr:colOff>
      <xdr:row>0</xdr:row>
      <xdr:rowOff>116840</xdr:rowOff>
    </xdr:from>
    <xdr:to>
      <xdr:col>1</xdr:col>
      <xdr:colOff>652780</xdr:colOff>
      <xdr:row>2</xdr:row>
      <xdr:rowOff>765079</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4620" y="116840"/>
          <a:ext cx="1746885" cy="13626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838200</xdr:colOff>
      <xdr:row>0</xdr:row>
      <xdr:rowOff>67330</xdr:rowOff>
    </xdr:from>
    <xdr:to>
      <xdr:col>14</xdr:col>
      <xdr:colOff>1463962</xdr:colOff>
      <xdr:row>2</xdr:row>
      <xdr:rowOff>193814</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993100" y="67330"/>
          <a:ext cx="2149762" cy="850384"/>
        </a:xfrm>
        <a:prstGeom prst="rect">
          <a:avLst/>
        </a:prstGeom>
      </xdr:spPr>
    </xdr:pic>
    <xdr:clientData/>
  </xdr:twoCellAnchor>
  <xdr:twoCellAnchor editAs="oneCell">
    <xdr:from>
      <xdr:col>0</xdr:col>
      <xdr:colOff>0</xdr:colOff>
      <xdr:row>0</xdr:row>
      <xdr:rowOff>0</xdr:rowOff>
    </xdr:from>
    <xdr:to>
      <xdr:col>0</xdr:col>
      <xdr:colOff>1437409</xdr:colOff>
      <xdr:row>2</xdr:row>
      <xdr:rowOff>382538</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1437409" cy="11064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749300</xdr:colOff>
      <xdr:row>0</xdr:row>
      <xdr:rowOff>156230</xdr:rowOff>
    </xdr:from>
    <xdr:to>
      <xdr:col>11</xdr:col>
      <xdr:colOff>1463962</xdr:colOff>
      <xdr:row>2</xdr:row>
      <xdr:rowOff>282714</xdr:rowOff>
    </xdr:to>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29000" y="156230"/>
          <a:ext cx="2137062" cy="837684"/>
        </a:xfrm>
        <a:prstGeom prst="rect">
          <a:avLst/>
        </a:prstGeom>
      </xdr:spPr>
    </xdr:pic>
    <xdr:clientData/>
  </xdr:twoCellAnchor>
  <xdr:twoCellAnchor editAs="oneCell">
    <xdr:from>
      <xdr:col>0</xdr:col>
      <xdr:colOff>146050</xdr:colOff>
      <xdr:row>0</xdr:row>
      <xdr:rowOff>0</xdr:rowOff>
    </xdr:from>
    <xdr:to>
      <xdr:col>0</xdr:col>
      <xdr:colOff>1583459</xdr:colOff>
      <xdr:row>2</xdr:row>
      <xdr:rowOff>382538</xdr:rowOff>
    </xdr:to>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0050" y="0"/>
          <a:ext cx="1437409" cy="109373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15</xdr:col>
      <xdr:colOff>381000</xdr:colOff>
      <xdr:row>0</xdr:row>
      <xdr:rowOff>205740</xdr:rowOff>
    </xdr:from>
    <xdr:to>
      <xdr:col>16</xdr:col>
      <xdr:colOff>1523184</xdr:colOff>
      <xdr:row>2</xdr:row>
      <xdr:rowOff>560614</xdr:rowOff>
    </xdr:to>
    <xdr:pic>
      <xdr:nvPicPr>
        <xdr:cNvPr id="2" name="Imagen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212800" y="205740"/>
          <a:ext cx="2734764" cy="1071154"/>
        </a:xfrm>
        <a:prstGeom prst="rect">
          <a:avLst/>
        </a:prstGeom>
      </xdr:spPr>
    </xdr:pic>
    <xdr:clientData/>
  </xdr:twoCellAnchor>
  <xdr:twoCellAnchor editAs="oneCell">
    <xdr:from>
      <xdr:col>0</xdr:col>
      <xdr:colOff>134620</xdr:colOff>
      <xdr:row>0</xdr:row>
      <xdr:rowOff>116840</xdr:rowOff>
    </xdr:from>
    <xdr:to>
      <xdr:col>1</xdr:col>
      <xdr:colOff>652780</xdr:colOff>
      <xdr:row>2</xdr:row>
      <xdr:rowOff>765079</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4620" y="116840"/>
          <a:ext cx="1783080" cy="136451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28</xdr:col>
      <xdr:colOff>328613</xdr:colOff>
      <xdr:row>0</xdr:row>
      <xdr:rowOff>0</xdr:rowOff>
    </xdr:from>
    <xdr:to>
      <xdr:col>30</xdr:col>
      <xdr:colOff>252413</xdr:colOff>
      <xdr:row>4</xdr:row>
      <xdr:rowOff>9602</xdr:rowOff>
    </xdr:to>
    <xdr:pic>
      <xdr:nvPicPr>
        <xdr:cNvPr id="2" name="Imagen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15728633" y="0"/>
          <a:ext cx="731520" cy="7182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PROYECTO%20POD-ESTUDIOBASICO\Presupuesto%20POD%20MODERNO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ROYECTO%20POD-ESTUDIOBASICO\PRESUPUESTO%20ESTUDIOS%20BASICOS05101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OD%20FINAL%20FEBRERO\Modificaciones%2010%20abril%202017\PRESUPUESTO%20ESTUDIOS%20AMENAZAS%2006042017.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willi\Desktop\POD%20FINAL%20FEBRERO\PRESUPUESTO%20ESTUDIOS%20AMENAZAS%200602201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Users\Carlos\AppData\Roaming\Microsoft\Excel\COMPILADO%20PRESUPUESTO%20GENERAL%20PIGOANZA%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PRESUPUESTO FINAL"/>
      <sheetName val="PROGRAMACION"/>
      <sheetName val="INTERVENTORIA"/>
      <sheetName val="FM"/>
      <sheetName val="PUBLICACION INFORMACION"/>
    </sheetNames>
    <sheetDataSet>
      <sheetData sheetId="0">
        <row r="59">
          <cell r="D59">
            <v>40000000</v>
          </cell>
        </row>
      </sheetData>
      <sheetData sheetId="1">
        <row r="12">
          <cell r="F12">
            <v>25190000.000000004</v>
          </cell>
          <cell r="G12">
            <v>2640000</v>
          </cell>
        </row>
        <row r="13">
          <cell r="F13">
            <v>12375000</v>
          </cell>
          <cell r="G13">
            <v>2640000</v>
          </cell>
          <cell r="J13">
            <v>75000000</v>
          </cell>
        </row>
        <row r="14">
          <cell r="F14">
            <v>21037500</v>
          </cell>
          <cell r="G14">
            <v>2640000</v>
          </cell>
          <cell r="J14">
            <v>75000000</v>
          </cell>
        </row>
        <row r="15">
          <cell r="F15">
            <v>8662500</v>
          </cell>
        </row>
        <row r="16">
          <cell r="F16">
            <v>14437500</v>
          </cell>
          <cell r="J16">
            <v>75000000</v>
          </cell>
        </row>
        <row r="17">
          <cell r="F17">
            <v>12100000.000000002</v>
          </cell>
        </row>
        <row r="18">
          <cell r="F18">
            <v>9075000</v>
          </cell>
        </row>
        <row r="19">
          <cell r="F19">
            <v>23100000</v>
          </cell>
          <cell r="G19">
            <v>2640000</v>
          </cell>
        </row>
        <row r="20">
          <cell r="F20">
            <v>11137500</v>
          </cell>
          <cell r="H20">
            <v>17500000</v>
          </cell>
        </row>
        <row r="22">
          <cell r="F22">
            <v>29012500.000000004</v>
          </cell>
          <cell r="H22">
            <v>14000000</v>
          </cell>
          <cell r="J22">
            <v>75000000</v>
          </cell>
        </row>
        <row r="23">
          <cell r="F23">
            <v>33412500</v>
          </cell>
        </row>
        <row r="24">
          <cell r="F24">
            <v>18150000.000000004</v>
          </cell>
          <cell r="G24">
            <v>3960000</v>
          </cell>
          <cell r="K24">
            <v>75000000</v>
          </cell>
        </row>
        <row r="25">
          <cell r="F25">
            <v>24612500.000000004</v>
          </cell>
          <cell r="H25">
            <v>14000000</v>
          </cell>
          <cell r="K25">
            <v>20000000</v>
          </cell>
        </row>
        <row r="26">
          <cell r="F26">
            <v>22275000.000000004</v>
          </cell>
        </row>
        <row r="28">
          <cell r="F28">
            <v>29700000</v>
          </cell>
        </row>
        <row r="29">
          <cell r="F29">
            <v>34787500</v>
          </cell>
          <cell r="K29">
            <v>75000000</v>
          </cell>
        </row>
        <row r="30">
          <cell r="F30">
            <v>18150000.000000004</v>
          </cell>
          <cell r="G30">
            <v>3960000</v>
          </cell>
        </row>
        <row r="31">
          <cell r="F31">
            <v>22275000.000000004</v>
          </cell>
          <cell r="H31">
            <v>17500000</v>
          </cell>
          <cell r="K31">
            <v>20000000</v>
          </cell>
        </row>
        <row r="33">
          <cell r="F33">
            <v>27637500</v>
          </cell>
          <cell r="G33">
            <v>1980000.0000000002</v>
          </cell>
        </row>
        <row r="34">
          <cell r="F34">
            <v>22687500</v>
          </cell>
        </row>
        <row r="35">
          <cell r="F35">
            <v>22687500</v>
          </cell>
        </row>
        <row r="36">
          <cell r="F36">
            <v>22687500</v>
          </cell>
          <cell r="H36">
            <v>14000000</v>
          </cell>
        </row>
        <row r="37">
          <cell r="F37">
            <v>36300000.000000007</v>
          </cell>
          <cell r="K37">
            <v>16000000</v>
          </cell>
        </row>
        <row r="38">
          <cell r="F38">
            <v>30525000.000000004</v>
          </cell>
        </row>
      </sheetData>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 4.1"/>
      <sheetName val="VALOR TOTAL "/>
      <sheetName val="ITEM 4"/>
      <sheetName val="VALOR TOTAL  (2)"/>
      <sheetName val="VALOR TOTAL 2809"/>
      <sheetName val="Hoja3"/>
      <sheetName val="Hoja4"/>
      <sheetName val="Estado AVR Municipios"/>
      <sheetName val="PRESUPUESTO RESUMEN "/>
    </sheetNames>
    <sheetDataSet>
      <sheetData sheetId="0"/>
      <sheetData sheetId="1"/>
      <sheetData sheetId="2"/>
      <sheetData sheetId="3"/>
      <sheetData sheetId="4">
        <row r="5">
          <cell r="H5">
            <v>344344000</v>
          </cell>
        </row>
        <row r="6">
          <cell r="H6">
            <v>321640000</v>
          </cell>
        </row>
        <row r="7">
          <cell r="H7">
            <v>132439999.99999997</v>
          </cell>
        </row>
        <row r="8">
          <cell r="H8">
            <v>56760000</v>
          </cell>
        </row>
        <row r="9">
          <cell r="H9">
            <v>16554999.999999996</v>
          </cell>
        </row>
        <row r="10">
          <cell r="H10">
            <v>283799999.99999994</v>
          </cell>
        </row>
        <row r="11">
          <cell r="H11">
            <v>104059999.99999999</v>
          </cell>
        </row>
        <row r="14">
          <cell r="H14">
            <v>9838399.9999999981</v>
          </cell>
        </row>
        <row r="15">
          <cell r="H15">
            <v>21521500</v>
          </cell>
        </row>
        <row r="16">
          <cell r="H16">
            <v>27670500</v>
          </cell>
        </row>
        <row r="17">
          <cell r="H17">
            <v>4611749.9999999991</v>
          </cell>
        </row>
        <row r="18">
          <cell r="H18">
            <v>4611749.9999999991</v>
          </cell>
        </row>
        <row r="19">
          <cell r="H19">
            <v>107607500</v>
          </cell>
        </row>
        <row r="20">
          <cell r="H20">
            <v>8632250</v>
          </cell>
        </row>
        <row r="21">
          <cell r="H21">
            <v>1537250</v>
          </cell>
        </row>
        <row r="22">
          <cell r="H22">
            <v>3902249.9999999991</v>
          </cell>
        </row>
        <row r="23">
          <cell r="H23">
            <v>49665000</v>
          </cell>
        </row>
        <row r="26">
          <cell r="H26">
            <v>56760000</v>
          </cell>
        </row>
        <row r="27">
          <cell r="H27">
            <v>99330000</v>
          </cell>
        </row>
        <row r="28">
          <cell r="H28">
            <v>28380000</v>
          </cell>
        </row>
        <row r="29">
          <cell r="H29">
            <v>447647200</v>
          </cell>
        </row>
        <row r="30">
          <cell r="H30">
            <v>61253499.999999993</v>
          </cell>
        </row>
        <row r="31">
          <cell r="H31">
            <v>9460000</v>
          </cell>
        </row>
        <row r="33">
          <cell r="H33">
            <v>24821954.761904754</v>
          </cell>
        </row>
        <row r="34">
          <cell r="H34">
            <v>42868261.309523806</v>
          </cell>
        </row>
        <row r="35">
          <cell r="H35">
            <v>58774677.976190627</v>
          </cell>
        </row>
        <row r="36">
          <cell r="H36">
            <v>58774677.976190627</v>
          </cell>
        </row>
        <row r="37">
          <cell r="H37">
            <v>27197320.689999998</v>
          </cell>
        </row>
        <row r="38">
          <cell r="H38">
            <v>34770823.809523799</v>
          </cell>
        </row>
        <row r="39">
          <cell r="H39">
            <v>27353323.809523813</v>
          </cell>
        </row>
        <row r="40">
          <cell r="H40">
            <v>35857546.428571418</v>
          </cell>
        </row>
        <row r="41">
          <cell r="H41">
            <v>53945757.03463202</v>
          </cell>
        </row>
        <row r="42">
          <cell r="H42">
            <v>20453871.428571425</v>
          </cell>
        </row>
        <row r="43">
          <cell r="H43">
            <v>22714442.857142851</v>
          </cell>
        </row>
        <row r="44">
          <cell r="H44">
            <v>37773145.238095224</v>
          </cell>
        </row>
        <row r="45">
          <cell r="H45">
            <v>37773145.238095224</v>
          </cell>
        </row>
        <row r="46">
          <cell r="H46">
            <v>68342236.147186175</v>
          </cell>
        </row>
        <row r="47">
          <cell r="H47">
            <v>37908008.874458857</v>
          </cell>
        </row>
        <row r="48">
          <cell r="H48">
            <v>73091630.357142985</v>
          </cell>
        </row>
        <row r="49">
          <cell r="H49">
            <v>39264405.248917729</v>
          </cell>
        </row>
        <row r="50">
          <cell r="H50">
            <v>34523573.809523806</v>
          </cell>
        </row>
        <row r="51">
          <cell r="H51">
            <v>59177930.952380933</v>
          </cell>
        </row>
        <row r="52">
          <cell r="H52">
            <v>25054487.499999996</v>
          </cell>
        </row>
        <row r="53">
          <cell r="H53">
            <v>37316374.945887432</v>
          </cell>
        </row>
        <row r="54">
          <cell r="H54">
            <v>28758400</v>
          </cell>
        </row>
        <row r="55">
          <cell r="H55">
            <v>16554999.999999996</v>
          </cell>
        </row>
      </sheetData>
      <sheetData sheetId="5"/>
      <sheetData sheetId="6"/>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 4.1"/>
      <sheetName val="VALOR TOTAL "/>
      <sheetName val="ITEM 4"/>
      <sheetName val="VALOR TOTAL  (2)"/>
      <sheetName val="VALOR TOTAL 2809"/>
      <sheetName val="Hoja3"/>
      <sheetName val="Hoja4"/>
      <sheetName val="Estado AVR Municipios"/>
      <sheetName val="PRESUPUESTO RESUMEN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E5">
            <v>207534616.1272009</v>
          </cell>
        </row>
        <row r="6">
          <cell r="E6">
            <v>202322561.50186911</v>
          </cell>
        </row>
        <row r="7">
          <cell r="E7">
            <v>168408935.66039851</v>
          </cell>
        </row>
        <row r="8">
          <cell r="E8">
            <v>53404421.027862176</v>
          </cell>
        </row>
        <row r="9">
          <cell r="E9">
            <v>37805049.901062764</v>
          </cell>
        </row>
        <row r="10">
          <cell r="E10">
            <v>86180209.427795395</v>
          </cell>
        </row>
        <row r="11">
          <cell r="E11">
            <v>52355340.536737144</v>
          </cell>
        </row>
        <row r="12">
          <cell r="E12">
            <v>690163701.55101061</v>
          </cell>
        </row>
        <row r="13">
          <cell r="E13">
            <v>233167936.82886463</v>
          </cell>
        </row>
        <row r="14">
          <cell r="E14">
            <v>62185059.87735492</v>
          </cell>
        </row>
        <row r="15">
          <cell r="E15">
            <v>87088973.526993543</v>
          </cell>
        </row>
        <row r="16">
          <cell r="E16">
            <v>64943857.366013244</v>
          </cell>
        </row>
        <row r="17">
          <cell r="E17">
            <v>54097804.379403502</v>
          </cell>
        </row>
        <row r="18">
          <cell r="E18">
            <v>80261198.680037573</v>
          </cell>
        </row>
        <row r="19">
          <cell r="E19">
            <v>89057822.586888462</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 4.1"/>
      <sheetName val="VALOR TOTAL "/>
      <sheetName val="ITEM 4"/>
      <sheetName val="VALOR TOTAL  (2)"/>
      <sheetName val="VALOR TOTAL 2809"/>
      <sheetName val="Hoja3"/>
      <sheetName val="Hoja4"/>
      <sheetName val="Estado AVR Municipios"/>
      <sheetName val="PRESUPUESTO RESUMEN "/>
    </sheetNames>
    <sheetDataSet>
      <sheetData sheetId="0"/>
      <sheetData sheetId="1"/>
      <sheetData sheetId="2"/>
      <sheetData sheetId="3"/>
      <sheetData sheetId="4">
        <row r="57">
          <cell r="H57">
            <v>2559991201.4161892</v>
          </cell>
        </row>
      </sheetData>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BASICOS"/>
      <sheetName val="MANO DE OBRA Y CUADRILLAS"/>
      <sheetName val="LISTADO DE MATERIALES"/>
      <sheetName val="APU ELECTRICOS"/>
      <sheetName val="APU ARQUITEC"/>
      <sheetName val="APU AIRE ACON"/>
      <sheetName val="APU ACUSTICA GRAL"/>
      <sheetName val="APU ESTRUCTURAL"/>
      <sheetName val="PROGRAMACION TOTAL"/>
      <sheetName val="PPTO GENERAL PIGOANZA"/>
      <sheetName val="MEMORIAS CANT"/>
      <sheetName val="PPTO INTERVENTORIA"/>
      <sheetName val="FM INTERVEN"/>
      <sheetName val="DIST 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A1" t="str">
            <v>GOBERNACION DEL HUILA</v>
          </cell>
        </row>
        <row r="7">
          <cell r="B7">
            <v>1</v>
          </cell>
        </row>
      </sheetData>
      <sheetData sheetId="10" refreshError="1"/>
      <sheetData sheetId="11">
        <row r="38">
          <cell r="G38">
            <v>420920585.84000003</v>
          </cell>
        </row>
      </sheetData>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3"/>
  <sheetViews>
    <sheetView topLeftCell="M1" zoomScale="80" zoomScaleNormal="80" workbookViewId="0">
      <pane ySplit="4" topLeftCell="A5" activePane="bottomLeft" state="frozen"/>
      <selection pane="bottomLeft" activeCell="N12" sqref="N12"/>
    </sheetView>
  </sheetViews>
  <sheetFormatPr baseColWidth="10" defaultColWidth="91.28515625" defaultRowHeight="12.75" x14ac:dyDescent="0.2"/>
  <cols>
    <col min="1" max="1" width="18.85546875" style="204" customWidth="1"/>
    <col min="2" max="2" width="24.7109375" style="204" customWidth="1"/>
    <col min="3" max="3" width="10.28515625" style="204" customWidth="1"/>
    <col min="4" max="4" width="73.28515625" style="204" customWidth="1"/>
    <col min="5" max="5" width="14.7109375" style="204" customWidth="1"/>
    <col min="6" max="6" width="18.28515625" style="204" customWidth="1"/>
    <col min="7" max="8" width="17.28515625" style="204" customWidth="1"/>
    <col min="9" max="9" width="16.85546875" style="204" customWidth="1"/>
    <col min="10" max="10" width="17.28515625" style="204" customWidth="1"/>
    <col min="11" max="11" width="17" style="204" customWidth="1"/>
    <col min="12" max="12" width="17.140625" style="204" customWidth="1"/>
    <col min="13" max="13" width="22.28515625" style="204" customWidth="1"/>
    <col min="14" max="16384" width="91.28515625" style="204"/>
  </cols>
  <sheetData>
    <row r="1" spans="1:14" ht="31.15" customHeight="1" x14ac:dyDescent="0.2">
      <c r="A1" s="851" t="s">
        <v>185</v>
      </c>
      <c r="B1" s="851"/>
      <c r="C1" s="851"/>
      <c r="D1" s="851"/>
      <c r="E1" s="851"/>
      <c r="F1" s="851"/>
      <c r="G1" s="851"/>
      <c r="H1" s="851"/>
      <c r="I1" s="851"/>
      <c r="J1" s="851"/>
      <c r="K1" s="851"/>
      <c r="L1" s="851"/>
      <c r="M1" s="851"/>
    </row>
    <row r="2" spans="1:14" ht="25.5" customHeight="1" x14ac:dyDescent="0.2">
      <c r="A2" s="852" t="s">
        <v>132</v>
      </c>
      <c r="B2" s="852"/>
      <c r="C2" s="852"/>
      <c r="D2" s="852"/>
      <c r="E2" s="852"/>
      <c r="F2" s="852"/>
      <c r="G2" s="852"/>
      <c r="H2" s="852"/>
      <c r="I2" s="852"/>
      <c r="J2" s="852"/>
      <c r="K2" s="852"/>
      <c r="L2" s="852"/>
    </row>
    <row r="3" spans="1:14" ht="14.45" customHeight="1" thickBot="1" x14ac:dyDescent="0.25">
      <c r="A3" s="209"/>
      <c r="B3" s="268" t="s">
        <v>188</v>
      </c>
      <c r="C3" s="209"/>
      <c r="D3" s="209"/>
      <c r="E3" s="209"/>
      <c r="F3" s="209"/>
      <c r="G3" s="209"/>
      <c r="H3" s="209"/>
      <c r="I3" s="209"/>
      <c r="J3" s="209"/>
      <c r="K3" s="209"/>
    </row>
    <row r="4" spans="1:14" ht="48.6" customHeight="1" thickBot="1" x14ac:dyDescent="0.25">
      <c r="A4" s="205" t="s">
        <v>5</v>
      </c>
      <c r="B4" s="206" t="s">
        <v>134</v>
      </c>
      <c r="C4" s="207" t="s">
        <v>53</v>
      </c>
      <c r="D4" s="218" t="s">
        <v>26</v>
      </c>
      <c r="E4" s="217" t="s">
        <v>183</v>
      </c>
      <c r="F4" s="225" t="s">
        <v>135</v>
      </c>
      <c r="G4" s="207" t="s">
        <v>136</v>
      </c>
      <c r="H4" s="207" t="s">
        <v>137</v>
      </c>
      <c r="I4" s="207" t="s">
        <v>179</v>
      </c>
      <c r="J4" s="207" t="s">
        <v>181</v>
      </c>
      <c r="K4" s="207" t="s">
        <v>138</v>
      </c>
      <c r="L4" s="207" t="s">
        <v>6</v>
      </c>
      <c r="M4" s="217" t="s">
        <v>180</v>
      </c>
    </row>
    <row r="5" spans="1:14" ht="25.5" x14ac:dyDescent="0.2">
      <c r="A5" s="861">
        <v>1</v>
      </c>
      <c r="B5" s="873" t="s">
        <v>133</v>
      </c>
      <c r="C5" s="253">
        <v>1</v>
      </c>
      <c r="D5" s="254" t="s">
        <v>172</v>
      </c>
      <c r="E5" s="870">
        <v>2</v>
      </c>
      <c r="F5" s="255" t="e">
        <f>#REF!</f>
        <v>#REF!</v>
      </c>
      <c r="G5" s="256" t="e">
        <f>#REF!*2</f>
        <v>#REF!</v>
      </c>
      <c r="H5" s="256" t="e">
        <f>#REF!*15</f>
        <v>#REF!</v>
      </c>
      <c r="I5" s="256"/>
      <c r="J5" s="256"/>
      <c r="K5" s="256"/>
      <c r="L5" s="257" t="e">
        <f>SUM(F5:K5)</f>
        <v>#REF!</v>
      </c>
      <c r="M5" s="853" t="e">
        <f>SUM(L5:L9)</f>
        <v>#REF!</v>
      </c>
    </row>
    <row r="6" spans="1:14" ht="25.5" x14ac:dyDescent="0.2">
      <c r="A6" s="862"/>
      <c r="B6" s="874"/>
      <c r="C6" s="258">
        <v>2</v>
      </c>
      <c r="D6" s="259" t="s">
        <v>173</v>
      </c>
      <c r="E6" s="871"/>
      <c r="F6" s="260" t="e">
        <f>#REF!</f>
        <v>#REF!</v>
      </c>
      <c r="G6" s="261"/>
      <c r="H6" s="261"/>
      <c r="I6" s="261"/>
      <c r="J6" s="261"/>
      <c r="K6" s="261"/>
      <c r="L6" s="262" t="e">
        <f t="shared" ref="L6:L9" si="0">SUM(F6:K6)</f>
        <v>#REF!</v>
      </c>
      <c r="M6" s="854"/>
    </row>
    <row r="7" spans="1:14" ht="25.5" x14ac:dyDescent="0.2">
      <c r="A7" s="862"/>
      <c r="B7" s="874"/>
      <c r="C7" s="258">
        <v>3</v>
      </c>
      <c r="D7" s="259" t="s">
        <v>148</v>
      </c>
      <c r="E7" s="871"/>
      <c r="F7" s="260" t="e">
        <f>#REF!*2</f>
        <v>#REF!</v>
      </c>
      <c r="G7" s="261" t="e">
        <f>#REF!*2</f>
        <v>#REF!</v>
      </c>
      <c r="H7" s="261"/>
      <c r="I7" s="261" t="e">
        <f>#REF!</f>
        <v>#REF!</v>
      </c>
      <c r="J7" s="261"/>
      <c r="K7" s="261"/>
      <c r="L7" s="262" t="e">
        <f t="shared" si="0"/>
        <v>#REF!</v>
      </c>
      <c r="M7" s="854"/>
      <c r="N7" s="204" t="s">
        <v>186</v>
      </c>
    </row>
    <row r="8" spans="1:14" ht="25.5" x14ac:dyDescent="0.2">
      <c r="A8" s="862"/>
      <c r="B8" s="874"/>
      <c r="C8" s="258">
        <v>4</v>
      </c>
      <c r="D8" s="259" t="s">
        <v>149</v>
      </c>
      <c r="E8" s="871"/>
      <c r="F8" s="260" t="e">
        <f>#REF!</f>
        <v>#REF!</v>
      </c>
      <c r="G8" s="261"/>
      <c r="H8" s="261"/>
      <c r="I8" s="261"/>
      <c r="J8" s="261"/>
      <c r="K8" s="261" t="e">
        <f>#REF!*4</f>
        <v>#REF!</v>
      </c>
      <c r="L8" s="262" t="e">
        <f t="shared" si="0"/>
        <v>#REF!</v>
      </c>
      <c r="M8" s="854"/>
      <c r="N8" s="204" t="s">
        <v>187</v>
      </c>
    </row>
    <row r="9" spans="1:14" ht="39" thickBot="1" x14ac:dyDescent="0.25">
      <c r="A9" s="862"/>
      <c r="B9" s="875"/>
      <c r="C9" s="263">
        <v>5</v>
      </c>
      <c r="D9" s="264" t="s">
        <v>150</v>
      </c>
      <c r="E9" s="872"/>
      <c r="F9" s="265" t="e">
        <f>#REF!*E5</f>
        <v>#REF!</v>
      </c>
      <c r="G9" s="266"/>
      <c r="H9" s="266"/>
      <c r="I9" s="266"/>
      <c r="J9" s="266"/>
      <c r="K9" s="266"/>
      <c r="L9" s="267" t="e">
        <f t="shared" si="0"/>
        <v>#REF!</v>
      </c>
      <c r="M9" s="855"/>
    </row>
    <row r="10" spans="1:14" ht="25.5" x14ac:dyDescent="0.2">
      <c r="A10" s="862"/>
      <c r="B10" s="859" t="s">
        <v>139</v>
      </c>
      <c r="C10" s="211">
        <v>1</v>
      </c>
      <c r="D10" s="219" t="s">
        <v>151</v>
      </c>
      <c r="E10" s="864">
        <v>3</v>
      </c>
      <c r="F10" s="226" t="e">
        <f>#REF!+#REF!*E10</f>
        <v>#REF!</v>
      </c>
      <c r="G10" s="227"/>
      <c r="H10" s="227"/>
      <c r="I10" s="227"/>
      <c r="J10" s="227"/>
      <c r="K10" s="227"/>
      <c r="L10" s="237" t="e">
        <f>SUM(F10:K10)</f>
        <v>#REF!</v>
      </c>
      <c r="M10" s="856" t="e">
        <f>SUM(L10:L20)</f>
        <v>#REF!</v>
      </c>
    </row>
    <row r="11" spans="1:14" ht="38.25" x14ac:dyDescent="0.2">
      <c r="A11" s="862"/>
      <c r="B11" s="876"/>
      <c r="C11" s="210">
        <v>2</v>
      </c>
      <c r="D11" s="220" t="s">
        <v>152</v>
      </c>
      <c r="E11" s="865"/>
      <c r="F11" s="228" t="e">
        <f>#REF!*E10</f>
        <v>#REF!</v>
      </c>
      <c r="G11" s="229" t="e">
        <f>#REF!*4</f>
        <v>#REF!</v>
      </c>
      <c r="H11" s="229" t="e">
        <f>#REF!*10</f>
        <v>#REF!</v>
      </c>
      <c r="I11" s="229"/>
      <c r="J11" s="229"/>
      <c r="K11" s="229" t="e">
        <f>#REF!*4+#REF!</f>
        <v>#REF!</v>
      </c>
      <c r="L11" s="240" t="e">
        <f t="shared" ref="L11:L20" si="1">SUM(F11:K11)</f>
        <v>#REF!</v>
      </c>
      <c r="M11" s="857"/>
    </row>
    <row r="12" spans="1:14" ht="21" customHeight="1" x14ac:dyDescent="0.2">
      <c r="A12" s="862"/>
      <c r="B12" s="876"/>
      <c r="C12" s="210">
        <v>3</v>
      </c>
      <c r="D12" s="220" t="s">
        <v>174</v>
      </c>
      <c r="E12" s="865"/>
      <c r="F12" s="228" t="e">
        <f>#REF!+#REF!*4</f>
        <v>#REF!</v>
      </c>
      <c r="G12" s="229" t="e">
        <f>#REF!*2</f>
        <v>#REF!</v>
      </c>
      <c r="H12" s="229"/>
      <c r="I12" s="229"/>
      <c r="J12" s="229"/>
      <c r="K12" s="229"/>
      <c r="L12" s="240" t="e">
        <f t="shared" si="1"/>
        <v>#REF!</v>
      </c>
      <c r="M12" s="857"/>
    </row>
    <row r="13" spans="1:14" ht="20.25" customHeight="1" x14ac:dyDescent="0.2">
      <c r="A13" s="862"/>
      <c r="B13" s="876"/>
      <c r="C13" s="210">
        <v>4</v>
      </c>
      <c r="D13" s="220" t="s">
        <v>153</v>
      </c>
      <c r="E13" s="865"/>
      <c r="F13" s="228" t="e">
        <f>#REF!+#REF!+#REF!</f>
        <v>#REF!</v>
      </c>
      <c r="G13" s="229" t="e">
        <f>#REF!*2</f>
        <v>#REF!</v>
      </c>
      <c r="H13" s="229"/>
      <c r="I13" s="229"/>
      <c r="J13" s="229" t="e">
        <f>#REF!</f>
        <v>#REF!</v>
      </c>
      <c r="K13" s="229"/>
      <c r="L13" s="240" t="e">
        <f t="shared" si="1"/>
        <v>#REF!</v>
      </c>
      <c r="M13" s="857"/>
    </row>
    <row r="14" spans="1:14" ht="35.25" customHeight="1" x14ac:dyDescent="0.2">
      <c r="A14" s="862"/>
      <c r="B14" s="876"/>
      <c r="C14" s="210">
        <v>5</v>
      </c>
      <c r="D14" s="220" t="s">
        <v>154</v>
      </c>
      <c r="E14" s="865"/>
      <c r="F14" s="228" t="e">
        <f>#REF!+#REF!+#REF!+#REF!*2</f>
        <v>#REF!</v>
      </c>
      <c r="G14" s="229" t="e">
        <f>#REF!*2</f>
        <v>#REF!</v>
      </c>
      <c r="H14" s="229"/>
      <c r="I14" s="229"/>
      <c r="J14" s="229" t="e">
        <f>#REF!</f>
        <v>#REF!</v>
      </c>
      <c r="K14" s="229"/>
      <c r="L14" s="240" t="e">
        <f t="shared" si="1"/>
        <v>#REF!</v>
      </c>
      <c r="M14" s="857"/>
    </row>
    <row r="15" spans="1:14" ht="20.25" customHeight="1" x14ac:dyDescent="0.2">
      <c r="A15" s="862"/>
      <c r="B15" s="876"/>
      <c r="C15" s="210">
        <v>6</v>
      </c>
      <c r="D15" s="220" t="s">
        <v>155</v>
      </c>
      <c r="E15" s="865"/>
      <c r="F15" s="228" t="e">
        <f>#REF!+#REF!*2</f>
        <v>#REF!</v>
      </c>
      <c r="G15" s="229"/>
      <c r="H15" s="229"/>
      <c r="I15" s="229"/>
      <c r="J15" s="229"/>
      <c r="K15" s="229"/>
      <c r="L15" s="240" t="e">
        <f t="shared" si="1"/>
        <v>#REF!</v>
      </c>
      <c r="M15" s="857"/>
    </row>
    <row r="16" spans="1:14" ht="21" customHeight="1" x14ac:dyDescent="0.2">
      <c r="A16" s="862"/>
      <c r="B16" s="876"/>
      <c r="C16" s="210">
        <v>7</v>
      </c>
      <c r="D16" s="220" t="s">
        <v>156</v>
      </c>
      <c r="E16" s="865"/>
      <c r="F16" s="232" t="e">
        <f>#REF!+#REF!+#REF!*2</f>
        <v>#REF!</v>
      </c>
      <c r="G16" s="233"/>
      <c r="H16" s="233"/>
      <c r="I16" s="233"/>
      <c r="J16" s="233" t="e">
        <f>#REF!</f>
        <v>#REF!</v>
      </c>
      <c r="K16" s="233"/>
      <c r="L16" s="240" t="e">
        <f t="shared" si="1"/>
        <v>#REF!</v>
      </c>
      <c r="M16" s="857"/>
    </row>
    <row r="17" spans="1:20" ht="18.75" customHeight="1" x14ac:dyDescent="0.2">
      <c r="A17" s="862"/>
      <c r="B17" s="876"/>
      <c r="C17" s="210">
        <v>8</v>
      </c>
      <c r="D17" s="220" t="s">
        <v>170</v>
      </c>
      <c r="E17" s="865"/>
      <c r="F17" s="232" t="e">
        <f>#REF!*2</f>
        <v>#REF!</v>
      </c>
      <c r="G17" s="233"/>
      <c r="H17" s="233"/>
      <c r="I17" s="233"/>
      <c r="J17" s="233"/>
      <c r="K17" s="233"/>
      <c r="L17" s="240" t="e">
        <f t="shared" si="1"/>
        <v>#REF!</v>
      </c>
      <c r="M17" s="857"/>
    </row>
    <row r="18" spans="1:20" ht="24.75" customHeight="1" x14ac:dyDescent="0.2">
      <c r="A18" s="862"/>
      <c r="B18" s="876"/>
      <c r="C18" s="210">
        <v>9</v>
      </c>
      <c r="D18" s="220" t="s">
        <v>140</v>
      </c>
      <c r="E18" s="865"/>
      <c r="F18" s="232" t="e">
        <f>#REF!*2</f>
        <v>#REF!</v>
      </c>
      <c r="G18" s="233"/>
      <c r="H18" s="233"/>
      <c r="I18" s="233"/>
      <c r="J18" s="233"/>
      <c r="K18" s="233"/>
      <c r="L18" s="240" t="e">
        <f t="shared" si="1"/>
        <v>#REF!</v>
      </c>
      <c r="M18" s="857"/>
    </row>
    <row r="19" spans="1:20" ht="18" customHeight="1" x14ac:dyDescent="0.2">
      <c r="A19" s="862"/>
      <c r="B19" s="876"/>
      <c r="C19" s="210">
        <v>10</v>
      </c>
      <c r="D19" s="220" t="s">
        <v>141</v>
      </c>
      <c r="E19" s="865"/>
      <c r="F19" s="232" t="e">
        <f>#REF!+#REF!+#REF!+#REF!*2</f>
        <v>#REF!</v>
      </c>
      <c r="G19" s="233" t="e">
        <f>#REF!*2</f>
        <v>#REF!</v>
      </c>
      <c r="H19" s="233"/>
      <c r="I19" s="233"/>
      <c r="J19" s="233"/>
      <c r="K19" s="233"/>
      <c r="L19" s="240" t="e">
        <f t="shared" si="1"/>
        <v>#REF!</v>
      </c>
      <c r="M19" s="857"/>
    </row>
    <row r="20" spans="1:20" ht="30" customHeight="1" thickBot="1" x14ac:dyDescent="0.25">
      <c r="A20" s="862"/>
      <c r="B20" s="860"/>
      <c r="C20" s="215">
        <v>11</v>
      </c>
      <c r="D20" s="221" t="s">
        <v>175</v>
      </c>
      <c r="E20" s="866"/>
      <c r="F20" s="230" t="e">
        <f>#REF!+#REF!*2</f>
        <v>#REF!</v>
      </c>
      <c r="G20" s="231"/>
      <c r="H20" s="231" t="e">
        <f>#REF!*5</f>
        <v>#REF!</v>
      </c>
      <c r="I20" s="231"/>
      <c r="J20" s="231"/>
      <c r="K20" s="231"/>
      <c r="L20" s="241" t="e">
        <f t="shared" si="1"/>
        <v>#REF!</v>
      </c>
      <c r="M20" s="858"/>
    </row>
    <row r="21" spans="1:20" ht="40.15" customHeight="1" x14ac:dyDescent="0.2">
      <c r="A21" s="862"/>
      <c r="B21" s="859" t="s">
        <v>142</v>
      </c>
      <c r="C21" s="208">
        <v>1</v>
      </c>
      <c r="D21" s="222" t="s">
        <v>157</v>
      </c>
      <c r="E21" s="867">
        <v>6</v>
      </c>
      <c r="F21" s="879"/>
      <c r="G21" s="879"/>
      <c r="H21" s="879"/>
      <c r="I21" s="879"/>
      <c r="J21" s="879"/>
      <c r="K21" s="879"/>
      <c r="L21" s="879"/>
      <c r="M21" s="856" t="e">
        <f>SUM(L21:L38)</f>
        <v>#REF!</v>
      </c>
    </row>
    <row r="22" spans="1:20" ht="51" x14ac:dyDescent="0.2">
      <c r="A22" s="862"/>
      <c r="B22" s="876"/>
      <c r="C22" s="210">
        <v>1.1000000000000001</v>
      </c>
      <c r="D22" s="220" t="s">
        <v>158</v>
      </c>
      <c r="E22" s="868"/>
      <c r="F22" s="228" t="e">
        <f>#REF!+#REF!+#REF!*5</f>
        <v>#REF!</v>
      </c>
      <c r="G22" s="229"/>
      <c r="H22" s="229" t="e">
        <f>#REF!*4</f>
        <v>#REF!</v>
      </c>
      <c r="I22" s="229"/>
      <c r="J22" s="229" t="e">
        <f>#REF!</f>
        <v>#REF!</v>
      </c>
      <c r="K22" s="229"/>
      <c r="L22" s="238" t="e">
        <f>SUM(F22:K22)</f>
        <v>#REF!</v>
      </c>
      <c r="M22" s="877"/>
    </row>
    <row r="23" spans="1:20" ht="89.25" x14ac:dyDescent="0.2">
      <c r="A23" s="862"/>
      <c r="B23" s="876"/>
      <c r="C23" s="210">
        <v>1.2</v>
      </c>
      <c r="D23" s="220" t="s">
        <v>159</v>
      </c>
      <c r="E23" s="868"/>
      <c r="F23" s="228" t="e">
        <f>#REF!+#REF!+#REF!*5</f>
        <v>#REF!</v>
      </c>
      <c r="G23" s="229"/>
      <c r="H23" s="229"/>
      <c r="I23" s="229"/>
      <c r="J23" s="229"/>
      <c r="K23" s="229"/>
      <c r="L23" s="238" t="e">
        <f t="shared" ref="L23:L26" si="2">SUM(F23:K23)</f>
        <v>#REF!</v>
      </c>
      <c r="M23" s="877"/>
    </row>
    <row r="24" spans="1:20" ht="51" x14ac:dyDescent="0.2">
      <c r="A24" s="862"/>
      <c r="B24" s="876"/>
      <c r="C24" s="210">
        <v>1.3</v>
      </c>
      <c r="D24" s="220" t="s">
        <v>165</v>
      </c>
      <c r="E24" s="868"/>
      <c r="F24" s="228" t="e">
        <f>#REF!*3</f>
        <v>#REF!</v>
      </c>
      <c r="G24" s="229" t="e">
        <f>#REF!*3</f>
        <v>#REF!</v>
      </c>
      <c r="H24" s="229"/>
      <c r="I24" s="229"/>
      <c r="J24" s="229"/>
      <c r="K24" s="229" t="e">
        <f>#REF!</f>
        <v>#REF!</v>
      </c>
      <c r="L24" s="238" t="e">
        <f t="shared" si="2"/>
        <v>#REF!</v>
      </c>
      <c r="M24" s="877"/>
      <c r="N24" s="203"/>
      <c r="O24" s="203"/>
      <c r="P24" s="203"/>
      <c r="Q24" s="203"/>
      <c r="R24" s="203"/>
      <c r="S24" s="203"/>
      <c r="T24" s="203"/>
    </row>
    <row r="25" spans="1:20" ht="38.25" x14ac:dyDescent="0.2">
      <c r="A25" s="862"/>
      <c r="B25" s="876"/>
      <c r="C25" s="210">
        <v>1.4</v>
      </c>
      <c r="D25" s="220" t="s">
        <v>176</v>
      </c>
      <c r="E25" s="868"/>
      <c r="F25" s="228" t="e">
        <f>#REF!+#REF!*5</f>
        <v>#REF!</v>
      </c>
      <c r="G25" s="229"/>
      <c r="H25" s="229" t="e">
        <f>#REF!*4</f>
        <v>#REF!</v>
      </c>
      <c r="I25" s="229"/>
      <c r="J25" s="229"/>
      <c r="K25" s="229" t="e">
        <f>#REF!</f>
        <v>#REF!</v>
      </c>
      <c r="L25" s="238" t="e">
        <f t="shared" si="2"/>
        <v>#REF!</v>
      </c>
      <c r="M25" s="877"/>
    </row>
    <row r="26" spans="1:20" ht="38.25" x14ac:dyDescent="0.2">
      <c r="A26" s="862"/>
      <c r="B26" s="876"/>
      <c r="C26" s="210">
        <v>1.5</v>
      </c>
      <c r="D26" s="220" t="s">
        <v>160</v>
      </c>
      <c r="E26" s="868"/>
      <c r="F26" s="228" t="e">
        <f>#REF!*5+#REF!</f>
        <v>#REF!</v>
      </c>
      <c r="G26" s="229"/>
      <c r="H26" s="229"/>
      <c r="I26" s="229"/>
      <c r="J26" s="229"/>
      <c r="K26" s="229"/>
      <c r="L26" s="238" t="e">
        <f t="shared" si="2"/>
        <v>#REF!</v>
      </c>
      <c r="M26" s="877"/>
    </row>
    <row r="27" spans="1:20" ht="38.25" x14ac:dyDescent="0.2">
      <c r="A27" s="862"/>
      <c r="B27" s="876"/>
      <c r="C27" s="42">
        <v>2</v>
      </c>
      <c r="D27" s="223" t="s">
        <v>161</v>
      </c>
      <c r="E27" s="868"/>
      <c r="F27" s="850"/>
      <c r="G27" s="850"/>
      <c r="H27" s="850"/>
      <c r="I27" s="850"/>
      <c r="J27" s="850"/>
      <c r="K27" s="850"/>
      <c r="L27" s="850"/>
      <c r="M27" s="877"/>
    </row>
    <row r="28" spans="1:20" ht="51" x14ac:dyDescent="0.2">
      <c r="A28" s="862"/>
      <c r="B28" s="876"/>
      <c r="C28" s="210">
        <v>2.1</v>
      </c>
      <c r="D28" s="220" t="s">
        <v>162</v>
      </c>
      <c r="E28" s="868"/>
      <c r="F28" s="228" t="e">
        <f>#REF!+#REF!*5</f>
        <v>#REF!</v>
      </c>
      <c r="G28" s="229"/>
      <c r="H28" s="229"/>
      <c r="I28" s="229"/>
      <c r="J28" s="229"/>
      <c r="K28" s="229"/>
      <c r="L28" s="238" t="e">
        <f>SUM(F28:K28)</f>
        <v>#REF!</v>
      </c>
      <c r="M28" s="877"/>
    </row>
    <row r="29" spans="1:20" ht="38.25" x14ac:dyDescent="0.2">
      <c r="A29" s="862"/>
      <c r="B29" s="876"/>
      <c r="C29" s="210">
        <v>2.2000000000000002</v>
      </c>
      <c r="D29" s="220" t="s">
        <v>177</v>
      </c>
      <c r="E29" s="868"/>
      <c r="F29" s="228" t="e">
        <f>#REF!+#REF!*5</f>
        <v>#REF!</v>
      </c>
      <c r="G29" s="229"/>
      <c r="H29" s="229"/>
      <c r="I29" s="229"/>
      <c r="J29" s="229"/>
      <c r="K29" s="229" t="e">
        <f>#REF!</f>
        <v>#REF!</v>
      </c>
      <c r="L29" s="238" t="e">
        <f t="shared" ref="L29:L31" si="3">SUM(F29:K29)</f>
        <v>#REF!</v>
      </c>
      <c r="M29" s="877"/>
    </row>
    <row r="30" spans="1:20" ht="51" x14ac:dyDescent="0.2">
      <c r="A30" s="862"/>
      <c r="B30" s="876"/>
      <c r="C30" s="210">
        <v>2.2999999999999998</v>
      </c>
      <c r="D30" s="220" t="s">
        <v>163</v>
      </c>
      <c r="E30" s="868"/>
      <c r="F30" s="228" t="e">
        <f>#REF!*3</f>
        <v>#REF!</v>
      </c>
      <c r="G30" s="229" t="e">
        <f>#REF!*3</f>
        <v>#REF!</v>
      </c>
      <c r="H30" s="229"/>
      <c r="I30" s="229"/>
      <c r="J30" s="229"/>
      <c r="K30" s="229"/>
      <c r="L30" s="238" t="e">
        <f t="shared" si="3"/>
        <v>#REF!</v>
      </c>
      <c r="M30" s="877"/>
    </row>
    <row r="31" spans="1:20" ht="30" customHeight="1" x14ac:dyDescent="0.2">
      <c r="A31" s="862"/>
      <c r="B31" s="876"/>
      <c r="C31" s="210">
        <v>2.4</v>
      </c>
      <c r="D31" s="220" t="s">
        <v>164</v>
      </c>
      <c r="E31" s="868"/>
      <c r="F31" s="228" t="e">
        <f>#REF!+#REF!*5</f>
        <v>#REF!</v>
      </c>
      <c r="G31" s="229"/>
      <c r="H31" s="229" t="e">
        <f>#REF!*5</f>
        <v>#REF!</v>
      </c>
      <c r="I31" s="229"/>
      <c r="J31" s="229"/>
      <c r="K31" s="229" t="e">
        <f>#REF!</f>
        <v>#REF!</v>
      </c>
      <c r="L31" s="238" t="e">
        <f t="shared" si="3"/>
        <v>#REF!</v>
      </c>
      <c r="M31" s="877"/>
    </row>
    <row r="32" spans="1:20" ht="50.45" customHeight="1" x14ac:dyDescent="0.2">
      <c r="A32" s="862"/>
      <c r="B32" s="876"/>
      <c r="C32" s="42">
        <v>3</v>
      </c>
      <c r="D32" s="223" t="s">
        <v>171</v>
      </c>
      <c r="E32" s="868"/>
      <c r="F32" s="850"/>
      <c r="G32" s="850"/>
      <c r="H32" s="850"/>
      <c r="I32" s="850"/>
      <c r="J32" s="850"/>
      <c r="K32" s="850"/>
      <c r="L32" s="850"/>
      <c r="M32" s="877"/>
    </row>
    <row r="33" spans="1:14" ht="38.25" x14ac:dyDescent="0.2">
      <c r="A33" s="862"/>
      <c r="B33" s="876"/>
      <c r="C33" s="210">
        <v>3.1</v>
      </c>
      <c r="D33" s="220" t="s">
        <v>166</v>
      </c>
      <c r="E33" s="868"/>
      <c r="F33" s="228" t="e">
        <f>#REF!+#REF!*5</f>
        <v>#REF!</v>
      </c>
      <c r="G33" s="229" t="e">
        <f>#REF!*2</f>
        <v>#REF!</v>
      </c>
      <c r="H33" s="229"/>
      <c r="I33" s="229"/>
      <c r="J33" s="229"/>
      <c r="K33" s="229"/>
      <c r="L33" s="238" t="e">
        <f>SUM(F33:K33)</f>
        <v>#REF!</v>
      </c>
      <c r="M33" s="877"/>
    </row>
    <row r="34" spans="1:14" ht="30" customHeight="1" x14ac:dyDescent="0.2">
      <c r="A34" s="862"/>
      <c r="B34" s="876"/>
      <c r="C34" s="210">
        <v>3.2</v>
      </c>
      <c r="D34" s="220" t="s">
        <v>167</v>
      </c>
      <c r="E34" s="868"/>
      <c r="F34" s="228" t="e">
        <f>#REF!*5</f>
        <v>#REF!</v>
      </c>
      <c r="G34" s="229"/>
      <c r="H34" s="229"/>
      <c r="I34" s="229"/>
      <c r="J34" s="229"/>
      <c r="K34" s="229"/>
      <c r="L34" s="238" t="e">
        <f t="shared" ref="L34:L38" si="4">SUM(F34:K34)</f>
        <v>#REF!</v>
      </c>
      <c r="M34" s="877"/>
    </row>
    <row r="35" spans="1:14" ht="89.25" x14ac:dyDescent="0.2">
      <c r="A35" s="862"/>
      <c r="B35" s="876"/>
      <c r="C35" s="210">
        <v>3.3</v>
      </c>
      <c r="D35" s="220" t="s">
        <v>178</v>
      </c>
      <c r="E35" s="868"/>
      <c r="F35" s="228" t="e">
        <f>#REF!*5</f>
        <v>#REF!</v>
      </c>
      <c r="G35" s="229"/>
      <c r="H35" s="229"/>
      <c r="I35" s="229"/>
      <c r="J35" s="229"/>
      <c r="K35" s="229"/>
      <c r="L35" s="238" t="e">
        <f t="shared" si="4"/>
        <v>#REF!</v>
      </c>
      <c r="M35" s="877"/>
    </row>
    <row r="36" spans="1:14" ht="25.5" x14ac:dyDescent="0.2">
      <c r="A36" s="862"/>
      <c r="B36" s="876"/>
      <c r="C36" s="210">
        <v>3.4</v>
      </c>
      <c r="D36" s="220" t="s">
        <v>168</v>
      </c>
      <c r="E36" s="868"/>
      <c r="F36" s="228" t="e">
        <f>#REF!*5</f>
        <v>#REF!</v>
      </c>
      <c r="G36" s="229"/>
      <c r="H36" s="229" t="e">
        <f>#REF!*4</f>
        <v>#REF!</v>
      </c>
      <c r="I36" s="229"/>
      <c r="J36" s="229"/>
      <c r="K36" s="229"/>
      <c r="L36" s="238" t="e">
        <f t="shared" si="4"/>
        <v>#REF!</v>
      </c>
      <c r="M36" s="877"/>
    </row>
    <row r="37" spans="1:14" ht="38.25" x14ac:dyDescent="0.2">
      <c r="A37" s="862"/>
      <c r="B37" s="876"/>
      <c r="C37" s="42">
        <v>4</v>
      </c>
      <c r="D37" s="223" t="s">
        <v>169</v>
      </c>
      <c r="E37" s="868"/>
      <c r="F37" s="228" t="e">
        <f>#REF!+#REF!*5</f>
        <v>#REF!</v>
      </c>
      <c r="G37" s="229"/>
      <c r="H37" s="229"/>
      <c r="I37" s="229"/>
      <c r="J37" s="229"/>
      <c r="K37" s="229" t="e">
        <f>#REF!*4</f>
        <v>#REF!</v>
      </c>
      <c r="L37" s="238" t="e">
        <f t="shared" si="4"/>
        <v>#REF!</v>
      </c>
      <c r="M37" s="877"/>
    </row>
    <row r="38" spans="1:14" ht="30" customHeight="1" thickBot="1" x14ac:dyDescent="0.25">
      <c r="A38" s="862"/>
      <c r="B38" s="860"/>
      <c r="C38" s="243">
        <v>5</v>
      </c>
      <c r="D38" s="224" t="s">
        <v>184</v>
      </c>
      <c r="E38" s="869"/>
      <c r="F38" s="230" t="e">
        <f>#REF!+#REF!+#REF!*3+#REF!</f>
        <v>#REF!</v>
      </c>
      <c r="G38" s="231"/>
      <c r="H38" s="231"/>
      <c r="I38" s="231"/>
      <c r="J38" s="231"/>
      <c r="K38" s="231"/>
      <c r="L38" s="239" t="e">
        <f t="shared" si="4"/>
        <v>#REF!</v>
      </c>
      <c r="M38" s="878"/>
    </row>
    <row r="39" spans="1:14" ht="30" customHeight="1" x14ac:dyDescent="0.2">
      <c r="A39" s="862"/>
      <c r="B39" s="859" t="s">
        <v>143</v>
      </c>
      <c r="C39" s="211">
        <v>1</v>
      </c>
      <c r="D39" s="219" t="s">
        <v>144</v>
      </c>
      <c r="E39" s="864">
        <v>2</v>
      </c>
      <c r="F39" s="226" t="e">
        <f>#REF!+#REF!*2</f>
        <v>#REF!</v>
      </c>
      <c r="G39" s="227" t="e">
        <f>#REF!*4*2</f>
        <v>#REF!</v>
      </c>
      <c r="H39" s="227"/>
      <c r="I39" s="227" t="e">
        <f>#REF!*2</f>
        <v>#REF!</v>
      </c>
      <c r="J39" s="227" t="e">
        <f>#REF!</f>
        <v>#REF!</v>
      </c>
      <c r="K39" s="227" t="e">
        <f>#REF!</f>
        <v>#REF!</v>
      </c>
      <c r="L39" s="237" t="e">
        <f>SUM(F39:K39)</f>
        <v>#REF!</v>
      </c>
      <c r="M39" s="856" t="e">
        <f>SUM(L39:L40)</f>
        <v>#REF!</v>
      </c>
    </row>
    <row r="40" spans="1:14" ht="30" customHeight="1" thickBot="1" x14ac:dyDescent="0.25">
      <c r="A40" s="862"/>
      <c r="B40" s="860"/>
      <c r="C40" s="215">
        <v>2</v>
      </c>
      <c r="D40" s="221" t="s">
        <v>145</v>
      </c>
      <c r="E40" s="866"/>
      <c r="F40" s="230" t="e">
        <f>#REF!+#REF!*2</f>
        <v>#REF!</v>
      </c>
      <c r="G40" s="231" t="e">
        <f>#REF!*4*2</f>
        <v>#REF!</v>
      </c>
      <c r="H40" s="231"/>
      <c r="I40" s="231" t="e">
        <f>#REF!*2</f>
        <v>#REF!</v>
      </c>
      <c r="J40" s="231" t="e">
        <f>#REF!</f>
        <v>#REF!</v>
      </c>
      <c r="K40" s="231" t="e">
        <f>#REF!</f>
        <v>#REF!</v>
      </c>
      <c r="L40" s="239" t="e">
        <f>SUM(F40:K40)</f>
        <v>#REF!</v>
      </c>
      <c r="M40" s="858"/>
    </row>
    <row r="41" spans="1:14" ht="57.6" customHeight="1" thickBot="1" x14ac:dyDescent="0.25">
      <c r="A41" s="863"/>
      <c r="B41" s="245" t="s">
        <v>146</v>
      </c>
      <c r="C41" s="246">
        <v>1</v>
      </c>
      <c r="D41" s="247" t="s">
        <v>147</v>
      </c>
      <c r="E41" s="248">
        <v>2</v>
      </c>
      <c r="F41" s="249" t="e">
        <f>#REF!*2</f>
        <v>#REF!</v>
      </c>
      <c r="G41" s="250" t="e">
        <f>#REF!*2</f>
        <v>#REF!</v>
      </c>
      <c r="H41" s="250"/>
      <c r="I41" s="250"/>
      <c r="J41" s="250"/>
      <c r="K41" s="250" t="e">
        <f>#REF!</f>
        <v>#REF!</v>
      </c>
      <c r="L41" s="251" t="e">
        <f>SUM(F41:K41)</f>
        <v>#REF!</v>
      </c>
      <c r="M41" s="252" t="e">
        <f>SUM(L41)</f>
        <v>#REF!</v>
      </c>
      <c r="N41" s="204" t="s">
        <v>186</v>
      </c>
    </row>
    <row r="42" spans="1:14" ht="14.45" customHeight="1" thickBot="1" x14ac:dyDescent="0.25">
      <c r="A42" s="212"/>
      <c r="B42" s="212"/>
      <c r="C42" s="212"/>
      <c r="D42" s="212"/>
      <c r="E42" s="205">
        <f>SUM(E5:E41)</f>
        <v>15</v>
      </c>
      <c r="F42" s="234" t="e">
        <f>SUM(F5:F41)</f>
        <v>#REF!</v>
      </c>
      <c r="G42" s="235" t="e">
        <f>SUM(G5:G41)</f>
        <v>#REF!</v>
      </c>
      <c r="H42" s="235" t="e">
        <f>SUM(H5:H41)</f>
        <v>#REF!</v>
      </c>
      <c r="I42" s="235" t="e">
        <f t="shared" ref="I42:K42" si="5">SUM(I5:I41)</f>
        <v>#REF!</v>
      </c>
      <c r="J42" s="235" t="e">
        <f t="shared" si="5"/>
        <v>#REF!</v>
      </c>
      <c r="K42" s="236" t="e">
        <f t="shared" si="5"/>
        <v>#REF!</v>
      </c>
      <c r="L42" s="214"/>
      <c r="M42" s="242" t="e">
        <f>SUM(M5:M41)</f>
        <v>#REF!</v>
      </c>
    </row>
    <row r="43" spans="1:14" ht="14.45" customHeight="1" x14ac:dyDescent="0.2">
      <c r="A43" s="212"/>
      <c r="B43" s="212"/>
      <c r="C43" s="212"/>
      <c r="D43" s="212"/>
      <c r="E43" s="212"/>
      <c r="F43" s="212"/>
      <c r="G43" s="212"/>
      <c r="H43" s="212"/>
      <c r="I43" s="212"/>
      <c r="J43" s="212"/>
      <c r="K43" s="212"/>
    </row>
    <row r="44" spans="1:14" ht="18" customHeight="1" x14ac:dyDescent="0.2">
      <c r="A44" s="212"/>
      <c r="B44" s="212"/>
      <c r="C44" s="212"/>
      <c r="D44" s="212"/>
      <c r="E44" s="212"/>
      <c r="F44" s="212"/>
      <c r="G44" s="212"/>
      <c r="H44" s="212"/>
      <c r="I44" s="212"/>
      <c r="J44" s="212"/>
      <c r="K44" s="212"/>
      <c r="M44" s="216" t="e">
        <f>SUM(F42:K42)</f>
        <v>#REF!</v>
      </c>
    </row>
    <row r="45" spans="1:14" ht="18" customHeight="1" x14ac:dyDescent="0.2">
      <c r="A45" s="212"/>
      <c r="B45" s="212"/>
      <c r="C45" s="212"/>
      <c r="D45" s="212"/>
      <c r="E45" s="212"/>
      <c r="F45" s="212"/>
      <c r="G45" s="212"/>
      <c r="H45" s="212"/>
      <c r="I45" s="212"/>
      <c r="J45" s="212"/>
      <c r="K45" s="212"/>
    </row>
    <row r="46" spans="1:14" ht="14.45" customHeight="1" x14ac:dyDescent="0.2">
      <c r="A46" s="212"/>
      <c r="B46" s="212"/>
      <c r="C46" s="212"/>
      <c r="D46" s="212"/>
      <c r="E46" s="212"/>
      <c r="F46" s="212"/>
      <c r="G46" s="212"/>
      <c r="H46" s="212"/>
      <c r="I46" s="212"/>
      <c r="J46" s="212"/>
      <c r="K46" s="212"/>
    </row>
    <row r="47" spans="1:14" ht="14.45" customHeight="1" x14ac:dyDescent="0.2">
      <c r="A47" s="212"/>
      <c r="B47" s="212"/>
      <c r="C47" s="212"/>
      <c r="D47" s="212"/>
      <c r="E47" s="212"/>
      <c r="F47" s="212"/>
      <c r="G47" s="212"/>
      <c r="H47" s="212"/>
      <c r="I47" s="212"/>
      <c r="J47" s="212"/>
      <c r="K47" s="212"/>
    </row>
    <row r="48" spans="1:14" ht="18.75" customHeight="1" x14ac:dyDescent="0.2">
      <c r="A48" s="212"/>
      <c r="B48" s="212"/>
      <c r="C48" s="212"/>
      <c r="D48" s="212"/>
      <c r="E48" s="212"/>
      <c r="F48" s="212"/>
      <c r="G48" s="212"/>
      <c r="H48" s="212"/>
      <c r="I48" s="212"/>
      <c r="J48" s="212"/>
      <c r="K48" s="212"/>
    </row>
    <row r="49" spans="1:12" s="213" customFormat="1" ht="18.75" customHeight="1" x14ac:dyDescent="0.2">
      <c r="A49" s="212"/>
      <c r="B49" s="212"/>
      <c r="C49" s="212"/>
      <c r="D49" s="212"/>
      <c r="E49" s="212"/>
      <c r="F49" s="212"/>
      <c r="G49" s="212"/>
      <c r="H49" s="212"/>
      <c r="I49" s="212"/>
      <c r="J49" s="212"/>
      <c r="K49" s="212"/>
      <c r="L49" s="204"/>
    </row>
    <row r="50" spans="1:12" s="213" customFormat="1" ht="14.45" customHeight="1" x14ac:dyDescent="0.2">
      <c r="A50" s="212"/>
      <c r="B50" s="212"/>
      <c r="C50" s="212"/>
      <c r="D50" s="212"/>
      <c r="E50" s="212"/>
      <c r="F50" s="212"/>
      <c r="G50" s="212"/>
      <c r="H50" s="212"/>
      <c r="I50" s="212"/>
      <c r="J50" s="212"/>
      <c r="K50" s="212"/>
      <c r="L50" s="204"/>
    </row>
    <row r="51" spans="1:12" s="213" customFormat="1" ht="14.45" customHeight="1" x14ac:dyDescent="0.2">
      <c r="A51" s="212"/>
      <c r="B51" s="212"/>
      <c r="C51" s="212"/>
      <c r="D51" s="212"/>
      <c r="E51" s="212"/>
      <c r="F51" s="212"/>
      <c r="G51" s="212"/>
      <c r="H51" s="212"/>
      <c r="I51" s="212"/>
      <c r="J51" s="212"/>
      <c r="K51" s="212"/>
      <c r="L51" s="204"/>
    </row>
    <row r="52" spans="1:12" s="213" customFormat="1" ht="14.45" customHeight="1" x14ac:dyDescent="0.2">
      <c r="A52" s="212"/>
      <c r="B52" s="212"/>
      <c r="C52" s="212"/>
      <c r="D52" s="212"/>
      <c r="E52" s="212"/>
      <c r="F52" s="212"/>
      <c r="G52" s="212"/>
      <c r="H52" s="212"/>
      <c r="I52" s="212"/>
      <c r="J52" s="212"/>
      <c r="K52" s="212"/>
      <c r="L52" s="204"/>
    </row>
    <row r="53" spans="1:12" s="213" customFormat="1" ht="14.45" customHeight="1" x14ac:dyDescent="0.2">
      <c r="A53" s="212"/>
      <c r="B53" s="212"/>
      <c r="C53" s="212"/>
      <c r="D53" s="212"/>
      <c r="E53" s="212"/>
      <c r="F53" s="212"/>
      <c r="G53" s="212"/>
      <c r="H53" s="212"/>
      <c r="I53" s="212"/>
      <c r="J53" s="212"/>
      <c r="K53" s="212"/>
      <c r="L53" s="204"/>
    </row>
    <row r="54" spans="1:12" s="213" customFormat="1" ht="14.45" customHeight="1" x14ac:dyDescent="0.2">
      <c r="A54" s="212"/>
      <c r="B54" s="212"/>
      <c r="C54" s="212"/>
      <c r="D54" s="212"/>
      <c r="E54" s="212"/>
      <c r="F54" s="212"/>
      <c r="G54" s="212"/>
      <c r="H54" s="212"/>
      <c r="I54" s="212"/>
      <c r="J54" s="212"/>
      <c r="K54" s="212"/>
      <c r="L54" s="204"/>
    </row>
    <row r="55" spans="1:12" s="213" customFormat="1" ht="14.45" customHeight="1" x14ac:dyDescent="0.2">
      <c r="A55" s="212"/>
      <c r="B55" s="212"/>
      <c r="C55" s="212"/>
      <c r="D55" s="212"/>
      <c r="E55" s="212"/>
      <c r="F55" s="212"/>
      <c r="G55" s="212"/>
      <c r="H55" s="212"/>
      <c r="I55" s="212"/>
      <c r="J55" s="212"/>
      <c r="K55" s="212"/>
      <c r="L55" s="204"/>
    </row>
    <row r="56" spans="1:12" s="213" customFormat="1" ht="14.45" customHeight="1" x14ac:dyDescent="0.2">
      <c r="A56" s="212"/>
      <c r="B56" s="212"/>
      <c r="C56" s="212"/>
      <c r="D56" s="212"/>
      <c r="E56" s="212"/>
      <c r="F56" s="212"/>
      <c r="G56" s="212"/>
      <c r="H56" s="212"/>
      <c r="I56" s="212"/>
      <c r="J56" s="212"/>
      <c r="K56" s="212"/>
      <c r="L56" s="204"/>
    </row>
    <row r="57" spans="1:12" s="213" customFormat="1" ht="14.45" customHeight="1" x14ac:dyDescent="0.2">
      <c r="A57" s="212"/>
      <c r="B57" s="212"/>
      <c r="C57" s="212"/>
      <c r="D57" s="212"/>
      <c r="E57" s="212"/>
      <c r="F57" s="212"/>
      <c r="G57" s="212"/>
      <c r="H57" s="212"/>
      <c r="I57" s="212"/>
      <c r="J57" s="212"/>
      <c r="K57" s="212"/>
      <c r="L57" s="204"/>
    </row>
    <row r="58" spans="1:12" s="213" customFormat="1" ht="14.45" customHeight="1" x14ac:dyDescent="0.2">
      <c r="A58" s="212"/>
      <c r="B58" s="212"/>
      <c r="C58" s="212"/>
      <c r="D58" s="212"/>
      <c r="E58" s="212"/>
      <c r="F58" s="212"/>
      <c r="G58" s="212"/>
      <c r="H58" s="212"/>
      <c r="I58" s="212"/>
      <c r="J58" s="212"/>
      <c r="K58" s="212"/>
      <c r="L58" s="204"/>
    </row>
    <row r="59" spans="1:12" s="213" customFormat="1" ht="14.45" customHeight="1" x14ac:dyDescent="0.2">
      <c r="A59" s="212"/>
      <c r="B59" s="212"/>
      <c r="C59" s="212"/>
      <c r="D59" s="212"/>
      <c r="E59" s="212"/>
      <c r="F59" s="212"/>
      <c r="G59" s="212"/>
      <c r="H59" s="212"/>
      <c r="I59" s="212"/>
      <c r="J59" s="212"/>
      <c r="K59" s="212"/>
      <c r="L59" s="204"/>
    </row>
    <row r="60" spans="1:12" s="213" customFormat="1" ht="14.45" customHeight="1" x14ac:dyDescent="0.2">
      <c r="A60" s="212"/>
      <c r="B60" s="212"/>
      <c r="C60" s="212"/>
      <c r="D60" s="212"/>
      <c r="E60" s="212"/>
      <c r="F60" s="212"/>
      <c r="G60" s="212"/>
      <c r="H60" s="212"/>
      <c r="I60" s="212"/>
      <c r="J60" s="212"/>
      <c r="K60" s="212"/>
      <c r="L60" s="204"/>
    </row>
    <row r="61" spans="1:12" s="213" customFormat="1" ht="14.45" customHeight="1" x14ac:dyDescent="0.2">
      <c r="A61" s="212"/>
      <c r="B61" s="212"/>
      <c r="C61" s="212"/>
      <c r="D61" s="212"/>
      <c r="E61" s="212"/>
      <c r="F61" s="212"/>
      <c r="G61" s="212"/>
      <c r="H61" s="212"/>
      <c r="I61" s="212"/>
      <c r="J61" s="212"/>
      <c r="K61" s="212"/>
      <c r="L61" s="204"/>
    </row>
    <row r="62" spans="1:12" s="213" customFormat="1" ht="14.45" customHeight="1" x14ac:dyDescent="0.2">
      <c r="A62" s="212"/>
      <c r="B62" s="212"/>
      <c r="C62" s="212"/>
      <c r="D62" s="212"/>
      <c r="E62" s="212"/>
      <c r="F62" s="212"/>
      <c r="G62" s="212"/>
      <c r="H62" s="212"/>
      <c r="I62" s="212"/>
      <c r="J62" s="212"/>
      <c r="K62" s="212"/>
      <c r="L62" s="204"/>
    </row>
    <row r="63" spans="1:12" s="213" customFormat="1" ht="15" customHeight="1" x14ac:dyDescent="0.2">
      <c r="A63" s="212"/>
      <c r="B63" s="212"/>
      <c r="C63" s="212"/>
      <c r="D63" s="212"/>
      <c r="E63" s="212"/>
      <c r="F63" s="212"/>
      <c r="G63" s="212"/>
      <c r="H63" s="212"/>
      <c r="I63" s="212"/>
      <c r="J63" s="212"/>
      <c r="K63" s="212"/>
      <c r="L63" s="204"/>
    </row>
  </sheetData>
  <mergeCells count="18">
    <mergeCell ref="M39:M40"/>
    <mergeCell ref="B39:B40"/>
    <mergeCell ref="A5:A41"/>
    <mergeCell ref="E10:E20"/>
    <mergeCell ref="E21:E38"/>
    <mergeCell ref="E39:E40"/>
    <mergeCell ref="E5:E9"/>
    <mergeCell ref="B5:B9"/>
    <mergeCell ref="B10:B20"/>
    <mergeCell ref="B21:B38"/>
    <mergeCell ref="M21:M38"/>
    <mergeCell ref="F21:L21"/>
    <mergeCell ref="F27:L27"/>
    <mergeCell ref="F32:L32"/>
    <mergeCell ref="A1:M1"/>
    <mergeCell ref="A2:L2"/>
    <mergeCell ref="M5:M9"/>
    <mergeCell ref="M10:M20"/>
  </mergeCells>
  <printOptions horizontalCentered="1" verticalCentered="1"/>
  <pageMargins left="0.19685039370078741" right="0.27559055118110237" top="0.55118110236220474" bottom="0.35433070866141736" header="0.31496062992125984" footer="0.31496062992125984"/>
  <pageSetup paperSize="5"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sheetPr>
  <dimension ref="A1:H31"/>
  <sheetViews>
    <sheetView zoomScale="70" zoomScaleNormal="70" workbookViewId="0">
      <selection activeCell="M21" sqref="M21"/>
    </sheetView>
  </sheetViews>
  <sheetFormatPr baseColWidth="10" defaultColWidth="11.42578125" defaultRowHeight="15" x14ac:dyDescent="0.25"/>
  <cols>
    <col min="4" max="4" width="16.28515625" customWidth="1"/>
    <col min="6" max="6" width="18.85546875" customWidth="1"/>
    <col min="7" max="7" width="15.28515625" customWidth="1"/>
    <col min="8" max="8" width="17.7109375" customWidth="1"/>
  </cols>
  <sheetData>
    <row r="1" spans="1:8" ht="15.75" thickBot="1" x14ac:dyDescent="0.3">
      <c r="A1" s="3"/>
      <c r="B1" s="4"/>
      <c r="C1" s="4"/>
      <c r="D1" s="4"/>
      <c r="E1" s="4"/>
      <c r="F1" s="4"/>
      <c r="G1" s="4"/>
      <c r="H1" s="5"/>
    </row>
    <row r="2" spans="1:8" ht="30" customHeight="1" thickBot="1" x14ac:dyDescent="0.3">
      <c r="A2" s="882" t="s">
        <v>41</v>
      </c>
      <c r="B2" s="883"/>
      <c r="C2" s="883"/>
      <c r="D2" s="883"/>
      <c r="E2" s="883"/>
      <c r="F2" s="883"/>
      <c r="G2" s="883"/>
      <c r="H2" s="884"/>
    </row>
    <row r="3" spans="1:8" ht="15.75" thickBot="1" x14ac:dyDescent="0.3">
      <c r="A3" s="885">
        <f>'PRESUPUESTO FINAL'!A3</f>
        <v>0</v>
      </c>
      <c r="B3" s="886"/>
      <c r="C3" s="886"/>
      <c r="D3" s="886"/>
      <c r="E3" s="886"/>
      <c r="F3" s="886"/>
      <c r="G3" s="886"/>
      <c r="H3" s="887"/>
    </row>
    <row r="4" spans="1:8" ht="42" customHeight="1" thickBot="1" x14ac:dyDescent="0.3">
      <c r="A4" s="888" t="s">
        <v>10</v>
      </c>
      <c r="B4" s="889"/>
      <c r="C4" s="889"/>
      <c r="D4" s="890"/>
      <c r="E4" s="6" t="s">
        <v>11</v>
      </c>
      <c r="F4" s="7" t="s">
        <v>12</v>
      </c>
      <c r="G4" s="8" t="s">
        <v>13</v>
      </c>
      <c r="H4" s="9" t="s">
        <v>2</v>
      </c>
    </row>
    <row r="5" spans="1:8" x14ac:dyDescent="0.25">
      <c r="A5" s="891" t="s">
        <v>14</v>
      </c>
      <c r="B5" s="892"/>
      <c r="C5" s="892"/>
      <c r="D5" s="893"/>
      <c r="E5" s="10"/>
      <c r="F5" s="10"/>
      <c r="G5" s="10"/>
      <c r="H5" s="10"/>
    </row>
    <row r="6" spans="1:8" ht="28.9" customHeight="1" x14ac:dyDescent="0.25">
      <c r="A6" s="894" t="s">
        <v>44</v>
      </c>
      <c r="B6" s="895"/>
      <c r="C6" s="895"/>
      <c r="D6" s="896"/>
      <c r="E6" s="1">
        <v>15</v>
      </c>
      <c r="F6" s="11">
        <v>4500000</v>
      </c>
      <c r="G6" s="41">
        <v>0.5</v>
      </c>
      <c r="H6" s="13">
        <f>+E6*F6*G6</f>
        <v>33750000</v>
      </c>
    </row>
    <row r="7" spans="1:8" x14ac:dyDescent="0.25">
      <c r="A7" s="894" t="s">
        <v>182</v>
      </c>
      <c r="B7" s="895"/>
      <c r="C7" s="895"/>
      <c r="D7" s="896"/>
      <c r="E7" s="1">
        <f>+E6</f>
        <v>15</v>
      </c>
      <c r="F7" s="11">
        <v>4500000</v>
      </c>
      <c r="G7" s="41">
        <v>0.5</v>
      </c>
      <c r="H7" s="13">
        <f t="shared" ref="H7:H8" si="0">+E7*F7*G7</f>
        <v>33750000</v>
      </c>
    </row>
    <row r="8" spans="1:8" ht="15" customHeight="1" thickBot="1" x14ac:dyDescent="0.3">
      <c r="A8" s="894" t="s">
        <v>15</v>
      </c>
      <c r="B8" s="895"/>
      <c r="C8" s="895"/>
      <c r="D8" s="896"/>
      <c r="E8" s="1">
        <f>+E7</f>
        <v>15</v>
      </c>
      <c r="F8" s="11">
        <v>3500000</v>
      </c>
      <c r="G8" s="41">
        <v>0.3</v>
      </c>
      <c r="H8" s="13">
        <f t="shared" si="0"/>
        <v>15750000</v>
      </c>
    </row>
    <row r="9" spans="1:8" ht="15.75" thickBot="1" x14ac:dyDescent="0.3">
      <c r="A9" s="269" t="s">
        <v>189</v>
      </c>
      <c r="B9" s="270"/>
      <c r="C9" s="270"/>
      <c r="D9" s="270"/>
      <c r="E9" s="897" t="s">
        <v>16</v>
      </c>
      <c r="F9" s="898"/>
      <c r="G9" s="898"/>
      <c r="H9" s="15">
        <f>SUM(H6:H8)</f>
        <v>83250000</v>
      </c>
    </row>
    <row r="10" spans="1:8" ht="15.75" thickBot="1" x14ac:dyDescent="0.3">
      <c r="A10" s="269" t="s">
        <v>190</v>
      </c>
      <c r="B10" s="270"/>
      <c r="C10" s="270"/>
      <c r="D10" s="270"/>
      <c r="E10" s="899" t="s">
        <v>17</v>
      </c>
      <c r="F10" s="900"/>
      <c r="G10" s="900"/>
      <c r="H10" s="36">
        <v>2.1800000000000002</v>
      </c>
    </row>
    <row r="11" spans="1:8" ht="16.5" thickBot="1" x14ac:dyDescent="0.3">
      <c r="A11" s="269" t="s">
        <v>191</v>
      </c>
      <c r="B11" s="270"/>
      <c r="C11" s="270"/>
      <c r="D11" s="270"/>
      <c r="E11" s="880" t="s">
        <v>18</v>
      </c>
      <c r="F11" s="881"/>
      <c r="G11" s="881"/>
      <c r="H11" s="15">
        <f>+H9*H10</f>
        <v>181485000</v>
      </c>
    </row>
    <row r="12" spans="1:8" ht="15.75" thickBot="1" x14ac:dyDescent="0.3">
      <c r="A12" s="14"/>
      <c r="H12" s="16"/>
    </row>
    <row r="13" spans="1:8" ht="16.5" thickBot="1" x14ac:dyDescent="0.3">
      <c r="A13" s="888" t="s">
        <v>10</v>
      </c>
      <c r="B13" s="889"/>
      <c r="C13" s="889"/>
      <c r="D13" s="890"/>
      <c r="E13" s="6" t="s">
        <v>0</v>
      </c>
      <c r="F13" s="7" t="s">
        <v>19</v>
      </c>
      <c r="G13" s="8" t="s">
        <v>33</v>
      </c>
      <c r="H13" s="17" t="s">
        <v>2</v>
      </c>
    </row>
    <row r="14" spans="1:8" x14ac:dyDescent="0.25">
      <c r="A14" s="891" t="s">
        <v>20</v>
      </c>
      <c r="B14" s="892"/>
      <c r="C14" s="892"/>
      <c r="D14" s="893"/>
      <c r="E14" s="10"/>
      <c r="F14" s="10"/>
      <c r="G14" s="10"/>
      <c r="H14" s="18"/>
    </row>
    <row r="15" spans="1:8" x14ac:dyDescent="0.25">
      <c r="A15" s="894" t="s">
        <v>21</v>
      </c>
      <c r="B15" s="895"/>
      <c r="C15" s="895"/>
      <c r="D15" s="896"/>
      <c r="E15" s="1"/>
      <c r="F15" s="1"/>
      <c r="G15" s="19"/>
      <c r="H15" s="20"/>
    </row>
    <row r="16" spans="1:8" ht="15.75" thickBot="1" x14ac:dyDescent="0.3">
      <c r="A16" s="894" t="s">
        <v>22</v>
      </c>
      <c r="B16" s="895"/>
      <c r="C16" s="895"/>
      <c r="D16" s="896"/>
      <c r="E16" s="1" t="s">
        <v>9</v>
      </c>
      <c r="F16" s="11">
        <v>4000000</v>
      </c>
      <c r="G16" s="12">
        <v>9</v>
      </c>
      <c r="H16" s="13">
        <f>+F16*G16</f>
        <v>36000000</v>
      </c>
    </row>
    <row r="17" spans="1:8" ht="15.75" thickBot="1" x14ac:dyDescent="0.3">
      <c r="A17" s="14"/>
      <c r="E17" s="901" t="s">
        <v>23</v>
      </c>
      <c r="F17" s="902"/>
      <c r="G17" s="903"/>
      <c r="H17" s="15">
        <f>SUM(H16:H16)</f>
        <v>36000000</v>
      </c>
    </row>
    <row r="18" spans="1:8" ht="15.75" thickBot="1" x14ac:dyDescent="0.3">
      <c r="A18" s="14"/>
      <c r="H18" s="16"/>
    </row>
    <row r="19" spans="1:8" ht="15.75" thickBot="1" x14ac:dyDescent="0.3">
      <c r="A19" s="14"/>
      <c r="E19" s="904" t="s">
        <v>24</v>
      </c>
      <c r="F19" s="905"/>
      <c r="G19" s="906"/>
      <c r="H19" s="21">
        <f>+H11+H17</f>
        <v>217485000</v>
      </c>
    </row>
    <row r="20" spans="1:8" ht="15.75" thickBot="1" x14ac:dyDescent="0.3">
      <c r="A20" s="14"/>
      <c r="E20" s="904" t="s">
        <v>45</v>
      </c>
      <c r="F20" s="905"/>
      <c r="G20" s="906"/>
      <c r="H20" s="21">
        <f>+H19*0.16</f>
        <v>34797600</v>
      </c>
    </row>
    <row r="21" spans="1:8" ht="16.5" thickBot="1" x14ac:dyDescent="0.3">
      <c r="A21" s="14"/>
      <c r="E21" s="907" t="s">
        <v>46</v>
      </c>
      <c r="F21" s="908"/>
      <c r="G21" s="909"/>
      <c r="H21" s="22">
        <f>+H20+H19</f>
        <v>252282600</v>
      </c>
    </row>
    <row r="22" spans="1:8" x14ac:dyDescent="0.25">
      <c r="A22" s="14"/>
      <c r="H22" s="23"/>
    </row>
    <row r="23" spans="1:8" ht="15.75" thickBot="1" x14ac:dyDescent="0.3">
      <c r="A23" s="24"/>
      <c r="B23" s="25"/>
      <c r="C23" s="25"/>
      <c r="D23" s="25"/>
      <c r="E23" s="25"/>
      <c r="F23" s="25"/>
      <c r="G23" s="25"/>
      <c r="H23" s="26" t="s">
        <v>192</v>
      </c>
    </row>
    <row r="24" spans="1:8" x14ac:dyDescent="0.25">
      <c r="A24" s="3"/>
      <c r="B24" s="4"/>
      <c r="C24" s="4"/>
      <c r="D24" s="4"/>
      <c r="E24" s="4"/>
      <c r="F24" s="4"/>
      <c r="G24" s="4"/>
      <c r="H24" s="5"/>
    </row>
    <row r="25" spans="1:8" x14ac:dyDescent="0.25">
      <c r="A25" s="14"/>
      <c r="H25" s="23"/>
    </row>
    <row r="26" spans="1:8" x14ac:dyDescent="0.25">
      <c r="A26" s="14"/>
      <c r="H26" s="23"/>
    </row>
    <row r="27" spans="1:8" x14ac:dyDescent="0.25">
      <c r="A27" s="910" t="s">
        <v>25</v>
      </c>
      <c r="B27" s="911"/>
      <c r="C27" s="911"/>
      <c r="D27" s="911"/>
      <c r="H27" s="23"/>
    </row>
    <row r="28" spans="1:8" x14ac:dyDescent="0.25">
      <c r="A28" s="27"/>
      <c r="H28" s="23"/>
    </row>
    <row r="29" spans="1:8" x14ac:dyDescent="0.25">
      <c r="A29" s="14"/>
      <c r="H29" s="23"/>
    </row>
    <row r="30" spans="1:8" x14ac:dyDescent="0.25">
      <c r="A30" s="14"/>
      <c r="H30" s="23"/>
    </row>
    <row r="31" spans="1:8" ht="15.75" thickBot="1" x14ac:dyDescent="0.3">
      <c r="A31" s="24"/>
      <c r="B31" s="25"/>
      <c r="C31" s="25"/>
      <c r="D31" s="25"/>
      <c r="E31" s="25"/>
      <c r="F31" s="25"/>
      <c r="G31" s="25"/>
      <c r="H31" s="26"/>
    </row>
  </sheetData>
  <mergeCells count="19">
    <mergeCell ref="E17:G17"/>
    <mergeCell ref="E19:G19"/>
    <mergeCell ref="E21:G21"/>
    <mergeCell ref="A27:D27"/>
    <mergeCell ref="A13:D13"/>
    <mergeCell ref="A14:D14"/>
    <mergeCell ref="A15:D15"/>
    <mergeCell ref="A16:D16"/>
    <mergeCell ref="E20:G20"/>
    <mergeCell ref="E11:G11"/>
    <mergeCell ref="A2:H2"/>
    <mergeCell ref="A3:H3"/>
    <mergeCell ref="A4:D4"/>
    <mergeCell ref="A5:D5"/>
    <mergeCell ref="A6:D6"/>
    <mergeCell ref="A7:D7"/>
    <mergeCell ref="A8:D8"/>
    <mergeCell ref="E9:G9"/>
    <mergeCell ref="E10:G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52"/>
  <sheetViews>
    <sheetView tabSelected="1" view="pageBreakPreview" topLeftCell="A4" zoomScale="80" zoomScaleNormal="80" zoomScaleSheetLayoutView="80" workbookViewId="0">
      <selection activeCell="C44" sqref="C44"/>
    </sheetView>
  </sheetViews>
  <sheetFormatPr baseColWidth="10" defaultColWidth="11.42578125" defaultRowHeight="12.75" x14ac:dyDescent="0.2"/>
  <cols>
    <col min="1" max="1" width="6.5703125" style="655" customWidth="1"/>
    <col min="2" max="2" width="41.140625" style="655" customWidth="1"/>
    <col min="3" max="3" width="11.5703125" style="655" customWidth="1"/>
    <col min="4" max="4" width="13.42578125" style="655" customWidth="1"/>
    <col min="5" max="5" width="11.85546875" style="655" customWidth="1"/>
    <col min="6" max="6" width="17.7109375" style="655" customWidth="1"/>
    <col min="7" max="7" width="12.140625" style="578" customWidth="1"/>
    <col min="8" max="11" width="4" style="655" customWidth="1"/>
    <col min="12" max="12" width="8.5703125" style="655" customWidth="1"/>
    <col min="13" max="13" width="23.28515625" style="578" customWidth="1"/>
    <col min="14" max="15" width="23.28515625" style="578" hidden="1" customWidth="1"/>
    <col min="16" max="16" width="3.140625" style="578" customWidth="1"/>
    <col min="17" max="20" width="23.28515625" style="579" customWidth="1"/>
    <col min="21" max="21" width="19" style="580" customWidth="1"/>
    <col min="22" max="22" width="16.7109375" style="580" customWidth="1"/>
    <col min="23" max="25" width="11.42578125" style="580"/>
    <col min="26" max="28" width="11.42578125" style="581"/>
    <col min="29" max="251" width="11.42578125" style="604"/>
    <col min="252" max="252" width="5.28515625" style="604" customWidth="1"/>
    <col min="253" max="253" width="41.28515625" style="604" customWidth="1"/>
    <col min="254" max="254" width="10.28515625" style="604" customWidth="1"/>
    <col min="255" max="255" width="11.28515625" style="604" customWidth="1"/>
    <col min="256" max="256" width="11.85546875" style="604" customWidth="1"/>
    <col min="257" max="257" width="14.7109375" style="604" customWidth="1"/>
    <col min="258" max="258" width="12.7109375" style="604" customWidth="1"/>
    <col min="259" max="274" width="4" style="604" customWidth="1"/>
    <col min="275" max="275" width="7.7109375" style="604" customWidth="1"/>
    <col min="276" max="276" width="23.28515625" style="604" customWidth="1"/>
    <col min="277" max="277" width="19" style="604" customWidth="1"/>
    <col min="278" max="278" width="12.28515625" style="604" customWidth="1"/>
    <col min="279" max="507" width="11.42578125" style="604"/>
    <col min="508" max="508" width="5.28515625" style="604" customWidth="1"/>
    <col min="509" max="509" width="41.28515625" style="604" customWidth="1"/>
    <col min="510" max="510" width="10.28515625" style="604" customWidth="1"/>
    <col min="511" max="511" width="11.28515625" style="604" customWidth="1"/>
    <col min="512" max="512" width="11.85546875" style="604" customWidth="1"/>
    <col min="513" max="513" width="14.7109375" style="604" customWidth="1"/>
    <col min="514" max="514" width="12.7109375" style="604" customWidth="1"/>
    <col min="515" max="530" width="4" style="604" customWidth="1"/>
    <col min="531" max="531" width="7.7109375" style="604" customWidth="1"/>
    <col min="532" max="532" width="23.28515625" style="604" customWidth="1"/>
    <col min="533" max="533" width="19" style="604" customWidth="1"/>
    <col min="534" max="534" width="12.28515625" style="604" customWidth="1"/>
    <col min="535" max="763" width="11.42578125" style="604"/>
    <col min="764" max="764" width="5.28515625" style="604" customWidth="1"/>
    <col min="765" max="765" width="41.28515625" style="604" customWidth="1"/>
    <col min="766" max="766" width="10.28515625" style="604" customWidth="1"/>
    <col min="767" max="767" width="11.28515625" style="604" customWidth="1"/>
    <col min="768" max="768" width="11.85546875" style="604" customWidth="1"/>
    <col min="769" max="769" width="14.7109375" style="604" customWidth="1"/>
    <col min="770" max="770" width="12.7109375" style="604" customWidth="1"/>
    <col min="771" max="786" width="4" style="604" customWidth="1"/>
    <col min="787" max="787" width="7.7109375" style="604" customWidth="1"/>
    <col min="788" max="788" width="23.28515625" style="604" customWidth="1"/>
    <col min="789" max="789" width="19" style="604" customWidth="1"/>
    <col min="790" max="790" width="12.28515625" style="604" customWidth="1"/>
    <col min="791" max="1019" width="11.42578125" style="604"/>
    <col min="1020" max="1020" width="5.28515625" style="604" customWidth="1"/>
    <col min="1021" max="1021" width="41.28515625" style="604" customWidth="1"/>
    <col min="1022" max="1022" width="10.28515625" style="604" customWidth="1"/>
    <col min="1023" max="1023" width="11.28515625" style="604" customWidth="1"/>
    <col min="1024" max="1024" width="11.85546875" style="604" customWidth="1"/>
    <col min="1025" max="1025" width="14.7109375" style="604" customWidth="1"/>
    <col min="1026" max="1026" width="12.7109375" style="604" customWidth="1"/>
    <col min="1027" max="1042" width="4" style="604" customWidth="1"/>
    <col min="1043" max="1043" width="7.7109375" style="604" customWidth="1"/>
    <col min="1044" max="1044" width="23.28515625" style="604" customWidth="1"/>
    <col min="1045" max="1045" width="19" style="604" customWidth="1"/>
    <col min="1046" max="1046" width="12.28515625" style="604" customWidth="1"/>
    <col min="1047" max="1275" width="11.42578125" style="604"/>
    <col min="1276" max="1276" width="5.28515625" style="604" customWidth="1"/>
    <col min="1277" max="1277" width="41.28515625" style="604" customWidth="1"/>
    <col min="1278" max="1278" width="10.28515625" style="604" customWidth="1"/>
    <col min="1279" max="1279" width="11.28515625" style="604" customWidth="1"/>
    <col min="1280" max="1280" width="11.85546875" style="604" customWidth="1"/>
    <col min="1281" max="1281" width="14.7109375" style="604" customWidth="1"/>
    <col min="1282" max="1282" width="12.7109375" style="604" customWidth="1"/>
    <col min="1283" max="1298" width="4" style="604" customWidth="1"/>
    <col min="1299" max="1299" width="7.7109375" style="604" customWidth="1"/>
    <col min="1300" max="1300" width="23.28515625" style="604" customWidth="1"/>
    <col min="1301" max="1301" width="19" style="604" customWidth="1"/>
    <col min="1302" max="1302" width="12.28515625" style="604" customWidth="1"/>
    <col min="1303" max="1531" width="11.42578125" style="604"/>
    <col min="1532" max="1532" width="5.28515625" style="604" customWidth="1"/>
    <col min="1533" max="1533" width="41.28515625" style="604" customWidth="1"/>
    <col min="1534" max="1534" width="10.28515625" style="604" customWidth="1"/>
    <col min="1535" max="1535" width="11.28515625" style="604" customWidth="1"/>
    <col min="1536" max="1536" width="11.85546875" style="604" customWidth="1"/>
    <col min="1537" max="1537" width="14.7109375" style="604" customWidth="1"/>
    <col min="1538" max="1538" width="12.7109375" style="604" customWidth="1"/>
    <col min="1539" max="1554" width="4" style="604" customWidth="1"/>
    <col min="1555" max="1555" width="7.7109375" style="604" customWidth="1"/>
    <col min="1556" max="1556" width="23.28515625" style="604" customWidth="1"/>
    <col min="1557" max="1557" width="19" style="604" customWidth="1"/>
    <col min="1558" max="1558" width="12.28515625" style="604" customWidth="1"/>
    <col min="1559" max="1787" width="11.42578125" style="604"/>
    <col min="1788" max="1788" width="5.28515625" style="604" customWidth="1"/>
    <col min="1789" max="1789" width="41.28515625" style="604" customWidth="1"/>
    <col min="1790" max="1790" width="10.28515625" style="604" customWidth="1"/>
    <col min="1791" max="1791" width="11.28515625" style="604" customWidth="1"/>
    <col min="1792" max="1792" width="11.85546875" style="604" customWidth="1"/>
    <col min="1793" max="1793" width="14.7109375" style="604" customWidth="1"/>
    <col min="1794" max="1794" width="12.7109375" style="604" customWidth="1"/>
    <col min="1795" max="1810" width="4" style="604" customWidth="1"/>
    <col min="1811" max="1811" width="7.7109375" style="604" customWidth="1"/>
    <col min="1812" max="1812" width="23.28515625" style="604" customWidth="1"/>
    <col min="1813" max="1813" width="19" style="604" customWidth="1"/>
    <col min="1814" max="1814" width="12.28515625" style="604" customWidth="1"/>
    <col min="1815" max="2043" width="11.42578125" style="604"/>
    <col min="2044" max="2044" width="5.28515625" style="604" customWidth="1"/>
    <col min="2045" max="2045" width="41.28515625" style="604" customWidth="1"/>
    <col min="2046" max="2046" width="10.28515625" style="604" customWidth="1"/>
    <col min="2047" max="2047" width="11.28515625" style="604" customWidth="1"/>
    <col min="2048" max="2048" width="11.85546875" style="604" customWidth="1"/>
    <col min="2049" max="2049" width="14.7109375" style="604" customWidth="1"/>
    <col min="2050" max="2050" width="12.7109375" style="604" customWidth="1"/>
    <col min="2051" max="2066" width="4" style="604" customWidth="1"/>
    <col min="2067" max="2067" width="7.7109375" style="604" customWidth="1"/>
    <col min="2068" max="2068" width="23.28515625" style="604" customWidth="1"/>
    <col min="2069" max="2069" width="19" style="604" customWidth="1"/>
    <col min="2070" max="2070" width="12.28515625" style="604" customWidth="1"/>
    <col min="2071" max="2299" width="11.42578125" style="604"/>
    <col min="2300" max="2300" width="5.28515625" style="604" customWidth="1"/>
    <col min="2301" max="2301" width="41.28515625" style="604" customWidth="1"/>
    <col min="2302" max="2302" width="10.28515625" style="604" customWidth="1"/>
    <col min="2303" max="2303" width="11.28515625" style="604" customWidth="1"/>
    <col min="2304" max="2304" width="11.85546875" style="604" customWidth="1"/>
    <col min="2305" max="2305" width="14.7109375" style="604" customWidth="1"/>
    <col min="2306" max="2306" width="12.7109375" style="604" customWidth="1"/>
    <col min="2307" max="2322" width="4" style="604" customWidth="1"/>
    <col min="2323" max="2323" width="7.7109375" style="604" customWidth="1"/>
    <col min="2324" max="2324" width="23.28515625" style="604" customWidth="1"/>
    <col min="2325" max="2325" width="19" style="604" customWidth="1"/>
    <col min="2326" max="2326" width="12.28515625" style="604" customWidth="1"/>
    <col min="2327" max="2555" width="11.42578125" style="604"/>
    <col min="2556" max="2556" width="5.28515625" style="604" customWidth="1"/>
    <col min="2557" max="2557" width="41.28515625" style="604" customWidth="1"/>
    <col min="2558" max="2558" width="10.28515625" style="604" customWidth="1"/>
    <col min="2559" max="2559" width="11.28515625" style="604" customWidth="1"/>
    <col min="2560" max="2560" width="11.85546875" style="604" customWidth="1"/>
    <col min="2561" max="2561" width="14.7109375" style="604" customWidth="1"/>
    <col min="2562" max="2562" width="12.7109375" style="604" customWidth="1"/>
    <col min="2563" max="2578" width="4" style="604" customWidth="1"/>
    <col min="2579" max="2579" width="7.7109375" style="604" customWidth="1"/>
    <col min="2580" max="2580" width="23.28515625" style="604" customWidth="1"/>
    <col min="2581" max="2581" width="19" style="604" customWidth="1"/>
    <col min="2582" max="2582" width="12.28515625" style="604" customWidth="1"/>
    <col min="2583" max="2811" width="11.42578125" style="604"/>
    <col min="2812" max="2812" width="5.28515625" style="604" customWidth="1"/>
    <col min="2813" max="2813" width="41.28515625" style="604" customWidth="1"/>
    <col min="2814" max="2814" width="10.28515625" style="604" customWidth="1"/>
    <col min="2815" max="2815" width="11.28515625" style="604" customWidth="1"/>
    <col min="2816" max="2816" width="11.85546875" style="604" customWidth="1"/>
    <col min="2817" max="2817" width="14.7109375" style="604" customWidth="1"/>
    <col min="2818" max="2818" width="12.7109375" style="604" customWidth="1"/>
    <col min="2819" max="2834" width="4" style="604" customWidth="1"/>
    <col min="2835" max="2835" width="7.7109375" style="604" customWidth="1"/>
    <col min="2836" max="2836" width="23.28515625" style="604" customWidth="1"/>
    <col min="2837" max="2837" width="19" style="604" customWidth="1"/>
    <col min="2838" max="2838" width="12.28515625" style="604" customWidth="1"/>
    <col min="2839" max="3067" width="11.42578125" style="604"/>
    <col min="3068" max="3068" width="5.28515625" style="604" customWidth="1"/>
    <col min="3069" max="3069" width="41.28515625" style="604" customWidth="1"/>
    <col min="3070" max="3070" width="10.28515625" style="604" customWidth="1"/>
    <col min="3071" max="3071" width="11.28515625" style="604" customWidth="1"/>
    <col min="3072" max="3072" width="11.85546875" style="604" customWidth="1"/>
    <col min="3073" max="3073" width="14.7109375" style="604" customWidth="1"/>
    <col min="3074" max="3074" width="12.7109375" style="604" customWidth="1"/>
    <col min="3075" max="3090" width="4" style="604" customWidth="1"/>
    <col min="3091" max="3091" width="7.7109375" style="604" customWidth="1"/>
    <col min="3092" max="3092" width="23.28515625" style="604" customWidth="1"/>
    <col min="3093" max="3093" width="19" style="604" customWidth="1"/>
    <col min="3094" max="3094" width="12.28515625" style="604" customWidth="1"/>
    <col min="3095" max="3323" width="11.42578125" style="604"/>
    <col min="3324" max="3324" width="5.28515625" style="604" customWidth="1"/>
    <col min="3325" max="3325" width="41.28515625" style="604" customWidth="1"/>
    <col min="3326" max="3326" width="10.28515625" style="604" customWidth="1"/>
    <col min="3327" max="3327" width="11.28515625" style="604" customWidth="1"/>
    <col min="3328" max="3328" width="11.85546875" style="604" customWidth="1"/>
    <col min="3329" max="3329" width="14.7109375" style="604" customWidth="1"/>
    <col min="3330" max="3330" width="12.7109375" style="604" customWidth="1"/>
    <col min="3331" max="3346" width="4" style="604" customWidth="1"/>
    <col min="3347" max="3347" width="7.7109375" style="604" customWidth="1"/>
    <col min="3348" max="3348" width="23.28515625" style="604" customWidth="1"/>
    <col min="3349" max="3349" width="19" style="604" customWidth="1"/>
    <col min="3350" max="3350" width="12.28515625" style="604" customWidth="1"/>
    <col min="3351" max="3579" width="11.42578125" style="604"/>
    <col min="3580" max="3580" width="5.28515625" style="604" customWidth="1"/>
    <col min="3581" max="3581" width="41.28515625" style="604" customWidth="1"/>
    <col min="3582" max="3582" width="10.28515625" style="604" customWidth="1"/>
    <col min="3583" max="3583" width="11.28515625" style="604" customWidth="1"/>
    <col min="3584" max="3584" width="11.85546875" style="604" customWidth="1"/>
    <col min="3585" max="3585" width="14.7109375" style="604" customWidth="1"/>
    <col min="3586" max="3586" width="12.7109375" style="604" customWidth="1"/>
    <col min="3587" max="3602" width="4" style="604" customWidth="1"/>
    <col min="3603" max="3603" width="7.7109375" style="604" customWidth="1"/>
    <col min="3604" max="3604" width="23.28515625" style="604" customWidth="1"/>
    <col min="3605" max="3605" width="19" style="604" customWidth="1"/>
    <col min="3606" max="3606" width="12.28515625" style="604" customWidth="1"/>
    <col min="3607" max="3835" width="11.42578125" style="604"/>
    <col min="3836" max="3836" width="5.28515625" style="604" customWidth="1"/>
    <col min="3837" max="3837" width="41.28515625" style="604" customWidth="1"/>
    <col min="3838" max="3838" width="10.28515625" style="604" customWidth="1"/>
    <col min="3839" max="3839" width="11.28515625" style="604" customWidth="1"/>
    <col min="3840" max="3840" width="11.85546875" style="604" customWidth="1"/>
    <col min="3841" max="3841" width="14.7109375" style="604" customWidth="1"/>
    <col min="3842" max="3842" width="12.7109375" style="604" customWidth="1"/>
    <col min="3843" max="3858" width="4" style="604" customWidth="1"/>
    <col min="3859" max="3859" width="7.7109375" style="604" customWidth="1"/>
    <col min="3860" max="3860" width="23.28515625" style="604" customWidth="1"/>
    <col min="3861" max="3861" width="19" style="604" customWidth="1"/>
    <col min="3862" max="3862" width="12.28515625" style="604" customWidth="1"/>
    <col min="3863" max="4091" width="11.42578125" style="604"/>
    <col min="4092" max="4092" width="5.28515625" style="604" customWidth="1"/>
    <col min="4093" max="4093" width="41.28515625" style="604" customWidth="1"/>
    <col min="4094" max="4094" width="10.28515625" style="604" customWidth="1"/>
    <col min="4095" max="4095" width="11.28515625" style="604" customWidth="1"/>
    <col min="4096" max="4096" width="11.85546875" style="604" customWidth="1"/>
    <col min="4097" max="4097" width="14.7109375" style="604" customWidth="1"/>
    <col min="4098" max="4098" width="12.7109375" style="604" customWidth="1"/>
    <col min="4099" max="4114" width="4" style="604" customWidth="1"/>
    <col min="4115" max="4115" width="7.7109375" style="604" customWidth="1"/>
    <col min="4116" max="4116" width="23.28515625" style="604" customWidth="1"/>
    <col min="4117" max="4117" width="19" style="604" customWidth="1"/>
    <col min="4118" max="4118" width="12.28515625" style="604" customWidth="1"/>
    <col min="4119" max="4347" width="11.42578125" style="604"/>
    <col min="4348" max="4348" width="5.28515625" style="604" customWidth="1"/>
    <col min="4349" max="4349" width="41.28515625" style="604" customWidth="1"/>
    <col min="4350" max="4350" width="10.28515625" style="604" customWidth="1"/>
    <col min="4351" max="4351" width="11.28515625" style="604" customWidth="1"/>
    <col min="4352" max="4352" width="11.85546875" style="604" customWidth="1"/>
    <col min="4353" max="4353" width="14.7109375" style="604" customWidth="1"/>
    <col min="4354" max="4354" width="12.7109375" style="604" customWidth="1"/>
    <col min="4355" max="4370" width="4" style="604" customWidth="1"/>
    <col min="4371" max="4371" width="7.7109375" style="604" customWidth="1"/>
    <col min="4372" max="4372" width="23.28515625" style="604" customWidth="1"/>
    <col min="4373" max="4373" width="19" style="604" customWidth="1"/>
    <col min="4374" max="4374" width="12.28515625" style="604" customWidth="1"/>
    <col min="4375" max="4603" width="11.42578125" style="604"/>
    <col min="4604" max="4604" width="5.28515625" style="604" customWidth="1"/>
    <col min="4605" max="4605" width="41.28515625" style="604" customWidth="1"/>
    <col min="4606" max="4606" width="10.28515625" style="604" customWidth="1"/>
    <col min="4607" max="4607" width="11.28515625" style="604" customWidth="1"/>
    <col min="4608" max="4608" width="11.85546875" style="604" customWidth="1"/>
    <col min="4609" max="4609" width="14.7109375" style="604" customWidth="1"/>
    <col min="4610" max="4610" width="12.7109375" style="604" customWidth="1"/>
    <col min="4611" max="4626" width="4" style="604" customWidth="1"/>
    <col min="4627" max="4627" width="7.7109375" style="604" customWidth="1"/>
    <col min="4628" max="4628" width="23.28515625" style="604" customWidth="1"/>
    <col min="4629" max="4629" width="19" style="604" customWidth="1"/>
    <col min="4630" max="4630" width="12.28515625" style="604" customWidth="1"/>
    <col min="4631" max="4859" width="11.42578125" style="604"/>
    <col min="4860" max="4860" width="5.28515625" style="604" customWidth="1"/>
    <col min="4861" max="4861" width="41.28515625" style="604" customWidth="1"/>
    <col min="4862" max="4862" width="10.28515625" style="604" customWidth="1"/>
    <col min="4863" max="4863" width="11.28515625" style="604" customWidth="1"/>
    <col min="4864" max="4864" width="11.85546875" style="604" customWidth="1"/>
    <col min="4865" max="4865" width="14.7109375" style="604" customWidth="1"/>
    <col min="4866" max="4866" width="12.7109375" style="604" customWidth="1"/>
    <col min="4867" max="4882" width="4" style="604" customWidth="1"/>
    <col min="4883" max="4883" width="7.7109375" style="604" customWidth="1"/>
    <col min="4884" max="4884" width="23.28515625" style="604" customWidth="1"/>
    <col min="4885" max="4885" width="19" style="604" customWidth="1"/>
    <col min="4886" max="4886" width="12.28515625" style="604" customWidth="1"/>
    <col min="4887" max="5115" width="11.42578125" style="604"/>
    <col min="5116" max="5116" width="5.28515625" style="604" customWidth="1"/>
    <col min="5117" max="5117" width="41.28515625" style="604" customWidth="1"/>
    <col min="5118" max="5118" width="10.28515625" style="604" customWidth="1"/>
    <col min="5119" max="5119" width="11.28515625" style="604" customWidth="1"/>
    <col min="5120" max="5120" width="11.85546875" style="604" customWidth="1"/>
    <col min="5121" max="5121" width="14.7109375" style="604" customWidth="1"/>
    <col min="5122" max="5122" width="12.7109375" style="604" customWidth="1"/>
    <col min="5123" max="5138" width="4" style="604" customWidth="1"/>
    <col min="5139" max="5139" width="7.7109375" style="604" customWidth="1"/>
    <col min="5140" max="5140" width="23.28515625" style="604" customWidth="1"/>
    <col min="5141" max="5141" width="19" style="604" customWidth="1"/>
    <col min="5142" max="5142" width="12.28515625" style="604" customWidth="1"/>
    <col min="5143" max="5371" width="11.42578125" style="604"/>
    <col min="5372" max="5372" width="5.28515625" style="604" customWidth="1"/>
    <col min="5373" max="5373" width="41.28515625" style="604" customWidth="1"/>
    <col min="5374" max="5374" width="10.28515625" style="604" customWidth="1"/>
    <col min="5375" max="5375" width="11.28515625" style="604" customWidth="1"/>
    <col min="5376" max="5376" width="11.85546875" style="604" customWidth="1"/>
    <col min="5377" max="5377" width="14.7109375" style="604" customWidth="1"/>
    <col min="5378" max="5378" width="12.7109375" style="604" customWidth="1"/>
    <col min="5379" max="5394" width="4" style="604" customWidth="1"/>
    <col min="5395" max="5395" width="7.7109375" style="604" customWidth="1"/>
    <col min="5396" max="5396" width="23.28515625" style="604" customWidth="1"/>
    <col min="5397" max="5397" width="19" style="604" customWidth="1"/>
    <col min="5398" max="5398" width="12.28515625" style="604" customWidth="1"/>
    <col min="5399" max="5627" width="11.42578125" style="604"/>
    <col min="5628" max="5628" width="5.28515625" style="604" customWidth="1"/>
    <col min="5629" max="5629" width="41.28515625" style="604" customWidth="1"/>
    <col min="5630" max="5630" width="10.28515625" style="604" customWidth="1"/>
    <col min="5631" max="5631" width="11.28515625" style="604" customWidth="1"/>
    <col min="5632" max="5632" width="11.85546875" style="604" customWidth="1"/>
    <col min="5633" max="5633" width="14.7109375" style="604" customWidth="1"/>
    <col min="5634" max="5634" width="12.7109375" style="604" customWidth="1"/>
    <col min="5635" max="5650" width="4" style="604" customWidth="1"/>
    <col min="5651" max="5651" width="7.7109375" style="604" customWidth="1"/>
    <col min="5652" max="5652" width="23.28515625" style="604" customWidth="1"/>
    <col min="5653" max="5653" width="19" style="604" customWidth="1"/>
    <col min="5654" max="5654" width="12.28515625" style="604" customWidth="1"/>
    <col min="5655" max="5883" width="11.42578125" style="604"/>
    <col min="5884" max="5884" width="5.28515625" style="604" customWidth="1"/>
    <col min="5885" max="5885" width="41.28515625" style="604" customWidth="1"/>
    <col min="5886" max="5886" width="10.28515625" style="604" customWidth="1"/>
    <col min="5887" max="5887" width="11.28515625" style="604" customWidth="1"/>
    <col min="5888" max="5888" width="11.85546875" style="604" customWidth="1"/>
    <col min="5889" max="5889" width="14.7109375" style="604" customWidth="1"/>
    <col min="5890" max="5890" width="12.7109375" style="604" customWidth="1"/>
    <col min="5891" max="5906" width="4" style="604" customWidth="1"/>
    <col min="5907" max="5907" width="7.7109375" style="604" customWidth="1"/>
    <col min="5908" max="5908" width="23.28515625" style="604" customWidth="1"/>
    <col min="5909" max="5909" width="19" style="604" customWidth="1"/>
    <col min="5910" max="5910" width="12.28515625" style="604" customWidth="1"/>
    <col min="5911" max="6139" width="11.42578125" style="604"/>
    <col min="6140" max="6140" width="5.28515625" style="604" customWidth="1"/>
    <col min="6141" max="6141" width="41.28515625" style="604" customWidth="1"/>
    <col min="6142" max="6142" width="10.28515625" style="604" customWidth="1"/>
    <col min="6143" max="6143" width="11.28515625" style="604" customWidth="1"/>
    <col min="6144" max="6144" width="11.85546875" style="604" customWidth="1"/>
    <col min="6145" max="6145" width="14.7109375" style="604" customWidth="1"/>
    <col min="6146" max="6146" width="12.7109375" style="604" customWidth="1"/>
    <col min="6147" max="6162" width="4" style="604" customWidth="1"/>
    <col min="6163" max="6163" width="7.7109375" style="604" customWidth="1"/>
    <col min="6164" max="6164" width="23.28515625" style="604" customWidth="1"/>
    <col min="6165" max="6165" width="19" style="604" customWidth="1"/>
    <col min="6166" max="6166" width="12.28515625" style="604" customWidth="1"/>
    <col min="6167" max="6395" width="11.42578125" style="604"/>
    <col min="6396" max="6396" width="5.28515625" style="604" customWidth="1"/>
    <col min="6397" max="6397" width="41.28515625" style="604" customWidth="1"/>
    <col min="6398" max="6398" width="10.28515625" style="604" customWidth="1"/>
    <col min="6399" max="6399" width="11.28515625" style="604" customWidth="1"/>
    <col min="6400" max="6400" width="11.85546875" style="604" customWidth="1"/>
    <col min="6401" max="6401" width="14.7109375" style="604" customWidth="1"/>
    <col min="6402" max="6402" width="12.7109375" style="604" customWidth="1"/>
    <col min="6403" max="6418" width="4" style="604" customWidth="1"/>
    <col min="6419" max="6419" width="7.7109375" style="604" customWidth="1"/>
    <col min="6420" max="6420" width="23.28515625" style="604" customWidth="1"/>
    <col min="6421" max="6421" width="19" style="604" customWidth="1"/>
    <col min="6422" max="6422" width="12.28515625" style="604" customWidth="1"/>
    <col min="6423" max="6651" width="11.42578125" style="604"/>
    <col min="6652" max="6652" width="5.28515625" style="604" customWidth="1"/>
    <col min="6653" max="6653" width="41.28515625" style="604" customWidth="1"/>
    <col min="6654" max="6654" width="10.28515625" style="604" customWidth="1"/>
    <col min="6655" max="6655" width="11.28515625" style="604" customWidth="1"/>
    <col min="6656" max="6656" width="11.85546875" style="604" customWidth="1"/>
    <col min="6657" max="6657" width="14.7109375" style="604" customWidth="1"/>
    <col min="6658" max="6658" width="12.7109375" style="604" customWidth="1"/>
    <col min="6659" max="6674" width="4" style="604" customWidth="1"/>
    <col min="6675" max="6675" width="7.7109375" style="604" customWidth="1"/>
    <col min="6676" max="6676" width="23.28515625" style="604" customWidth="1"/>
    <col min="6677" max="6677" width="19" style="604" customWidth="1"/>
    <col min="6678" max="6678" width="12.28515625" style="604" customWidth="1"/>
    <col min="6679" max="6907" width="11.42578125" style="604"/>
    <col min="6908" max="6908" width="5.28515625" style="604" customWidth="1"/>
    <col min="6909" max="6909" width="41.28515625" style="604" customWidth="1"/>
    <col min="6910" max="6910" width="10.28515625" style="604" customWidth="1"/>
    <col min="6911" max="6911" width="11.28515625" style="604" customWidth="1"/>
    <col min="6912" max="6912" width="11.85546875" style="604" customWidth="1"/>
    <col min="6913" max="6913" width="14.7109375" style="604" customWidth="1"/>
    <col min="6914" max="6914" width="12.7109375" style="604" customWidth="1"/>
    <col min="6915" max="6930" width="4" style="604" customWidth="1"/>
    <col min="6931" max="6931" width="7.7109375" style="604" customWidth="1"/>
    <col min="6932" max="6932" width="23.28515625" style="604" customWidth="1"/>
    <col min="6933" max="6933" width="19" style="604" customWidth="1"/>
    <col min="6934" max="6934" width="12.28515625" style="604" customWidth="1"/>
    <col min="6935" max="7163" width="11.42578125" style="604"/>
    <col min="7164" max="7164" width="5.28515625" style="604" customWidth="1"/>
    <col min="7165" max="7165" width="41.28515625" style="604" customWidth="1"/>
    <col min="7166" max="7166" width="10.28515625" style="604" customWidth="1"/>
    <col min="7167" max="7167" width="11.28515625" style="604" customWidth="1"/>
    <col min="7168" max="7168" width="11.85546875" style="604" customWidth="1"/>
    <col min="7169" max="7169" width="14.7109375" style="604" customWidth="1"/>
    <col min="7170" max="7170" width="12.7109375" style="604" customWidth="1"/>
    <col min="7171" max="7186" width="4" style="604" customWidth="1"/>
    <col min="7187" max="7187" width="7.7109375" style="604" customWidth="1"/>
    <col min="7188" max="7188" width="23.28515625" style="604" customWidth="1"/>
    <col min="7189" max="7189" width="19" style="604" customWidth="1"/>
    <col min="7190" max="7190" width="12.28515625" style="604" customWidth="1"/>
    <col min="7191" max="7419" width="11.42578125" style="604"/>
    <col min="7420" max="7420" width="5.28515625" style="604" customWidth="1"/>
    <col min="7421" max="7421" width="41.28515625" style="604" customWidth="1"/>
    <col min="7422" max="7422" width="10.28515625" style="604" customWidth="1"/>
    <col min="7423" max="7423" width="11.28515625" style="604" customWidth="1"/>
    <col min="7424" max="7424" width="11.85546875" style="604" customWidth="1"/>
    <col min="7425" max="7425" width="14.7109375" style="604" customWidth="1"/>
    <col min="7426" max="7426" width="12.7109375" style="604" customWidth="1"/>
    <col min="7427" max="7442" width="4" style="604" customWidth="1"/>
    <col min="7443" max="7443" width="7.7109375" style="604" customWidth="1"/>
    <col min="7444" max="7444" width="23.28515625" style="604" customWidth="1"/>
    <col min="7445" max="7445" width="19" style="604" customWidth="1"/>
    <col min="7446" max="7446" width="12.28515625" style="604" customWidth="1"/>
    <col min="7447" max="7675" width="11.42578125" style="604"/>
    <col min="7676" max="7676" width="5.28515625" style="604" customWidth="1"/>
    <col min="7677" max="7677" width="41.28515625" style="604" customWidth="1"/>
    <col min="7678" max="7678" width="10.28515625" style="604" customWidth="1"/>
    <col min="7679" max="7679" width="11.28515625" style="604" customWidth="1"/>
    <col min="7680" max="7680" width="11.85546875" style="604" customWidth="1"/>
    <col min="7681" max="7681" width="14.7109375" style="604" customWidth="1"/>
    <col min="7682" max="7682" width="12.7109375" style="604" customWidth="1"/>
    <col min="7683" max="7698" width="4" style="604" customWidth="1"/>
    <col min="7699" max="7699" width="7.7109375" style="604" customWidth="1"/>
    <col min="7700" max="7700" width="23.28515625" style="604" customWidth="1"/>
    <col min="7701" max="7701" width="19" style="604" customWidth="1"/>
    <col min="7702" max="7702" width="12.28515625" style="604" customWidth="1"/>
    <col min="7703" max="7931" width="11.42578125" style="604"/>
    <col min="7932" max="7932" width="5.28515625" style="604" customWidth="1"/>
    <col min="7933" max="7933" width="41.28515625" style="604" customWidth="1"/>
    <col min="7934" max="7934" width="10.28515625" style="604" customWidth="1"/>
    <col min="7935" max="7935" width="11.28515625" style="604" customWidth="1"/>
    <col min="7936" max="7936" width="11.85546875" style="604" customWidth="1"/>
    <col min="7937" max="7937" width="14.7109375" style="604" customWidth="1"/>
    <col min="7938" max="7938" width="12.7109375" style="604" customWidth="1"/>
    <col min="7939" max="7954" width="4" style="604" customWidth="1"/>
    <col min="7955" max="7955" width="7.7109375" style="604" customWidth="1"/>
    <col min="7956" max="7956" width="23.28515625" style="604" customWidth="1"/>
    <col min="7957" max="7957" width="19" style="604" customWidth="1"/>
    <col min="7958" max="7958" width="12.28515625" style="604" customWidth="1"/>
    <col min="7959" max="8187" width="11.42578125" style="604"/>
    <col min="8188" max="8188" width="5.28515625" style="604" customWidth="1"/>
    <col min="8189" max="8189" width="41.28515625" style="604" customWidth="1"/>
    <col min="8190" max="8190" width="10.28515625" style="604" customWidth="1"/>
    <col min="8191" max="8191" width="11.28515625" style="604" customWidth="1"/>
    <col min="8192" max="8192" width="11.85546875" style="604" customWidth="1"/>
    <col min="8193" max="8193" width="14.7109375" style="604" customWidth="1"/>
    <col min="8194" max="8194" width="12.7109375" style="604" customWidth="1"/>
    <col min="8195" max="8210" width="4" style="604" customWidth="1"/>
    <col min="8211" max="8211" width="7.7109375" style="604" customWidth="1"/>
    <col min="8212" max="8212" width="23.28515625" style="604" customWidth="1"/>
    <col min="8213" max="8213" width="19" style="604" customWidth="1"/>
    <col min="8214" max="8214" width="12.28515625" style="604" customWidth="1"/>
    <col min="8215" max="8443" width="11.42578125" style="604"/>
    <col min="8444" max="8444" width="5.28515625" style="604" customWidth="1"/>
    <col min="8445" max="8445" width="41.28515625" style="604" customWidth="1"/>
    <col min="8446" max="8446" width="10.28515625" style="604" customWidth="1"/>
    <col min="8447" max="8447" width="11.28515625" style="604" customWidth="1"/>
    <col min="8448" max="8448" width="11.85546875" style="604" customWidth="1"/>
    <col min="8449" max="8449" width="14.7109375" style="604" customWidth="1"/>
    <col min="8450" max="8450" width="12.7109375" style="604" customWidth="1"/>
    <col min="8451" max="8466" width="4" style="604" customWidth="1"/>
    <col min="8467" max="8467" width="7.7109375" style="604" customWidth="1"/>
    <col min="8468" max="8468" width="23.28515625" style="604" customWidth="1"/>
    <col min="8469" max="8469" width="19" style="604" customWidth="1"/>
    <col min="8470" max="8470" width="12.28515625" style="604" customWidth="1"/>
    <col min="8471" max="8699" width="11.42578125" style="604"/>
    <col min="8700" max="8700" width="5.28515625" style="604" customWidth="1"/>
    <col min="8701" max="8701" width="41.28515625" style="604" customWidth="1"/>
    <col min="8702" max="8702" width="10.28515625" style="604" customWidth="1"/>
    <col min="8703" max="8703" width="11.28515625" style="604" customWidth="1"/>
    <col min="8704" max="8704" width="11.85546875" style="604" customWidth="1"/>
    <col min="8705" max="8705" width="14.7109375" style="604" customWidth="1"/>
    <col min="8706" max="8706" width="12.7109375" style="604" customWidth="1"/>
    <col min="8707" max="8722" width="4" style="604" customWidth="1"/>
    <col min="8723" max="8723" width="7.7109375" style="604" customWidth="1"/>
    <col min="8724" max="8724" width="23.28515625" style="604" customWidth="1"/>
    <col min="8725" max="8725" width="19" style="604" customWidth="1"/>
    <col min="8726" max="8726" width="12.28515625" style="604" customWidth="1"/>
    <col min="8727" max="8955" width="11.42578125" style="604"/>
    <col min="8956" max="8956" width="5.28515625" style="604" customWidth="1"/>
    <col min="8957" max="8957" width="41.28515625" style="604" customWidth="1"/>
    <col min="8958" max="8958" width="10.28515625" style="604" customWidth="1"/>
    <col min="8959" max="8959" width="11.28515625" style="604" customWidth="1"/>
    <col min="8960" max="8960" width="11.85546875" style="604" customWidth="1"/>
    <col min="8961" max="8961" width="14.7109375" style="604" customWidth="1"/>
    <col min="8962" max="8962" width="12.7109375" style="604" customWidth="1"/>
    <col min="8963" max="8978" width="4" style="604" customWidth="1"/>
    <col min="8979" max="8979" width="7.7109375" style="604" customWidth="1"/>
    <col min="8980" max="8980" width="23.28515625" style="604" customWidth="1"/>
    <col min="8981" max="8981" width="19" style="604" customWidth="1"/>
    <col min="8982" max="8982" width="12.28515625" style="604" customWidth="1"/>
    <col min="8983" max="9211" width="11.42578125" style="604"/>
    <col min="9212" max="9212" width="5.28515625" style="604" customWidth="1"/>
    <col min="9213" max="9213" width="41.28515625" style="604" customWidth="1"/>
    <col min="9214" max="9214" width="10.28515625" style="604" customWidth="1"/>
    <col min="9215" max="9215" width="11.28515625" style="604" customWidth="1"/>
    <col min="9216" max="9216" width="11.85546875" style="604" customWidth="1"/>
    <col min="9217" max="9217" width="14.7109375" style="604" customWidth="1"/>
    <col min="9218" max="9218" width="12.7109375" style="604" customWidth="1"/>
    <col min="9219" max="9234" width="4" style="604" customWidth="1"/>
    <col min="9235" max="9235" width="7.7109375" style="604" customWidth="1"/>
    <col min="9236" max="9236" width="23.28515625" style="604" customWidth="1"/>
    <col min="9237" max="9237" width="19" style="604" customWidth="1"/>
    <col min="9238" max="9238" width="12.28515625" style="604" customWidth="1"/>
    <col min="9239" max="9467" width="11.42578125" style="604"/>
    <col min="9468" max="9468" width="5.28515625" style="604" customWidth="1"/>
    <col min="9469" max="9469" width="41.28515625" style="604" customWidth="1"/>
    <col min="9470" max="9470" width="10.28515625" style="604" customWidth="1"/>
    <col min="9471" max="9471" width="11.28515625" style="604" customWidth="1"/>
    <col min="9472" max="9472" width="11.85546875" style="604" customWidth="1"/>
    <col min="9473" max="9473" width="14.7109375" style="604" customWidth="1"/>
    <col min="9474" max="9474" width="12.7109375" style="604" customWidth="1"/>
    <col min="9475" max="9490" width="4" style="604" customWidth="1"/>
    <col min="9491" max="9491" width="7.7109375" style="604" customWidth="1"/>
    <col min="9492" max="9492" width="23.28515625" style="604" customWidth="1"/>
    <col min="9493" max="9493" width="19" style="604" customWidth="1"/>
    <col min="9494" max="9494" width="12.28515625" style="604" customWidth="1"/>
    <col min="9495" max="9723" width="11.42578125" style="604"/>
    <col min="9724" max="9724" width="5.28515625" style="604" customWidth="1"/>
    <col min="9725" max="9725" width="41.28515625" style="604" customWidth="1"/>
    <col min="9726" max="9726" width="10.28515625" style="604" customWidth="1"/>
    <col min="9727" max="9727" width="11.28515625" style="604" customWidth="1"/>
    <col min="9728" max="9728" width="11.85546875" style="604" customWidth="1"/>
    <col min="9729" max="9729" width="14.7109375" style="604" customWidth="1"/>
    <col min="9730" max="9730" width="12.7109375" style="604" customWidth="1"/>
    <col min="9731" max="9746" width="4" style="604" customWidth="1"/>
    <col min="9747" max="9747" width="7.7109375" style="604" customWidth="1"/>
    <col min="9748" max="9748" width="23.28515625" style="604" customWidth="1"/>
    <col min="9749" max="9749" width="19" style="604" customWidth="1"/>
    <col min="9750" max="9750" width="12.28515625" style="604" customWidth="1"/>
    <col min="9751" max="9979" width="11.42578125" style="604"/>
    <col min="9980" max="9980" width="5.28515625" style="604" customWidth="1"/>
    <col min="9981" max="9981" width="41.28515625" style="604" customWidth="1"/>
    <col min="9982" max="9982" width="10.28515625" style="604" customWidth="1"/>
    <col min="9983" max="9983" width="11.28515625" style="604" customWidth="1"/>
    <col min="9984" max="9984" width="11.85546875" style="604" customWidth="1"/>
    <col min="9985" max="9985" width="14.7109375" style="604" customWidth="1"/>
    <col min="9986" max="9986" width="12.7109375" style="604" customWidth="1"/>
    <col min="9987" max="10002" width="4" style="604" customWidth="1"/>
    <col min="10003" max="10003" width="7.7109375" style="604" customWidth="1"/>
    <col min="10004" max="10004" width="23.28515625" style="604" customWidth="1"/>
    <col min="10005" max="10005" width="19" style="604" customWidth="1"/>
    <col min="10006" max="10006" width="12.28515625" style="604" customWidth="1"/>
    <col min="10007" max="10235" width="11.42578125" style="604"/>
    <col min="10236" max="10236" width="5.28515625" style="604" customWidth="1"/>
    <col min="10237" max="10237" width="41.28515625" style="604" customWidth="1"/>
    <col min="10238" max="10238" width="10.28515625" style="604" customWidth="1"/>
    <col min="10239" max="10239" width="11.28515625" style="604" customWidth="1"/>
    <col min="10240" max="10240" width="11.85546875" style="604" customWidth="1"/>
    <col min="10241" max="10241" width="14.7109375" style="604" customWidth="1"/>
    <col min="10242" max="10242" width="12.7109375" style="604" customWidth="1"/>
    <col min="10243" max="10258" width="4" style="604" customWidth="1"/>
    <col min="10259" max="10259" width="7.7109375" style="604" customWidth="1"/>
    <col min="10260" max="10260" width="23.28515625" style="604" customWidth="1"/>
    <col min="10261" max="10261" width="19" style="604" customWidth="1"/>
    <col min="10262" max="10262" width="12.28515625" style="604" customWidth="1"/>
    <col min="10263" max="10491" width="11.42578125" style="604"/>
    <col min="10492" max="10492" width="5.28515625" style="604" customWidth="1"/>
    <col min="10493" max="10493" width="41.28515625" style="604" customWidth="1"/>
    <col min="10494" max="10494" width="10.28515625" style="604" customWidth="1"/>
    <col min="10495" max="10495" width="11.28515625" style="604" customWidth="1"/>
    <col min="10496" max="10496" width="11.85546875" style="604" customWidth="1"/>
    <col min="10497" max="10497" width="14.7109375" style="604" customWidth="1"/>
    <col min="10498" max="10498" width="12.7109375" style="604" customWidth="1"/>
    <col min="10499" max="10514" width="4" style="604" customWidth="1"/>
    <col min="10515" max="10515" width="7.7109375" style="604" customWidth="1"/>
    <col min="10516" max="10516" width="23.28515625" style="604" customWidth="1"/>
    <col min="10517" max="10517" width="19" style="604" customWidth="1"/>
    <col min="10518" max="10518" width="12.28515625" style="604" customWidth="1"/>
    <col min="10519" max="10747" width="11.42578125" style="604"/>
    <col min="10748" max="10748" width="5.28515625" style="604" customWidth="1"/>
    <col min="10749" max="10749" width="41.28515625" style="604" customWidth="1"/>
    <col min="10750" max="10750" width="10.28515625" style="604" customWidth="1"/>
    <col min="10751" max="10751" width="11.28515625" style="604" customWidth="1"/>
    <col min="10752" max="10752" width="11.85546875" style="604" customWidth="1"/>
    <col min="10753" max="10753" width="14.7109375" style="604" customWidth="1"/>
    <col min="10754" max="10754" width="12.7109375" style="604" customWidth="1"/>
    <col min="10755" max="10770" width="4" style="604" customWidth="1"/>
    <col min="10771" max="10771" width="7.7109375" style="604" customWidth="1"/>
    <col min="10772" max="10772" width="23.28515625" style="604" customWidth="1"/>
    <col min="10773" max="10773" width="19" style="604" customWidth="1"/>
    <col min="10774" max="10774" width="12.28515625" style="604" customWidth="1"/>
    <col min="10775" max="11003" width="11.42578125" style="604"/>
    <col min="11004" max="11004" width="5.28515625" style="604" customWidth="1"/>
    <col min="11005" max="11005" width="41.28515625" style="604" customWidth="1"/>
    <col min="11006" max="11006" width="10.28515625" style="604" customWidth="1"/>
    <col min="11007" max="11007" width="11.28515625" style="604" customWidth="1"/>
    <col min="11008" max="11008" width="11.85546875" style="604" customWidth="1"/>
    <col min="11009" max="11009" width="14.7109375" style="604" customWidth="1"/>
    <col min="11010" max="11010" width="12.7109375" style="604" customWidth="1"/>
    <col min="11011" max="11026" width="4" style="604" customWidth="1"/>
    <col min="11027" max="11027" width="7.7109375" style="604" customWidth="1"/>
    <col min="11028" max="11028" width="23.28515625" style="604" customWidth="1"/>
    <col min="11029" max="11029" width="19" style="604" customWidth="1"/>
    <col min="11030" max="11030" width="12.28515625" style="604" customWidth="1"/>
    <col min="11031" max="11259" width="11.42578125" style="604"/>
    <col min="11260" max="11260" width="5.28515625" style="604" customWidth="1"/>
    <col min="11261" max="11261" width="41.28515625" style="604" customWidth="1"/>
    <col min="11262" max="11262" width="10.28515625" style="604" customWidth="1"/>
    <col min="11263" max="11263" width="11.28515625" style="604" customWidth="1"/>
    <col min="11264" max="11264" width="11.85546875" style="604" customWidth="1"/>
    <col min="11265" max="11265" width="14.7109375" style="604" customWidth="1"/>
    <col min="11266" max="11266" width="12.7109375" style="604" customWidth="1"/>
    <col min="11267" max="11282" width="4" style="604" customWidth="1"/>
    <col min="11283" max="11283" width="7.7109375" style="604" customWidth="1"/>
    <col min="11284" max="11284" width="23.28515625" style="604" customWidth="1"/>
    <col min="11285" max="11285" width="19" style="604" customWidth="1"/>
    <col min="11286" max="11286" width="12.28515625" style="604" customWidth="1"/>
    <col min="11287" max="11515" width="11.42578125" style="604"/>
    <col min="11516" max="11516" width="5.28515625" style="604" customWidth="1"/>
    <col min="11517" max="11517" width="41.28515625" style="604" customWidth="1"/>
    <col min="11518" max="11518" width="10.28515625" style="604" customWidth="1"/>
    <col min="11519" max="11519" width="11.28515625" style="604" customWidth="1"/>
    <col min="11520" max="11520" width="11.85546875" style="604" customWidth="1"/>
    <col min="11521" max="11521" width="14.7109375" style="604" customWidth="1"/>
    <col min="11522" max="11522" width="12.7109375" style="604" customWidth="1"/>
    <col min="11523" max="11538" width="4" style="604" customWidth="1"/>
    <col min="11539" max="11539" width="7.7109375" style="604" customWidth="1"/>
    <col min="11540" max="11540" width="23.28515625" style="604" customWidth="1"/>
    <col min="11541" max="11541" width="19" style="604" customWidth="1"/>
    <col min="11542" max="11542" width="12.28515625" style="604" customWidth="1"/>
    <col min="11543" max="11771" width="11.42578125" style="604"/>
    <col min="11772" max="11772" width="5.28515625" style="604" customWidth="1"/>
    <col min="11773" max="11773" width="41.28515625" style="604" customWidth="1"/>
    <col min="11774" max="11774" width="10.28515625" style="604" customWidth="1"/>
    <col min="11775" max="11775" width="11.28515625" style="604" customWidth="1"/>
    <col min="11776" max="11776" width="11.85546875" style="604" customWidth="1"/>
    <col min="11777" max="11777" width="14.7109375" style="604" customWidth="1"/>
    <col min="11778" max="11778" width="12.7109375" style="604" customWidth="1"/>
    <col min="11779" max="11794" width="4" style="604" customWidth="1"/>
    <col min="11795" max="11795" width="7.7109375" style="604" customWidth="1"/>
    <col min="11796" max="11796" width="23.28515625" style="604" customWidth="1"/>
    <col min="11797" max="11797" width="19" style="604" customWidth="1"/>
    <col min="11798" max="11798" width="12.28515625" style="604" customWidth="1"/>
    <col min="11799" max="12027" width="11.42578125" style="604"/>
    <col min="12028" max="12028" width="5.28515625" style="604" customWidth="1"/>
    <col min="12029" max="12029" width="41.28515625" style="604" customWidth="1"/>
    <col min="12030" max="12030" width="10.28515625" style="604" customWidth="1"/>
    <col min="12031" max="12031" width="11.28515625" style="604" customWidth="1"/>
    <col min="12032" max="12032" width="11.85546875" style="604" customWidth="1"/>
    <col min="12033" max="12033" width="14.7109375" style="604" customWidth="1"/>
    <col min="12034" max="12034" width="12.7109375" style="604" customWidth="1"/>
    <col min="12035" max="12050" width="4" style="604" customWidth="1"/>
    <col min="12051" max="12051" width="7.7109375" style="604" customWidth="1"/>
    <col min="12052" max="12052" width="23.28515625" style="604" customWidth="1"/>
    <col min="12053" max="12053" width="19" style="604" customWidth="1"/>
    <col min="12054" max="12054" width="12.28515625" style="604" customWidth="1"/>
    <col min="12055" max="12283" width="11.42578125" style="604"/>
    <col min="12284" max="12284" width="5.28515625" style="604" customWidth="1"/>
    <col min="12285" max="12285" width="41.28515625" style="604" customWidth="1"/>
    <col min="12286" max="12286" width="10.28515625" style="604" customWidth="1"/>
    <col min="12287" max="12287" width="11.28515625" style="604" customWidth="1"/>
    <col min="12288" max="12288" width="11.85546875" style="604" customWidth="1"/>
    <col min="12289" max="12289" width="14.7109375" style="604" customWidth="1"/>
    <col min="12290" max="12290" width="12.7109375" style="604" customWidth="1"/>
    <col min="12291" max="12306" width="4" style="604" customWidth="1"/>
    <col min="12307" max="12307" width="7.7109375" style="604" customWidth="1"/>
    <col min="12308" max="12308" width="23.28515625" style="604" customWidth="1"/>
    <col min="12309" max="12309" width="19" style="604" customWidth="1"/>
    <col min="12310" max="12310" width="12.28515625" style="604" customWidth="1"/>
    <col min="12311" max="12539" width="11.42578125" style="604"/>
    <col min="12540" max="12540" width="5.28515625" style="604" customWidth="1"/>
    <col min="12541" max="12541" width="41.28515625" style="604" customWidth="1"/>
    <col min="12542" max="12542" width="10.28515625" style="604" customWidth="1"/>
    <col min="12543" max="12543" width="11.28515625" style="604" customWidth="1"/>
    <col min="12544" max="12544" width="11.85546875" style="604" customWidth="1"/>
    <col min="12545" max="12545" width="14.7109375" style="604" customWidth="1"/>
    <col min="12546" max="12546" width="12.7109375" style="604" customWidth="1"/>
    <col min="12547" max="12562" width="4" style="604" customWidth="1"/>
    <col min="12563" max="12563" width="7.7109375" style="604" customWidth="1"/>
    <col min="12564" max="12564" width="23.28515625" style="604" customWidth="1"/>
    <col min="12565" max="12565" width="19" style="604" customWidth="1"/>
    <col min="12566" max="12566" width="12.28515625" style="604" customWidth="1"/>
    <col min="12567" max="12795" width="11.42578125" style="604"/>
    <col min="12796" max="12796" width="5.28515625" style="604" customWidth="1"/>
    <col min="12797" max="12797" width="41.28515625" style="604" customWidth="1"/>
    <col min="12798" max="12798" width="10.28515625" style="604" customWidth="1"/>
    <col min="12799" max="12799" width="11.28515625" style="604" customWidth="1"/>
    <col min="12800" max="12800" width="11.85546875" style="604" customWidth="1"/>
    <col min="12801" max="12801" width="14.7109375" style="604" customWidth="1"/>
    <col min="12802" max="12802" width="12.7109375" style="604" customWidth="1"/>
    <col min="12803" max="12818" width="4" style="604" customWidth="1"/>
    <col min="12819" max="12819" width="7.7109375" style="604" customWidth="1"/>
    <col min="12820" max="12820" width="23.28515625" style="604" customWidth="1"/>
    <col min="12821" max="12821" width="19" style="604" customWidth="1"/>
    <col min="12822" max="12822" width="12.28515625" style="604" customWidth="1"/>
    <col min="12823" max="13051" width="11.42578125" style="604"/>
    <col min="13052" max="13052" width="5.28515625" style="604" customWidth="1"/>
    <col min="13053" max="13053" width="41.28515625" style="604" customWidth="1"/>
    <col min="13054" max="13054" width="10.28515625" style="604" customWidth="1"/>
    <col min="13055" max="13055" width="11.28515625" style="604" customWidth="1"/>
    <col min="13056" max="13056" width="11.85546875" style="604" customWidth="1"/>
    <col min="13057" max="13057" width="14.7109375" style="604" customWidth="1"/>
    <col min="13058" max="13058" width="12.7109375" style="604" customWidth="1"/>
    <col min="13059" max="13074" width="4" style="604" customWidth="1"/>
    <col min="13075" max="13075" width="7.7109375" style="604" customWidth="1"/>
    <col min="13076" max="13076" width="23.28515625" style="604" customWidth="1"/>
    <col min="13077" max="13077" width="19" style="604" customWidth="1"/>
    <col min="13078" max="13078" width="12.28515625" style="604" customWidth="1"/>
    <col min="13079" max="13307" width="11.42578125" style="604"/>
    <col min="13308" max="13308" width="5.28515625" style="604" customWidth="1"/>
    <col min="13309" max="13309" width="41.28515625" style="604" customWidth="1"/>
    <col min="13310" max="13310" width="10.28515625" style="604" customWidth="1"/>
    <col min="13311" max="13311" width="11.28515625" style="604" customWidth="1"/>
    <col min="13312" max="13312" width="11.85546875" style="604" customWidth="1"/>
    <col min="13313" max="13313" width="14.7109375" style="604" customWidth="1"/>
    <col min="13314" max="13314" width="12.7109375" style="604" customWidth="1"/>
    <col min="13315" max="13330" width="4" style="604" customWidth="1"/>
    <col min="13331" max="13331" width="7.7109375" style="604" customWidth="1"/>
    <col min="13332" max="13332" width="23.28515625" style="604" customWidth="1"/>
    <col min="13333" max="13333" width="19" style="604" customWidth="1"/>
    <col min="13334" max="13334" width="12.28515625" style="604" customWidth="1"/>
    <col min="13335" max="13563" width="11.42578125" style="604"/>
    <col min="13564" max="13564" width="5.28515625" style="604" customWidth="1"/>
    <col min="13565" max="13565" width="41.28515625" style="604" customWidth="1"/>
    <col min="13566" max="13566" width="10.28515625" style="604" customWidth="1"/>
    <col min="13567" max="13567" width="11.28515625" style="604" customWidth="1"/>
    <col min="13568" max="13568" width="11.85546875" style="604" customWidth="1"/>
    <col min="13569" max="13569" width="14.7109375" style="604" customWidth="1"/>
    <col min="13570" max="13570" width="12.7109375" style="604" customWidth="1"/>
    <col min="13571" max="13586" width="4" style="604" customWidth="1"/>
    <col min="13587" max="13587" width="7.7109375" style="604" customWidth="1"/>
    <col min="13588" max="13588" width="23.28515625" style="604" customWidth="1"/>
    <col min="13589" max="13589" width="19" style="604" customWidth="1"/>
    <col min="13590" max="13590" width="12.28515625" style="604" customWidth="1"/>
    <col min="13591" max="13819" width="11.42578125" style="604"/>
    <col min="13820" max="13820" width="5.28515625" style="604" customWidth="1"/>
    <col min="13821" max="13821" width="41.28515625" style="604" customWidth="1"/>
    <col min="13822" max="13822" width="10.28515625" style="604" customWidth="1"/>
    <col min="13823" max="13823" width="11.28515625" style="604" customWidth="1"/>
    <col min="13824" max="13824" width="11.85546875" style="604" customWidth="1"/>
    <col min="13825" max="13825" width="14.7109375" style="604" customWidth="1"/>
    <col min="13826" max="13826" width="12.7109375" style="604" customWidth="1"/>
    <col min="13827" max="13842" width="4" style="604" customWidth="1"/>
    <col min="13843" max="13843" width="7.7109375" style="604" customWidth="1"/>
    <col min="13844" max="13844" width="23.28515625" style="604" customWidth="1"/>
    <col min="13845" max="13845" width="19" style="604" customWidth="1"/>
    <col min="13846" max="13846" width="12.28515625" style="604" customWidth="1"/>
    <col min="13847" max="14075" width="11.42578125" style="604"/>
    <col min="14076" max="14076" width="5.28515625" style="604" customWidth="1"/>
    <col min="14077" max="14077" width="41.28515625" style="604" customWidth="1"/>
    <col min="14078" max="14078" width="10.28515625" style="604" customWidth="1"/>
    <col min="14079" max="14079" width="11.28515625" style="604" customWidth="1"/>
    <col min="14080" max="14080" width="11.85546875" style="604" customWidth="1"/>
    <col min="14081" max="14081" width="14.7109375" style="604" customWidth="1"/>
    <col min="14082" max="14082" width="12.7109375" style="604" customWidth="1"/>
    <col min="14083" max="14098" width="4" style="604" customWidth="1"/>
    <col min="14099" max="14099" width="7.7109375" style="604" customWidth="1"/>
    <col min="14100" max="14100" width="23.28515625" style="604" customWidth="1"/>
    <col min="14101" max="14101" width="19" style="604" customWidth="1"/>
    <col min="14102" max="14102" width="12.28515625" style="604" customWidth="1"/>
    <col min="14103" max="14331" width="11.42578125" style="604"/>
    <col min="14332" max="14332" width="5.28515625" style="604" customWidth="1"/>
    <col min="14333" max="14333" width="41.28515625" style="604" customWidth="1"/>
    <col min="14334" max="14334" width="10.28515625" style="604" customWidth="1"/>
    <col min="14335" max="14335" width="11.28515625" style="604" customWidth="1"/>
    <col min="14336" max="14336" width="11.85546875" style="604" customWidth="1"/>
    <col min="14337" max="14337" width="14.7109375" style="604" customWidth="1"/>
    <col min="14338" max="14338" width="12.7109375" style="604" customWidth="1"/>
    <col min="14339" max="14354" width="4" style="604" customWidth="1"/>
    <col min="14355" max="14355" width="7.7109375" style="604" customWidth="1"/>
    <col min="14356" max="14356" width="23.28515625" style="604" customWidth="1"/>
    <col min="14357" max="14357" width="19" style="604" customWidth="1"/>
    <col min="14358" max="14358" width="12.28515625" style="604" customWidth="1"/>
    <col min="14359" max="14587" width="11.42578125" style="604"/>
    <col min="14588" max="14588" width="5.28515625" style="604" customWidth="1"/>
    <col min="14589" max="14589" width="41.28515625" style="604" customWidth="1"/>
    <col min="14590" max="14590" width="10.28515625" style="604" customWidth="1"/>
    <col min="14591" max="14591" width="11.28515625" style="604" customWidth="1"/>
    <col min="14592" max="14592" width="11.85546875" style="604" customWidth="1"/>
    <col min="14593" max="14593" width="14.7109375" style="604" customWidth="1"/>
    <col min="14594" max="14594" width="12.7109375" style="604" customWidth="1"/>
    <col min="14595" max="14610" width="4" style="604" customWidth="1"/>
    <col min="14611" max="14611" width="7.7109375" style="604" customWidth="1"/>
    <col min="14612" max="14612" width="23.28515625" style="604" customWidth="1"/>
    <col min="14613" max="14613" width="19" style="604" customWidth="1"/>
    <col min="14614" max="14614" width="12.28515625" style="604" customWidth="1"/>
    <col min="14615" max="14843" width="11.42578125" style="604"/>
    <col min="14844" max="14844" width="5.28515625" style="604" customWidth="1"/>
    <col min="14845" max="14845" width="41.28515625" style="604" customWidth="1"/>
    <col min="14846" max="14846" width="10.28515625" style="604" customWidth="1"/>
    <col min="14847" max="14847" width="11.28515625" style="604" customWidth="1"/>
    <col min="14848" max="14848" width="11.85546875" style="604" customWidth="1"/>
    <col min="14849" max="14849" width="14.7109375" style="604" customWidth="1"/>
    <col min="14850" max="14850" width="12.7109375" style="604" customWidth="1"/>
    <col min="14851" max="14866" width="4" style="604" customWidth="1"/>
    <col min="14867" max="14867" width="7.7109375" style="604" customWidth="1"/>
    <col min="14868" max="14868" width="23.28515625" style="604" customWidth="1"/>
    <col min="14869" max="14869" width="19" style="604" customWidth="1"/>
    <col min="14870" max="14870" width="12.28515625" style="604" customWidth="1"/>
    <col min="14871" max="15099" width="11.42578125" style="604"/>
    <col min="15100" max="15100" width="5.28515625" style="604" customWidth="1"/>
    <col min="15101" max="15101" width="41.28515625" style="604" customWidth="1"/>
    <col min="15102" max="15102" width="10.28515625" style="604" customWidth="1"/>
    <col min="15103" max="15103" width="11.28515625" style="604" customWidth="1"/>
    <col min="15104" max="15104" width="11.85546875" style="604" customWidth="1"/>
    <col min="15105" max="15105" width="14.7109375" style="604" customWidth="1"/>
    <col min="15106" max="15106" width="12.7109375" style="604" customWidth="1"/>
    <col min="15107" max="15122" width="4" style="604" customWidth="1"/>
    <col min="15123" max="15123" width="7.7109375" style="604" customWidth="1"/>
    <col min="15124" max="15124" width="23.28515625" style="604" customWidth="1"/>
    <col min="15125" max="15125" width="19" style="604" customWidth="1"/>
    <col min="15126" max="15126" width="12.28515625" style="604" customWidth="1"/>
    <col min="15127" max="15355" width="11.42578125" style="604"/>
    <col min="15356" max="15356" width="5.28515625" style="604" customWidth="1"/>
    <col min="15357" max="15357" width="41.28515625" style="604" customWidth="1"/>
    <col min="15358" max="15358" width="10.28515625" style="604" customWidth="1"/>
    <col min="15359" max="15359" width="11.28515625" style="604" customWidth="1"/>
    <col min="15360" max="15360" width="11.85546875" style="604" customWidth="1"/>
    <col min="15361" max="15361" width="14.7109375" style="604" customWidth="1"/>
    <col min="15362" max="15362" width="12.7109375" style="604" customWidth="1"/>
    <col min="15363" max="15378" width="4" style="604" customWidth="1"/>
    <col min="15379" max="15379" width="7.7109375" style="604" customWidth="1"/>
    <col min="15380" max="15380" width="23.28515625" style="604" customWidth="1"/>
    <col min="15381" max="15381" width="19" style="604" customWidth="1"/>
    <col min="15382" max="15382" width="12.28515625" style="604" customWidth="1"/>
    <col min="15383" max="15611" width="11.42578125" style="604"/>
    <col min="15612" max="15612" width="5.28515625" style="604" customWidth="1"/>
    <col min="15613" max="15613" width="41.28515625" style="604" customWidth="1"/>
    <col min="15614" max="15614" width="10.28515625" style="604" customWidth="1"/>
    <col min="15615" max="15615" width="11.28515625" style="604" customWidth="1"/>
    <col min="15616" max="15616" width="11.85546875" style="604" customWidth="1"/>
    <col min="15617" max="15617" width="14.7109375" style="604" customWidth="1"/>
    <col min="15618" max="15618" width="12.7109375" style="604" customWidth="1"/>
    <col min="15619" max="15634" width="4" style="604" customWidth="1"/>
    <col min="15635" max="15635" width="7.7109375" style="604" customWidth="1"/>
    <col min="15636" max="15636" width="23.28515625" style="604" customWidth="1"/>
    <col min="15637" max="15637" width="19" style="604" customWidth="1"/>
    <col min="15638" max="15638" width="12.28515625" style="604" customWidth="1"/>
    <col min="15639" max="15867" width="11.42578125" style="604"/>
    <col min="15868" max="15868" width="5.28515625" style="604" customWidth="1"/>
    <col min="15869" max="15869" width="41.28515625" style="604" customWidth="1"/>
    <col min="15870" max="15870" width="10.28515625" style="604" customWidth="1"/>
    <col min="15871" max="15871" width="11.28515625" style="604" customWidth="1"/>
    <col min="15872" max="15872" width="11.85546875" style="604" customWidth="1"/>
    <col min="15873" max="15873" width="14.7109375" style="604" customWidth="1"/>
    <col min="15874" max="15874" width="12.7109375" style="604" customWidth="1"/>
    <col min="15875" max="15890" width="4" style="604" customWidth="1"/>
    <col min="15891" max="15891" width="7.7109375" style="604" customWidth="1"/>
    <col min="15892" max="15892" width="23.28515625" style="604" customWidth="1"/>
    <col min="15893" max="15893" width="19" style="604" customWidth="1"/>
    <col min="15894" max="15894" width="12.28515625" style="604" customWidth="1"/>
    <col min="15895" max="16123" width="11.42578125" style="604"/>
    <col min="16124" max="16124" width="5.28515625" style="604" customWidth="1"/>
    <col min="16125" max="16125" width="41.28515625" style="604" customWidth="1"/>
    <col min="16126" max="16126" width="10.28515625" style="604" customWidth="1"/>
    <col min="16127" max="16127" width="11.28515625" style="604" customWidth="1"/>
    <col min="16128" max="16128" width="11.85546875" style="604" customWidth="1"/>
    <col min="16129" max="16129" width="14.7109375" style="604" customWidth="1"/>
    <col min="16130" max="16130" width="12.7109375" style="604" customWidth="1"/>
    <col min="16131" max="16146" width="4" style="604" customWidth="1"/>
    <col min="16147" max="16147" width="7.7109375" style="604" customWidth="1"/>
    <col min="16148" max="16148" width="23.28515625" style="604" customWidth="1"/>
    <col min="16149" max="16149" width="19" style="604" customWidth="1"/>
    <col min="16150" max="16150" width="12.28515625" style="604" customWidth="1"/>
    <col min="16151" max="16384" width="11.42578125" style="604"/>
  </cols>
  <sheetData>
    <row r="1" spans="1:21" ht="30" x14ac:dyDescent="0.4">
      <c r="A1" s="949" t="s">
        <v>463</v>
      </c>
      <c r="B1" s="950"/>
      <c r="C1" s="950"/>
      <c r="D1" s="950"/>
      <c r="E1" s="950"/>
      <c r="F1" s="950"/>
      <c r="G1" s="950"/>
      <c r="H1" s="950"/>
      <c r="I1" s="950"/>
      <c r="J1" s="950"/>
      <c r="K1" s="950"/>
      <c r="L1" s="950"/>
      <c r="M1" s="951"/>
    </row>
    <row r="2" spans="1:21" ht="15.75" x14ac:dyDescent="0.25">
      <c r="A2" s="952" t="s">
        <v>464</v>
      </c>
      <c r="B2" s="953"/>
      <c r="C2" s="953"/>
      <c r="D2" s="953"/>
      <c r="E2" s="953"/>
      <c r="F2" s="953"/>
      <c r="G2" s="953"/>
      <c r="H2" s="953"/>
      <c r="I2" s="953"/>
      <c r="J2" s="953"/>
      <c r="K2" s="953"/>
      <c r="L2" s="953"/>
      <c r="M2" s="954"/>
    </row>
    <row r="3" spans="1:21" ht="57.75" customHeight="1" thickBot="1" x14ac:dyDescent="0.25">
      <c r="A3" s="955" t="s">
        <v>525</v>
      </c>
      <c r="B3" s="956"/>
      <c r="C3" s="956"/>
      <c r="D3" s="956"/>
      <c r="E3" s="956"/>
      <c r="F3" s="956"/>
      <c r="G3" s="956"/>
      <c r="H3" s="956"/>
      <c r="I3" s="956"/>
      <c r="J3" s="956"/>
      <c r="K3" s="956"/>
      <c r="L3" s="956"/>
      <c r="M3" s="957"/>
      <c r="U3" s="582"/>
    </row>
    <row r="4" spans="1:21" x14ac:dyDescent="0.2">
      <c r="A4" s="958" t="s">
        <v>256</v>
      </c>
      <c r="B4" s="959" t="s">
        <v>257</v>
      </c>
      <c r="C4" s="959" t="s">
        <v>27</v>
      </c>
      <c r="D4" s="959" t="s">
        <v>258</v>
      </c>
      <c r="E4" s="960" t="s">
        <v>259</v>
      </c>
      <c r="F4" s="959" t="s">
        <v>17</v>
      </c>
      <c r="G4" s="961" t="s">
        <v>260</v>
      </c>
      <c r="H4" s="959" t="s">
        <v>261</v>
      </c>
      <c r="I4" s="959"/>
      <c r="J4" s="959"/>
      <c r="K4" s="959"/>
      <c r="L4" s="959"/>
      <c r="M4" s="962" t="s">
        <v>2</v>
      </c>
      <c r="N4" s="583"/>
      <c r="O4" s="583"/>
      <c r="P4" s="583"/>
      <c r="Q4" s="584"/>
      <c r="R4" s="584"/>
      <c r="S4" s="584"/>
      <c r="T4" s="584"/>
    </row>
    <row r="5" spans="1:21" ht="35.25" customHeight="1" x14ac:dyDescent="0.2">
      <c r="A5" s="925"/>
      <c r="B5" s="915"/>
      <c r="C5" s="915"/>
      <c r="D5" s="915"/>
      <c r="E5" s="936"/>
      <c r="F5" s="915"/>
      <c r="G5" s="914"/>
      <c r="H5" s="819">
        <v>1</v>
      </c>
      <c r="I5" s="819">
        <v>2</v>
      </c>
      <c r="J5" s="819">
        <v>3</v>
      </c>
      <c r="K5" s="819">
        <v>4</v>
      </c>
      <c r="L5" s="819" t="s">
        <v>262</v>
      </c>
      <c r="M5" s="963"/>
      <c r="N5" s="583"/>
      <c r="O5" s="583"/>
      <c r="P5" s="583"/>
      <c r="Q5" s="584"/>
      <c r="R5" s="584"/>
      <c r="S5" s="584"/>
      <c r="T5" s="584"/>
    </row>
    <row r="6" spans="1:21" ht="14.25" customHeight="1" x14ac:dyDescent="0.2">
      <c r="A6" s="805" t="s">
        <v>263</v>
      </c>
      <c r="B6" s="585" t="s">
        <v>264</v>
      </c>
      <c r="C6" s="586"/>
      <c r="D6" s="586"/>
      <c r="E6" s="586"/>
      <c r="F6" s="586"/>
      <c r="G6" s="586"/>
      <c r="H6" s="586"/>
      <c r="I6" s="586"/>
      <c r="J6" s="586"/>
      <c r="K6" s="586"/>
      <c r="L6" s="586"/>
      <c r="M6" s="806"/>
      <c r="N6" s="587"/>
      <c r="O6" s="587"/>
      <c r="P6" s="587"/>
      <c r="Q6" s="588"/>
      <c r="R6" s="588"/>
      <c r="S6" s="588"/>
      <c r="T6" s="588"/>
    </row>
    <row r="7" spans="1:21" ht="24.75" customHeight="1" x14ac:dyDescent="0.2">
      <c r="A7" s="807" t="s">
        <v>266</v>
      </c>
      <c r="B7" s="589" t="s">
        <v>526</v>
      </c>
      <c r="C7" s="590">
        <v>1</v>
      </c>
      <c r="D7" s="591" t="s">
        <v>522</v>
      </c>
      <c r="E7" s="592"/>
      <c r="F7" s="593">
        <v>1.96</v>
      </c>
      <c r="G7" s="848">
        <f>ROUNDUP(E7*F7*C7,0)</f>
        <v>0</v>
      </c>
      <c r="H7" s="834">
        <v>1</v>
      </c>
      <c r="I7" s="834">
        <v>1</v>
      </c>
      <c r="J7" s="834">
        <v>1</v>
      </c>
      <c r="K7" s="834"/>
      <c r="L7" s="595">
        <f>SUM(H7:K7)</f>
        <v>3</v>
      </c>
      <c r="M7" s="849">
        <f>G7*L7</f>
        <v>0</v>
      </c>
      <c r="N7" s="596"/>
      <c r="O7" s="597"/>
      <c r="P7" s="598"/>
      <c r="Q7" s="599"/>
      <c r="R7" s="599"/>
      <c r="S7" s="599"/>
      <c r="T7" s="599"/>
    </row>
    <row r="8" spans="1:21" ht="36" customHeight="1" x14ac:dyDescent="0.2">
      <c r="A8" s="807">
        <v>1.2</v>
      </c>
      <c r="B8" s="589" t="s">
        <v>527</v>
      </c>
      <c r="C8" s="590">
        <v>1</v>
      </c>
      <c r="D8" s="591" t="s">
        <v>523</v>
      </c>
      <c r="E8" s="592"/>
      <c r="F8" s="593">
        <v>1.96</v>
      </c>
      <c r="G8" s="848">
        <f>ROUNDUP(E8*F8*C8,0)</f>
        <v>0</v>
      </c>
      <c r="H8" s="834">
        <v>1</v>
      </c>
      <c r="I8" s="834">
        <v>1</v>
      </c>
      <c r="J8" s="834">
        <v>1</v>
      </c>
      <c r="K8" s="834"/>
      <c r="L8" s="595">
        <f t="shared" ref="L8:L12" si="0">SUM(H8:K8)</f>
        <v>3</v>
      </c>
      <c r="M8" s="849">
        <f t="shared" ref="M8:M12" si="1">G8*L8</f>
        <v>0</v>
      </c>
      <c r="N8" s="596"/>
      <c r="O8" s="597"/>
      <c r="P8" s="598"/>
      <c r="Q8" s="599"/>
      <c r="R8" s="599"/>
      <c r="S8" s="599"/>
      <c r="T8" s="599"/>
    </row>
    <row r="9" spans="1:21" ht="24.75" customHeight="1" x14ac:dyDescent="0.2">
      <c r="A9" s="807">
        <v>1.3</v>
      </c>
      <c r="B9" s="589" t="s">
        <v>528</v>
      </c>
      <c r="C9" s="590">
        <v>1</v>
      </c>
      <c r="D9" s="591" t="s">
        <v>523</v>
      </c>
      <c r="E9" s="592"/>
      <c r="F9" s="593">
        <v>1.96</v>
      </c>
      <c r="G9" s="848">
        <f>ROUNDUP(E9*F9*C9,0)</f>
        <v>0</v>
      </c>
      <c r="H9" s="834">
        <v>1</v>
      </c>
      <c r="I9" s="834">
        <v>1</v>
      </c>
      <c r="J9" s="834">
        <v>1</v>
      </c>
      <c r="K9" s="834"/>
      <c r="L9" s="595">
        <f t="shared" si="0"/>
        <v>3</v>
      </c>
      <c r="M9" s="849">
        <f t="shared" si="1"/>
        <v>0</v>
      </c>
      <c r="N9" s="596"/>
      <c r="O9" s="597"/>
      <c r="P9" s="598"/>
      <c r="Q9" s="599"/>
      <c r="R9" s="599"/>
      <c r="S9" s="599"/>
      <c r="T9" s="599"/>
    </row>
    <row r="10" spans="1:21" ht="24.75" customHeight="1" x14ac:dyDescent="0.2">
      <c r="A10" s="807">
        <v>1.4</v>
      </c>
      <c r="B10" s="589" t="s">
        <v>531</v>
      </c>
      <c r="C10" s="590">
        <v>1</v>
      </c>
      <c r="D10" s="591" t="s">
        <v>524</v>
      </c>
      <c r="E10" s="592"/>
      <c r="F10" s="593">
        <v>1.96</v>
      </c>
      <c r="G10" s="848">
        <f t="shared" ref="G10:G12" si="2">ROUNDUP(E10*F10*C10,0)</f>
        <v>0</v>
      </c>
      <c r="H10" s="834">
        <v>1</v>
      </c>
      <c r="I10" s="834">
        <v>1</v>
      </c>
      <c r="J10" s="834">
        <v>1</v>
      </c>
      <c r="K10" s="834"/>
      <c r="L10" s="595">
        <f t="shared" si="0"/>
        <v>3</v>
      </c>
      <c r="M10" s="849">
        <f t="shared" si="1"/>
        <v>0</v>
      </c>
      <c r="N10" s="596" t="e">
        <f>+M10/#REF!</f>
        <v>#REF!</v>
      </c>
      <c r="O10" s="597" t="e">
        <f>+N10*#REF!</f>
        <v>#REF!</v>
      </c>
      <c r="P10" s="598"/>
      <c r="Q10" s="599"/>
      <c r="R10" s="599"/>
      <c r="S10" s="599"/>
      <c r="T10" s="599"/>
    </row>
    <row r="11" spans="1:21" ht="24.75" customHeight="1" x14ac:dyDescent="0.2">
      <c r="A11" s="807">
        <v>1.5</v>
      </c>
      <c r="B11" s="589" t="s">
        <v>530</v>
      </c>
      <c r="C11" s="590">
        <v>1</v>
      </c>
      <c r="D11" s="591" t="s">
        <v>524</v>
      </c>
      <c r="E11" s="592"/>
      <c r="F11" s="593">
        <v>1.96</v>
      </c>
      <c r="G11" s="848">
        <f t="shared" ref="G11" si="3">ROUNDUP(E11*F11*C11,0)</f>
        <v>0</v>
      </c>
      <c r="H11" s="834">
        <v>1</v>
      </c>
      <c r="I11" s="834">
        <v>1</v>
      </c>
      <c r="J11" s="834">
        <v>1</v>
      </c>
      <c r="K11" s="834"/>
      <c r="L11" s="595">
        <f t="shared" si="0"/>
        <v>3</v>
      </c>
      <c r="M11" s="849">
        <f t="shared" si="1"/>
        <v>0</v>
      </c>
      <c r="N11" s="596"/>
      <c r="O11" s="597"/>
      <c r="P11" s="598"/>
      <c r="Q11" s="599"/>
      <c r="R11" s="599"/>
      <c r="S11" s="599"/>
      <c r="T11" s="599"/>
    </row>
    <row r="12" spans="1:21" ht="24.75" customHeight="1" x14ac:dyDescent="0.2">
      <c r="A12" s="807">
        <v>1.6</v>
      </c>
      <c r="B12" s="589" t="s">
        <v>529</v>
      </c>
      <c r="C12" s="590">
        <v>1</v>
      </c>
      <c r="D12" s="591" t="s">
        <v>523</v>
      </c>
      <c r="E12" s="592"/>
      <c r="F12" s="593">
        <v>1.96</v>
      </c>
      <c r="G12" s="848">
        <f t="shared" si="2"/>
        <v>0</v>
      </c>
      <c r="H12" s="834">
        <v>1</v>
      </c>
      <c r="I12" s="834">
        <v>1</v>
      </c>
      <c r="J12" s="834">
        <v>1</v>
      </c>
      <c r="K12" s="834"/>
      <c r="L12" s="595">
        <f t="shared" si="0"/>
        <v>3</v>
      </c>
      <c r="M12" s="849">
        <f t="shared" si="1"/>
        <v>0</v>
      </c>
      <c r="N12" s="596" t="e">
        <f>+M12/#REF!</f>
        <v>#REF!</v>
      </c>
      <c r="O12" s="597" t="e">
        <f>+N12*#REF!</f>
        <v>#REF!</v>
      </c>
      <c r="P12" s="598"/>
      <c r="Q12" s="599"/>
      <c r="R12" s="599"/>
      <c r="S12" s="599"/>
      <c r="T12" s="599"/>
    </row>
    <row r="13" spans="1:21" ht="12.75" customHeight="1" x14ac:dyDescent="0.2">
      <c r="A13" s="946"/>
      <c r="B13" s="947"/>
      <c r="C13" s="947"/>
      <c r="D13" s="947"/>
      <c r="E13" s="947"/>
      <c r="F13" s="947"/>
      <c r="G13" s="947"/>
      <c r="H13" s="947"/>
      <c r="I13" s="947"/>
      <c r="J13" s="947"/>
      <c r="K13" s="947"/>
      <c r="L13" s="947"/>
      <c r="M13" s="948"/>
      <c r="N13" s="600"/>
      <c r="O13" s="601"/>
      <c r="P13" s="602"/>
      <c r="Q13" s="603"/>
      <c r="R13" s="603"/>
      <c r="S13" s="603"/>
      <c r="T13" s="603"/>
    </row>
    <row r="14" spans="1:21" x14ac:dyDescent="0.2">
      <c r="A14" s="930" t="s">
        <v>395</v>
      </c>
      <c r="B14" s="931"/>
      <c r="C14" s="931"/>
      <c r="D14" s="931"/>
      <c r="E14" s="931"/>
      <c r="F14" s="931"/>
      <c r="G14" s="931"/>
      <c r="H14" s="931"/>
      <c r="I14" s="931"/>
      <c r="J14" s="931"/>
      <c r="K14" s="931"/>
      <c r="L14" s="932"/>
      <c r="M14" s="808">
        <f>M12+M11+M10+M9+M7+M8</f>
        <v>0</v>
      </c>
      <c r="N14" s="605" t="e">
        <f>1-N22</f>
        <v>#DIV/0!</v>
      </c>
      <c r="O14" s="606" t="e">
        <f>+N14*O24</f>
        <v>#DIV/0!</v>
      </c>
      <c r="P14" s="607"/>
      <c r="Q14" s="608"/>
      <c r="R14" s="608"/>
      <c r="S14" s="608"/>
      <c r="T14" s="608"/>
    </row>
    <row r="15" spans="1:21" ht="14.25" customHeight="1" x14ac:dyDescent="0.2">
      <c r="A15" s="933"/>
      <c r="B15" s="934"/>
      <c r="C15" s="934"/>
      <c r="D15" s="934"/>
      <c r="E15" s="934"/>
      <c r="F15" s="934"/>
      <c r="G15" s="934"/>
      <c r="H15" s="934"/>
      <c r="I15" s="934"/>
      <c r="J15" s="934"/>
      <c r="K15" s="934"/>
      <c r="L15" s="934"/>
      <c r="M15" s="935"/>
      <c r="N15" s="609"/>
      <c r="O15" s="610"/>
      <c r="P15" s="611"/>
      <c r="Q15" s="603"/>
      <c r="R15" s="603"/>
      <c r="S15" s="599"/>
      <c r="T15" s="599"/>
    </row>
    <row r="16" spans="1:21" x14ac:dyDescent="0.2">
      <c r="A16" s="925" t="s">
        <v>256</v>
      </c>
      <c r="B16" s="915" t="s">
        <v>257</v>
      </c>
      <c r="C16" s="915" t="s">
        <v>27</v>
      </c>
      <c r="D16" s="915" t="s">
        <v>258</v>
      </c>
      <c r="E16" s="936" t="str">
        <f>+E4</f>
        <v xml:space="preserve">COSTO MES </v>
      </c>
      <c r="F16" s="915" t="str">
        <f>+F4</f>
        <v>FACTOR MULTIPLICADOR</v>
      </c>
      <c r="G16" s="914" t="str">
        <f>+G4</f>
        <v xml:space="preserve">COSTO TOTAL MENSUAL </v>
      </c>
      <c r="H16" s="915" t="s">
        <v>261</v>
      </c>
      <c r="I16" s="915"/>
      <c r="J16" s="915"/>
      <c r="K16" s="915"/>
      <c r="L16" s="915"/>
      <c r="M16" s="820" t="s">
        <v>280</v>
      </c>
      <c r="N16" s="612"/>
      <c r="O16" s="613"/>
      <c r="P16" s="614"/>
      <c r="Q16" s="584"/>
      <c r="R16" s="584"/>
      <c r="S16" s="584"/>
      <c r="T16" s="584"/>
    </row>
    <row r="17" spans="1:21" ht="31.5" customHeight="1" x14ac:dyDescent="0.2">
      <c r="A17" s="925"/>
      <c r="B17" s="915"/>
      <c r="C17" s="915"/>
      <c r="D17" s="915"/>
      <c r="E17" s="936"/>
      <c r="F17" s="915"/>
      <c r="G17" s="914"/>
      <c r="H17" s="819">
        <v>1</v>
      </c>
      <c r="I17" s="819">
        <v>2</v>
      </c>
      <c r="J17" s="819">
        <v>3</v>
      </c>
      <c r="K17" s="819">
        <v>4</v>
      </c>
      <c r="L17" s="819" t="s">
        <v>262</v>
      </c>
      <c r="M17" s="820" t="s">
        <v>281</v>
      </c>
      <c r="N17" s="612"/>
      <c r="O17" s="613"/>
      <c r="P17" s="614"/>
      <c r="Q17" s="584"/>
      <c r="R17" s="584"/>
      <c r="S17" s="584"/>
      <c r="T17" s="584"/>
    </row>
    <row r="18" spans="1:21" ht="15" customHeight="1" x14ac:dyDescent="0.2">
      <c r="A18" s="805" t="s">
        <v>282</v>
      </c>
      <c r="B18" s="585" t="s">
        <v>283</v>
      </c>
      <c r="C18" s="586"/>
      <c r="D18" s="586"/>
      <c r="E18" s="615"/>
      <c r="F18" s="586"/>
      <c r="G18" s="616"/>
      <c r="H18" s="586"/>
      <c r="I18" s="586"/>
      <c r="J18" s="586"/>
      <c r="K18" s="586"/>
      <c r="L18" s="586"/>
      <c r="M18" s="806"/>
      <c r="N18" s="617"/>
      <c r="O18" s="618"/>
      <c r="P18" s="619"/>
      <c r="Q18" s="588"/>
      <c r="R18" s="588"/>
      <c r="S18" s="588"/>
      <c r="T18" s="588"/>
    </row>
    <row r="19" spans="1:21" ht="17.25" customHeight="1" x14ac:dyDescent="0.2">
      <c r="A19" s="807" t="s">
        <v>284</v>
      </c>
      <c r="B19" s="620" t="s">
        <v>285</v>
      </c>
      <c r="C19" s="590">
        <v>2</v>
      </c>
      <c r="D19" s="590" t="s">
        <v>521</v>
      </c>
      <c r="E19" s="592"/>
      <c r="F19" s="593">
        <v>1.96</v>
      </c>
      <c r="G19" s="621">
        <f>ROUNDUP(E19*F19*C19,0)</f>
        <v>0</v>
      </c>
      <c r="H19" s="834">
        <v>1</v>
      </c>
      <c r="I19" s="834">
        <v>1</v>
      </c>
      <c r="J19" s="834">
        <v>1</v>
      </c>
      <c r="K19" s="834"/>
      <c r="L19" s="595">
        <f>SUM(H19:K19)</f>
        <v>3</v>
      </c>
      <c r="M19" s="809">
        <f>G19*L19</f>
        <v>0</v>
      </c>
      <c r="N19" s="622" t="e">
        <f>+M19/$M$22</f>
        <v>#DIV/0!</v>
      </c>
      <c r="O19" s="623" t="e">
        <f>+N19*$O$22</f>
        <v>#DIV/0!</v>
      </c>
      <c r="P19" s="624"/>
      <c r="Q19" s="625"/>
      <c r="R19" s="625"/>
      <c r="S19" s="625"/>
      <c r="T19" s="625"/>
    </row>
    <row r="20" spans="1:21" ht="17.25" customHeight="1" x14ac:dyDescent="0.2">
      <c r="A20" s="807" t="s">
        <v>287</v>
      </c>
      <c r="B20" s="620" t="s">
        <v>540</v>
      </c>
      <c r="C20" s="590">
        <v>1</v>
      </c>
      <c r="D20" s="590" t="s">
        <v>521</v>
      </c>
      <c r="E20" s="592"/>
      <c r="F20" s="593">
        <v>1.96</v>
      </c>
      <c r="G20" s="621">
        <f>ROUNDUP(E20*F20*C20,0)</f>
        <v>0</v>
      </c>
      <c r="H20" s="834">
        <v>1</v>
      </c>
      <c r="I20" s="834">
        <v>1</v>
      </c>
      <c r="J20" s="834">
        <v>1</v>
      </c>
      <c r="K20" s="834"/>
      <c r="L20" s="595">
        <f>SUM(H20:K20)</f>
        <v>3</v>
      </c>
      <c r="M20" s="809">
        <f>G20*L20</f>
        <v>0</v>
      </c>
      <c r="N20" s="622"/>
      <c r="O20" s="623"/>
      <c r="P20" s="624"/>
      <c r="Q20" s="625"/>
      <c r="R20" s="625"/>
      <c r="S20" s="625"/>
      <c r="T20" s="625"/>
    </row>
    <row r="21" spans="1:21" ht="12.75" customHeight="1" x14ac:dyDescent="0.2">
      <c r="A21" s="946"/>
      <c r="B21" s="947"/>
      <c r="C21" s="947"/>
      <c r="D21" s="947"/>
      <c r="E21" s="947"/>
      <c r="F21" s="947"/>
      <c r="G21" s="947"/>
      <c r="H21" s="947"/>
      <c r="I21" s="947"/>
      <c r="J21" s="947"/>
      <c r="K21" s="947"/>
      <c r="L21" s="947"/>
      <c r="M21" s="948"/>
      <c r="N21" s="600"/>
      <c r="O21" s="601"/>
      <c r="P21" s="602"/>
      <c r="Q21" s="603"/>
      <c r="R21" s="603"/>
      <c r="S21" s="603"/>
      <c r="T21" s="603"/>
    </row>
    <row r="22" spans="1:21" ht="16.5" customHeight="1" x14ac:dyDescent="0.2">
      <c r="A22" s="937" t="s">
        <v>294</v>
      </c>
      <c r="B22" s="938"/>
      <c r="C22" s="938"/>
      <c r="D22" s="938"/>
      <c r="E22" s="938"/>
      <c r="F22" s="938"/>
      <c r="G22" s="938"/>
      <c r="H22" s="938"/>
      <c r="I22" s="938"/>
      <c r="J22" s="938"/>
      <c r="K22" s="938"/>
      <c r="L22" s="939"/>
      <c r="M22" s="810">
        <f>M19+M20</f>
        <v>0</v>
      </c>
      <c r="N22" s="605" t="e">
        <f>+M22/M24</f>
        <v>#DIV/0!</v>
      </c>
      <c r="O22" s="606" t="e">
        <f>+N22*O24</f>
        <v>#DIV/0!</v>
      </c>
      <c r="P22" s="607"/>
      <c r="Q22" s="608"/>
      <c r="R22" s="608"/>
      <c r="S22" s="608"/>
      <c r="T22" s="608"/>
    </row>
    <row r="23" spans="1:21" ht="10.5" customHeight="1" x14ac:dyDescent="0.2">
      <c r="A23" s="940"/>
      <c r="B23" s="941"/>
      <c r="C23" s="941"/>
      <c r="D23" s="941"/>
      <c r="E23" s="941"/>
      <c r="F23" s="941"/>
      <c r="G23" s="941"/>
      <c r="H23" s="941"/>
      <c r="I23" s="941"/>
      <c r="J23" s="941"/>
      <c r="K23" s="941"/>
      <c r="L23" s="941"/>
      <c r="M23" s="942"/>
      <c r="N23" s="609"/>
      <c r="O23" s="610"/>
      <c r="P23" s="611"/>
      <c r="Q23" s="603"/>
      <c r="R23" s="626"/>
      <c r="S23" s="626"/>
      <c r="T23" s="603"/>
    </row>
    <row r="24" spans="1:21" ht="15.75" x14ac:dyDescent="0.2">
      <c r="A24" s="943" t="s">
        <v>295</v>
      </c>
      <c r="B24" s="944"/>
      <c r="C24" s="944"/>
      <c r="D24" s="944"/>
      <c r="E24" s="944"/>
      <c r="F24" s="944"/>
      <c r="G24" s="944"/>
      <c r="H24" s="944"/>
      <c r="I24" s="944"/>
      <c r="J24" s="944"/>
      <c r="K24" s="944"/>
      <c r="L24" s="945"/>
      <c r="M24" s="811">
        <f>+M14+M22</f>
        <v>0</v>
      </c>
      <c r="N24" s="627" t="e">
        <f>+M24/M39</f>
        <v>#DIV/0!</v>
      </c>
      <c r="O24" s="628" t="e">
        <f>+N24*O39</f>
        <v>#DIV/0!</v>
      </c>
      <c r="P24" s="629"/>
      <c r="Q24" s="630"/>
      <c r="R24" s="630"/>
      <c r="S24" s="630"/>
      <c r="T24" s="630"/>
    </row>
    <row r="25" spans="1:21" ht="13.5" customHeight="1" x14ac:dyDescent="0.2">
      <c r="A25" s="933"/>
      <c r="B25" s="934"/>
      <c r="C25" s="934"/>
      <c r="D25" s="934"/>
      <c r="E25" s="934"/>
      <c r="F25" s="934"/>
      <c r="G25" s="934"/>
      <c r="H25" s="934"/>
      <c r="I25" s="934"/>
      <c r="J25" s="934"/>
      <c r="K25" s="934"/>
      <c r="L25" s="934"/>
      <c r="M25" s="935"/>
      <c r="N25" s="609"/>
      <c r="O25" s="610"/>
      <c r="P25" s="611"/>
      <c r="Q25" s="603"/>
      <c r="R25" s="603"/>
      <c r="S25" s="603"/>
      <c r="T25" s="603"/>
    </row>
    <row r="26" spans="1:21" ht="17.25" customHeight="1" x14ac:dyDescent="0.2">
      <c r="A26" s="927" t="s">
        <v>296</v>
      </c>
      <c r="B26" s="928"/>
      <c r="C26" s="928"/>
      <c r="D26" s="928"/>
      <c r="E26" s="928"/>
      <c r="F26" s="928"/>
      <c r="G26" s="928"/>
      <c r="H26" s="928"/>
      <c r="I26" s="928"/>
      <c r="J26" s="928"/>
      <c r="K26" s="928"/>
      <c r="L26" s="928"/>
      <c r="M26" s="929"/>
      <c r="N26" s="631"/>
      <c r="O26" s="632"/>
      <c r="P26" s="633"/>
      <c r="Q26" s="634"/>
      <c r="R26" s="634"/>
      <c r="S26" s="634"/>
      <c r="T26" s="634"/>
    </row>
    <row r="27" spans="1:21" x14ac:dyDescent="0.2">
      <c r="A27" s="925" t="s">
        <v>53</v>
      </c>
      <c r="B27" s="915" t="s">
        <v>257</v>
      </c>
      <c r="C27" s="915" t="s">
        <v>27</v>
      </c>
      <c r="D27" s="915" t="s">
        <v>0</v>
      </c>
      <c r="E27" s="926"/>
      <c r="F27" s="915" t="s">
        <v>538</v>
      </c>
      <c r="G27" s="914" t="s">
        <v>297</v>
      </c>
      <c r="H27" s="915" t="s">
        <v>261</v>
      </c>
      <c r="I27" s="915"/>
      <c r="J27" s="915"/>
      <c r="K27" s="915"/>
      <c r="L27" s="915"/>
      <c r="M27" s="820" t="s">
        <v>280</v>
      </c>
      <c r="N27" s="612"/>
      <c r="O27" s="613"/>
      <c r="P27" s="614"/>
      <c r="Q27" s="584"/>
      <c r="R27" s="584"/>
      <c r="S27" s="584"/>
      <c r="T27" s="584"/>
      <c r="U27" s="635"/>
    </row>
    <row r="28" spans="1:21" ht="24" x14ac:dyDescent="0.2">
      <c r="A28" s="925"/>
      <c r="B28" s="915"/>
      <c r="C28" s="915"/>
      <c r="D28" s="915"/>
      <c r="E28" s="926"/>
      <c r="F28" s="915"/>
      <c r="G28" s="914"/>
      <c r="H28" s="819">
        <v>1</v>
      </c>
      <c r="I28" s="819">
        <v>2</v>
      </c>
      <c r="J28" s="819">
        <v>3</v>
      </c>
      <c r="K28" s="819"/>
      <c r="L28" s="819" t="s">
        <v>262</v>
      </c>
      <c r="M28" s="820" t="s">
        <v>281</v>
      </c>
      <c r="N28" s="612"/>
      <c r="O28" s="613"/>
      <c r="P28" s="614"/>
      <c r="Q28" s="584"/>
      <c r="R28" s="584"/>
      <c r="S28" s="584"/>
      <c r="T28" s="584"/>
    </row>
    <row r="29" spans="1:21" ht="14.25" customHeight="1" x14ac:dyDescent="0.2">
      <c r="A29" s="805" t="s">
        <v>298</v>
      </c>
      <c r="B29" s="636" t="s">
        <v>299</v>
      </c>
      <c r="C29" s="637"/>
      <c r="D29" s="638"/>
      <c r="E29" s="639"/>
      <c r="F29" s="638"/>
      <c r="G29" s="640"/>
      <c r="H29" s="641"/>
      <c r="I29" s="641"/>
      <c r="J29" s="641"/>
      <c r="K29" s="641"/>
      <c r="L29" s="638"/>
      <c r="M29" s="812"/>
      <c r="N29" s="642"/>
      <c r="O29" s="643"/>
      <c r="P29" s="644"/>
      <c r="Q29" s="625"/>
      <c r="R29" s="625"/>
      <c r="S29" s="625"/>
      <c r="T29" s="625"/>
    </row>
    <row r="30" spans="1:21" ht="22.5" customHeight="1" x14ac:dyDescent="0.2">
      <c r="A30" s="807" t="s">
        <v>300</v>
      </c>
      <c r="B30" s="645" t="s">
        <v>541</v>
      </c>
      <c r="C30" s="591">
        <v>1</v>
      </c>
      <c r="D30" s="591" t="s">
        <v>302</v>
      </c>
      <c r="E30" s="646"/>
      <c r="F30" s="647"/>
      <c r="G30" s="847">
        <f>F30</f>
        <v>0</v>
      </c>
      <c r="H30" s="834">
        <v>1</v>
      </c>
      <c r="I30" s="834">
        <v>1</v>
      </c>
      <c r="J30" s="834">
        <v>1</v>
      </c>
      <c r="K30" s="834"/>
      <c r="L30" s="595">
        <f t="shared" ref="L30" si="4">SUM(H30:K30)</f>
        <v>3</v>
      </c>
      <c r="M30" s="846">
        <f>G30*L30</f>
        <v>0</v>
      </c>
      <c r="N30" s="622" t="e">
        <f>+#REF!/$M$37</f>
        <v>#REF!</v>
      </c>
      <c r="O30" s="623" t="e">
        <f>+N30*$O$37</f>
        <v>#REF!</v>
      </c>
      <c r="P30" s="624"/>
      <c r="Q30" s="625"/>
      <c r="R30" s="625"/>
      <c r="S30" s="625"/>
      <c r="T30" s="625"/>
    </row>
    <row r="31" spans="1:21" ht="27" customHeight="1" x14ac:dyDescent="0.2">
      <c r="A31" s="807" t="s">
        <v>303</v>
      </c>
      <c r="B31" s="645" t="s">
        <v>301</v>
      </c>
      <c r="C31" s="591">
        <v>1</v>
      </c>
      <c r="D31" s="591" t="s">
        <v>302</v>
      </c>
      <c r="E31" s="646"/>
      <c r="F31" s="647"/>
      <c r="G31" s="847">
        <f>+F31*C31</f>
        <v>0</v>
      </c>
      <c r="H31" s="834">
        <v>1</v>
      </c>
      <c r="I31" s="834">
        <v>1</v>
      </c>
      <c r="J31" s="834">
        <v>1</v>
      </c>
      <c r="K31" s="834"/>
      <c r="L31" s="591">
        <f t="shared" ref="L31:L32" si="5">SUM(H31:K31)</f>
        <v>3</v>
      </c>
      <c r="M31" s="846">
        <f>+G31*L31</f>
        <v>0</v>
      </c>
      <c r="N31" s="622"/>
      <c r="O31" s="623"/>
      <c r="P31" s="624"/>
      <c r="Q31" s="625"/>
      <c r="R31" s="625"/>
      <c r="S31" s="625"/>
      <c r="T31" s="625"/>
    </row>
    <row r="32" spans="1:21" ht="33.6" customHeight="1" x14ac:dyDescent="0.2">
      <c r="A32" s="807" t="s">
        <v>305</v>
      </c>
      <c r="B32" s="645" t="s">
        <v>539</v>
      </c>
      <c r="C32" s="591">
        <v>8</v>
      </c>
      <c r="D32" s="591" t="s">
        <v>537</v>
      </c>
      <c r="E32" s="646"/>
      <c r="F32" s="647"/>
      <c r="G32" s="847">
        <f>+F32*C32</f>
        <v>0</v>
      </c>
      <c r="H32" s="834">
        <v>1</v>
      </c>
      <c r="I32" s="834">
        <v>1</v>
      </c>
      <c r="J32" s="834">
        <v>1</v>
      </c>
      <c r="K32" s="834"/>
      <c r="L32" s="591">
        <f t="shared" si="5"/>
        <v>3</v>
      </c>
      <c r="M32" s="846">
        <f>ROUND(+G32*L32,0)</f>
        <v>0</v>
      </c>
      <c r="N32" s="622"/>
      <c r="O32" s="623"/>
      <c r="P32" s="624"/>
      <c r="Q32" s="625"/>
      <c r="R32" s="625"/>
      <c r="S32" s="625"/>
      <c r="T32" s="625"/>
    </row>
    <row r="33" spans="1:28" ht="22.5" customHeight="1" x14ac:dyDescent="0.2">
      <c r="A33" s="807" t="s">
        <v>542</v>
      </c>
      <c r="B33" s="645" t="s">
        <v>546</v>
      </c>
      <c r="C33" s="591">
        <v>1</v>
      </c>
      <c r="D33" s="591" t="s">
        <v>302</v>
      </c>
      <c r="E33" s="646"/>
      <c r="F33" s="647"/>
      <c r="G33" s="847">
        <f>+F33*C33</f>
        <v>0</v>
      </c>
      <c r="H33" s="834">
        <v>1</v>
      </c>
      <c r="I33" s="834">
        <v>1</v>
      </c>
      <c r="J33" s="834">
        <v>1</v>
      </c>
      <c r="K33" s="834"/>
      <c r="L33" s="591">
        <f t="shared" ref="L33" si="6">SUM(H33:K33)</f>
        <v>3</v>
      </c>
      <c r="M33" s="846">
        <f>+G33*L33</f>
        <v>0</v>
      </c>
      <c r="N33" s="622"/>
      <c r="O33" s="623"/>
      <c r="P33" s="624"/>
      <c r="Q33" s="625"/>
      <c r="R33" s="625"/>
      <c r="S33" s="625"/>
      <c r="T33" s="625"/>
    </row>
    <row r="34" spans="1:28" ht="38.450000000000003" customHeight="1" x14ac:dyDescent="0.2">
      <c r="A34" s="807" t="s">
        <v>547</v>
      </c>
      <c r="B34" s="645" t="s">
        <v>568</v>
      </c>
      <c r="C34" s="591">
        <v>1</v>
      </c>
      <c r="D34" s="591" t="s">
        <v>302</v>
      </c>
      <c r="E34" s="646"/>
      <c r="F34" s="647"/>
      <c r="G34" s="847">
        <f>+F34*C34</f>
        <v>0</v>
      </c>
      <c r="H34" s="834">
        <v>1</v>
      </c>
      <c r="I34" s="834">
        <v>1</v>
      </c>
      <c r="J34" s="834">
        <v>1</v>
      </c>
      <c r="K34" s="834"/>
      <c r="L34" s="591">
        <f t="shared" ref="L34" si="7">SUM(H34:K34)</f>
        <v>3</v>
      </c>
      <c r="M34" s="846">
        <f>+G34*L34</f>
        <v>0</v>
      </c>
      <c r="N34" s="622"/>
      <c r="O34" s="623"/>
      <c r="P34" s="624"/>
      <c r="Q34" s="625"/>
      <c r="R34" s="625"/>
      <c r="S34" s="625"/>
      <c r="T34" s="625"/>
    </row>
    <row r="35" spans="1:28" ht="22.5" customHeight="1" x14ac:dyDescent="0.2">
      <c r="A35" s="807" t="s">
        <v>548</v>
      </c>
      <c r="B35" s="645" t="s">
        <v>566</v>
      </c>
      <c r="C35" s="591">
        <v>1</v>
      </c>
      <c r="D35" s="591" t="s">
        <v>302</v>
      </c>
      <c r="E35" s="646"/>
      <c r="F35" s="647"/>
      <c r="G35" s="847">
        <f>+F35*C35</f>
        <v>0</v>
      </c>
      <c r="H35" s="834">
        <v>1</v>
      </c>
      <c r="I35" s="834">
        <v>1</v>
      </c>
      <c r="J35" s="834">
        <v>1</v>
      </c>
      <c r="K35" s="834"/>
      <c r="L35" s="591">
        <f t="shared" ref="L35" si="8">SUM(H35:K35)</f>
        <v>3</v>
      </c>
      <c r="M35" s="846">
        <f>+G35*L35</f>
        <v>0</v>
      </c>
      <c r="N35" s="622"/>
      <c r="O35" s="623"/>
      <c r="P35" s="624"/>
      <c r="Q35" s="625"/>
      <c r="R35" s="625"/>
      <c r="S35" s="625"/>
      <c r="T35" s="625"/>
    </row>
    <row r="36" spans="1:28" x14ac:dyDescent="0.2">
      <c r="A36" s="807"/>
      <c r="B36" s="645"/>
      <c r="C36" s="591"/>
      <c r="D36" s="591"/>
      <c r="E36" s="646"/>
      <c r="F36" s="647"/>
      <c r="G36" s="648"/>
      <c r="H36" s="594"/>
      <c r="I36" s="594"/>
      <c r="J36" s="594"/>
      <c r="K36" s="594"/>
      <c r="L36" s="591"/>
      <c r="M36" s="809"/>
      <c r="N36" s="649"/>
      <c r="O36" s="650"/>
      <c r="P36" s="624"/>
      <c r="Q36" s="625"/>
      <c r="R36" s="625"/>
      <c r="S36" s="625"/>
      <c r="T36" s="625"/>
    </row>
    <row r="37" spans="1:28" ht="21" customHeight="1" x14ac:dyDescent="0.2">
      <c r="A37" s="916" t="s">
        <v>308</v>
      </c>
      <c r="B37" s="917"/>
      <c r="C37" s="917"/>
      <c r="D37" s="917"/>
      <c r="E37" s="917"/>
      <c r="F37" s="917"/>
      <c r="G37" s="917"/>
      <c r="H37" s="917"/>
      <c r="I37" s="917"/>
      <c r="J37" s="917"/>
      <c r="K37" s="917"/>
      <c r="L37" s="918"/>
      <c r="M37" s="837">
        <f>SUM(M30:M35)</f>
        <v>0</v>
      </c>
      <c r="N37" s="651" t="e">
        <f>+M37/M39</f>
        <v>#DIV/0!</v>
      </c>
      <c r="O37" s="652" t="e">
        <f>+N37*O39</f>
        <v>#DIV/0!</v>
      </c>
      <c r="P37" s="653"/>
      <c r="Q37" s="654"/>
      <c r="R37" s="654"/>
      <c r="S37" s="654"/>
      <c r="T37" s="654"/>
      <c r="U37" s="635"/>
    </row>
    <row r="38" spans="1:28" x14ac:dyDescent="0.2">
      <c r="A38" s="813"/>
      <c r="M38" s="814"/>
      <c r="N38" s="656"/>
      <c r="O38" s="657"/>
      <c r="P38" s="658"/>
    </row>
    <row r="39" spans="1:28" ht="15" x14ac:dyDescent="0.2">
      <c r="A39" s="916" t="s">
        <v>24</v>
      </c>
      <c r="B39" s="917"/>
      <c r="C39" s="917"/>
      <c r="D39" s="917"/>
      <c r="E39" s="917"/>
      <c r="F39" s="917"/>
      <c r="G39" s="917"/>
      <c r="H39" s="917"/>
      <c r="I39" s="917"/>
      <c r="J39" s="917"/>
      <c r="K39" s="917"/>
      <c r="L39" s="918"/>
      <c r="M39" s="837">
        <f>M37+M24</f>
        <v>0</v>
      </c>
      <c r="N39" s="659">
        <v>312321546</v>
      </c>
      <c r="O39" s="652">
        <v>260101884.03361344</v>
      </c>
      <c r="P39" s="653"/>
      <c r="Q39" s="654"/>
      <c r="R39" s="654"/>
      <c r="S39" s="654"/>
      <c r="T39" s="654"/>
    </row>
    <row r="40" spans="1:28" ht="15" x14ac:dyDescent="0.2">
      <c r="A40" s="919" t="s">
        <v>325</v>
      </c>
      <c r="B40" s="920"/>
      <c r="C40" s="920"/>
      <c r="D40" s="920"/>
      <c r="E40" s="920"/>
      <c r="F40" s="920"/>
      <c r="G40" s="920"/>
      <c r="H40" s="920"/>
      <c r="I40" s="920"/>
      <c r="J40" s="920"/>
      <c r="K40" s="920"/>
      <c r="L40" s="921"/>
      <c r="M40" s="838">
        <f>ROUND(M39*19%,0)</f>
        <v>0</v>
      </c>
      <c r="N40" s="660">
        <v>59341094</v>
      </c>
      <c r="O40" s="661">
        <v>49419357.966386557</v>
      </c>
      <c r="P40" s="662"/>
      <c r="Q40" s="663"/>
      <c r="R40" s="663"/>
      <c r="S40" s="663"/>
      <c r="T40" s="663"/>
    </row>
    <row r="41" spans="1:28" ht="15.75" thickBot="1" x14ac:dyDescent="0.25">
      <c r="A41" s="922" t="s">
        <v>309</v>
      </c>
      <c r="B41" s="923"/>
      <c r="C41" s="923"/>
      <c r="D41" s="923"/>
      <c r="E41" s="923"/>
      <c r="F41" s="923"/>
      <c r="G41" s="923"/>
      <c r="H41" s="923"/>
      <c r="I41" s="923"/>
      <c r="J41" s="923"/>
      <c r="K41" s="923"/>
      <c r="L41" s="924"/>
      <c r="M41" s="839">
        <f>M39+M40</f>
        <v>0</v>
      </c>
      <c r="N41" s="660">
        <v>371662640</v>
      </c>
      <c r="O41" s="661">
        <f>+O39+O40</f>
        <v>309521242</v>
      </c>
      <c r="P41" s="662"/>
      <c r="Q41" s="664"/>
      <c r="R41" s="663"/>
      <c r="S41" s="663"/>
      <c r="T41" s="663"/>
      <c r="U41" s="665"/>
      <c r="V41" s="663"/>
    </row>
    <row r="42" spans="1:28" ht="25.5" customHeight="1" x14ac:dyDescent="0.2">
      <c r="A42" s="803"/>
      <c r="B42" s="804"/>
      <c r="C42" s="804"/>
      <c r="D42" s="804"/>
      <c r="E42" s="804"/>
      <c r="F42" s="804"/>
      <c r="G42" s="804"/>
      <c r="H42" s="804"/>
      <c r="I42" s="804"/>
      <c r="J42" s="804"/>
      <c r="K42" s="804"/>
      <c r="L42" s="804"/>
      <c r="M42" s="666"/>
      <c r="N42" s="666"/>
      <c r="O42" s="666"/>
      <c r="P42" s="666"/>
      <c r="Q42" s="802"/>
      <c r="R42" s="667"/>
      <c r="S42" s="667"/>
      <c r="T42" s="663"/>
      <c r="U42" s="635"/>
    </row>
    <row r="43" spans="1:28" ht="15.75" x14ac:dyDescent="0.3">
      <c r="A43" s="912" t="s">
        <v>569</v>
      </c>
      <c r="B43" s="913"/>
      <c r="C43" s="817"/>
      <c r="D43"/>
      <c r="E43" s="817"/>
      <c r="F43" s="578"/>
      <c r="G43" s="835"/>
      <c r="M43" s="836"/>
      <c r="V43" s="668"/>
    </row>
    <row r="44" spans="1:28" ht="20.25" customHeight="1" thickBot="1" x14ac:dyDescent="0.3">
      <c r="A44" s="815"/>
      <c r="B44"/>
      <c r="C44" s="816"/>
      <c r="D44"/>
      <c r="E44" s="818"/>
      <c r="F44" s="578"/>
      <c r="G44" s="655"/>
      <c r="M44" s="579"/>
      <c r="O44" s="840"/>
    </row>
    <row r="45" spans="1:28" s="580" customFormat="1" ht="15" x14ac:dyDescent="0.25">
      <c r="A45"/>
      <c r="B45"/>
      <c r="C45" s="816"/>
      <c r="D45"/>
      <c r="E45" s="816"/>
      <c r="F45" s="578"/>
      <c r="G45" s="655"/>
      <c r="H45" s="655"/>
      <c r="I45" s="655"/>
      <c r="J45" s="655"/>
      <c r="K45" s="655"/>
      <c r="L45" s="655"/>
      <c r="M45" s="578"/>
      <c r="N45" s="578"/>
      <c r="O45" s="578"/>
      <c r="P45" s="578"/>
      <c r="Q45" s="579"/>
      <c r="R45" s="579"/>
      <c r="S45" s="579"/>
      <c r="T45" s="579"/>
      <c r="U45" s="664"/>
      <c r="Z45" s="581"/>
      <c r="AA45" s="581"/>
      <c r="AB45" s="581"/>
    </row>
    <row r="46" spans="1:28" ht="18" customHeight="1" x14ac:dyDescent="0.2">
      <c r="B46" s="669"/>
      <c r="U46" s="668"/>
    </row>
    <row r="47" spans="1:28" x14ac:dyDescent="0.2">
      <c r="B47" s="655" t="s">
        <v>47</v>
      </c>
    </row>
    <row r="48" spans="1:28" x14ac:dyDescent="0.2">
      <c r="B48" s="655" t="s">
        <v>47</v>
      </c>
    </row>
    <row r="52" spans="7:7" x14ac:dyDescent="0.2">
      <c r="G52" s="670">
        <f>3219*0.06</f>
        <v>193.14</v>
      </c>
    </row>
  </sheetData>
  <mergeCells count="42">
    <mergeCell ref="A13:M13"/>
    <mergeCell ref="A1:M1"/>
    <mergeCell ref="A2:M2"/>
    <mergeCell ref="A3:M3"/>
    <mergeCell ref="A4:A5"/>
    <mergeCell ref="B4:B5"/>
    <mergeCell ref="C4:C5"/>
    <mergeCell ref="D4:D5"/>
    <mergeCell ref="E4:E5"/>
    <mergeCell ref="F4:F5"/>
    <mergeCell ref="G4:G5"/>
    <mergeCell ref="H4:L4"/>
    <mergeCell ref="M4:M5"/>
    <mergeCell ref="A26:M26"/>
    <mergeCell ref="A14:L14"/>
    <mergeCell ref="A15:M15"/>
    <mergeCell ref="A16:A17"/>
    <mergeCell ref="B16:B17"/>
    <mergeCell ref="C16:C17"/>
    <mergeCell ref="D16:D17"/>
    <mergeCell ref="E16:E17"/>
    <mergeCell ref="F16:F17"/>
    <mergeCell ref="G16:G17"/>
    <mergeCell ref="H16:L16"/>
    <mergeCell ref="A22:L22"/>
    <mergeCell ref="A23:M23"/>
    <mergeCell ref="A24:L24"/>
    <mergeCell ref="A25:M25"/>
    <mergeCell ref="A21:M21"/>
    <mergeCell ref="A43:B43"/>
    <mergeCell ref="G27:G28"/>
    <mergeCell ref="H27:L27"/>
    <mergeCell ref="A37:L37"/>
    <mergeCell ref="A39:L39"/>
    <mergeCell ref="A40:L40"/>
    <mergeCell ref="A41:L41"/>
    <mergeCell ref="A27:A28"/>
    <mergeCell ref="B27:B28"/>
    <mergeCell ref="C27:C28"/>
    <mergeCell ref="D27:D28"/>
    <mergeCell ref="E27:E28"/>
    <mergeCell ref="F27:F28"/>
  </mergeCells>
  <phoneticPr fontId="105" type="noConversion"/>
  <printOptions horizontalCentered="1"/>
  <pageMargins left="0.62992125984251968" right="0.70866141732283472" top="0.62992125984251968" bottom="0.6692913385826772" header="0.31496062992125984" footer="0.31496062992125984"/>
  <pageSetup scale="5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249977111117893"/>
  </sheetPr>
  <dimension ref="A1:S47"/>
  <sheetViews>
    <sheetView topLeftCell="H1" zoomScale="70" zoomScaleNormal="70" workbookViewId="0">
      <pane ySplit="5" topLeftCell="A6" activePane="bottomLeft" state="frozen"/>
      <selection pane="bottomLeft" activeCell="S41" sqref="S41"/>
    </sheetView>
  </sheetViews>
  <sheetFormatPr baseColWidth="10" defaultColWidth="91.28515625" defaultRowHeight="12.75" x14ac:dyDescent="0.2"/>
  <cols>
    <col min="1" max="1" width="24.140625" style="204" customWidth="1"/>
    <col min="2" max="2" width="27" style="204" customWidth="1"/>
    <col min="3" max="3" width="39.7109375" style="204" customWidth="1"/>
    <col min="4" max="4" width="18.85546875" style="204" customWidth="1"/>
    <col min="5" max="6" width="24.7109375" style="204" customWidth="1"/>
    <col min="7" max="7" width="28.7109375" style="204" customWidth="1"/>
    <col min="8" max="8" width="9.28515625" style="204" customWidth="1"/>
    <col min="9" max="9" width="73.28515625" style="204" customWidth="1"/>
    <col min="10" max="10" width="14.7109375" style="204" customWidth="1"/>
    <col min="11" max="11" width="15.140625" style="204" customWidth="1"/>
    <col min="12" max="12" width="14.85546875" style="204" customWidth="1"/>
    <col min="13" max="13" width="17.28515625" style="204" customWidth="1"/>
    <col min="14" max="14" width="16.85546875" style="204" customWidth="1"/>
    <col min="15" max="15" width="17.28515625" style="204" customWidth="1"/>
    <col min="16" max="16" width="17" style="204" customWidth="1"/>
    <col min="17" max="18" width="17.140625" style="204" customWidth="1"/>
    <col min="19" max="19" width="26" style="204" customWidth="1"/>
    <col min="20" max="16384" width="91.28515625" style="204"/>
  </cols>
  <sheetData>
    <row r="1" spans="1:19" ht="31.15" customHeight="1" x14ac:dyDescent="0.2">
      <c r="A1" s="1000" t="s">
        <v>253</v>
      </c>
      <c r="B1" s="1000"/>
      <c r="C1" s="1000"/>
      <c r="D1" s="1000"/>
      <c r="E1" s="1000"/>
      <c r="F1" s="1000"/>
      <c r="G1" s="1000"/>
      <c r="H1" s="1000"/>
      <c r="I1" s="1000"/>
      <c r="J1" s="1000"/>
      <c r="K1" s="1000"/>
      <c r="L1" s="1000"/>
      <c r="M1" s="1000"/>
      <c r="N1" s="1000"/>
      <c r="O1" s="1000"/>
      <c r="P1" s="1000"/>
      <c r="Q1" s="1000"/>
      <c r="R1" s="1000"/>
      <c r="S1" s="1000"/>
    </row>
    <row r="2" spans="1:19" ht="31.15" customHeight="1" x14ac:dyDescent="0.2">
      <c r="A2" s="1008" t="s">
        <v>254</v>
      </c>
      <c r="B2" s="1008"/>
      <c r="C2" s="1008"/>
      <c r="D2" s="1008"/>
      <c r="E2" s="1008"/>
      <c r="F2" s="1008"/>
      <c r="G2" s="1008"/>
      <c r="H2" s="1008"/>
      <c r="I2" s="1008"/>
      <c r="J2" s="1008"/>
      <c r="K2" s="1008"/>
      <c r="L2" s="1008"/>
      <c r="M2" s="1008"/>
      <c r="N2" s="1008"/>
      <c r="O2" s="1008"/>
      <c r="P2" s="1008"/>
      <c r="Q2" s="1008"/>
      <c r="R2" s="1008"/>
      <c r="S2" s="1008"/>
    </row>
    <row r="3" spans="1:19" ht="25.5" customHeight="1" x14ac:dyDescent="0.2">
      <c r="A3" s="1007" t="s">
        <v>310</v>
      </c>
      <c r="B3" s="1007"/>
      <c r="C3" s="1007"/>
      <c r="D3" s="1007"/>
      <c r="E3" s="1007"/>
      <c r="F3" s="1007"/>
      <c r="G3" s="1007"/>
      <c r="H3" s="1007"/>
      <c r="I3" s="1007"/>
      <c r="J3" s="1007"/>
      <c r="K3" s="1007"/>
      <c r="L3" s="1007"/>
      <c r="M3" s="1007"/>
      <c r="N3" s="1007"/>
      <c r="O3" s="1007"/>
      <c r="P3" s="1007"/>
      <c r="Q3" s="1007"/>
      <c r="R3" s="1007"/>
      <c r="S3" s="1007"/>
    </row>
    <row r="4" spans="1:19" ht="14.45" customHeight="1" thickBot="1" x14ac:dyDescent="0.25">
      <c r="D4" s="209"/>
      <c r="E4" s="273"/>
      <c r="F4" s="273"/>
      <c r="G4" s="273"/>
      <c r="H4" s="273"/>
      <c r="I4" s="209"/>
      <c r="J4" s="209"/>
      <c r="K4" s="209"/>
      <c r="L4" s="209"/>
      <c r="M4" s="209"/>
      <c r="N4" s="209"/>
      <c r="O4" s="209"/>
      <c r="P4" s="209"/>
    </row>
    <row r="5" spans="1:19" ht="48.6" customHeight="1" thickBot="1" x14ac:dyDescent="0.25">
      <c r="A5" s="367" t="s">
        <v>221</v>
      </c>
      <c r="B5" s="368" t="s">
        <v>223</v>
      </c>
      <c r="C5" s="369" t="s">
        <v>224</v>
      </c>
      <c r="D5" s="367" t="s">
        <v>5</v>
      </c>
      <c r="E5" s="370" t="s">
        <v>134</v>
      </c>
      <c r="F5" s="370" t="s">
        <v>226</v>
      </c>
      <c r="G5" s="393" t="s">
        <v>227</v>
      </c>
      <c r="H5" s="370" t="s">
        <v>228</v>
      </c>
      <c r="I5" s="370" t="s">
        <v>236</v>
      </c>
      <c r="J5" s="370" t="s">
        <v>183</v>
      </c>
      <c r="K5" s="370" t="s">
        <v>135</v>
      </c>
      <c r="L5" s="370" t="s">
        <v>136</v>
      </c>
      <c r="M5" s="370" t="s">
        <v>137</v>
      </c>
      <c r="N5" s="370" t="s">
        <v>179</v>
      </c>
      <c r="O5" s="370" t="s">
        <v>181</v>
      </c>
      <c r="P5" s="370" t="s">
        <v>138</v>
      </c>
      <c r="Q5" s="370" t="s">
        <v>6</v>
      </c>
      <c r="R5" s="371" t="s">
        <v>45</v>
      </c>
      <c r="S5" s="372" t="s">
        <v>180</v>
      </c>
    </row>
    <row r="6" spans="1:19" ht="39.6" customHeight="1" x14ac:dyDescent="0.2">
      <c r="A6" s="980" t="s">
        <v>222</v>
      </c>
      <c r="B6" s="1001" t="s">
        <v>225</v>
      </c>
      <c r="C6" s="1009" t="s">
        <v>240</v>
      </c>
      <c r="D6" s="997">
        <v>1</v>
      </c>
      <c r="E6" s="1014" t="s">
        <v>139</v>
      </c>
      <c r="F6" s="390" t="s">
        <v>312</v>
      </c>
      <c r="G6" s="391" t="s">
        <v>230</v>
      </c>
      <c r="H6" s="390">
        <v>1</v>
      </c>
      <c r="I6" s="386" t="s">
        <v>251</v>
      </c>
      <c r="J6" s="1016">
        <v>9</v>
      </c>
      <c r="K6" s="387" t="e">
        <f>#REF!+#REF!*J6</f>
        <v>#REF!</v>
      </c>
      <c r="L6" s="387"/>
      <c r="M6" s="387"/>
      <c r="N6" s="387"/>
      <c r="O6" s="387"/>
      <c r="P6" s="387"/>
      <c r="Q6" s="387" t="e">
        <f>SUM(K6:P6)</f>
        <v>#REF!</v>
      </c>
      <c r="R6" s="388"/>
      <c r="S6" s="1005" t="e">
        <f>SUM(Q6:Q8)</f>
        <v>#REF!</v>
      </c>
    </row>
    <row r="7" spans="1:19" ht="38.25" x14ac:dyDescent="0.2">
      <c r="A7" s="981"/>
      <c r="B7" s="1002"/>
      <c r="C7" s="1009"/>
      <c r="D7" s="998"/>
      <c r="E7" s="1015"/>
      <c r="F7" s="973" t="s">
        <v>313</v>
      </c>
      <c r="G7" s="967" t="s">
        <v>230</v>
      </c>
      <c r="H7" s="973">
        <v>1</v>
      </c>
      <c r="I7" s="373" t="s">
        <v>215</v>
      </c>
      <c r="J7" s="967"/>
      <c r="K7" s="374" t="e">
        <f>#REF!*J6</f>
        <v>#REF!</v>
      </c>
      <c r="L7" s="374" t="e">
        <f>#REF!*4</f>
        <v>#REF!</v>
      </c>
      <c r="M7" s="374" t="e">
        <f>#REF!*10</f>
        <v>#REF!</v>
      </c>
      <c r="N7" s="374"/>
      <c r="O7" s="374"/>
      <c r="P7" s="374" t="e">
        <f>#REF!*4+#REF!</f>
        <v>#REF!</v>
      </c>
      <c r="Q7" s="374" t="e">
        <f t="shared" ref="Q7:Q8" si="0">SUM(K7:P7)</f>
        <v>#REF!</v>
      </c>
      <c r="R7" s="375"/>
      <c r="S7" s="1006"/>
    </row>
    <row r="8" spans="1:19" x14ac:dyDescent="0.2">
      <c r="A8" s="981"/>
      <c r="B8" s="1002"/>
      <c r="C8" s="1009"/>
      <c r="D8" s="998"/>
      <c r="E8" s="1015"/>
      <c r="F8" s="974"/>
      <c r="G8" s="967"/>
      <c r="H8" s="974"/>
      <c r="I8" s="373" t="s">
        <v>216</v>
      </c>
      <c r="J8" s="967"/>
      <c r="K8" s="374">
        <f>'[1]PRESUPUESTO FINAL'!$F$12+'[1]PRESUPUESTO FINAL'!$F$13+'[1]PRESUPUESTO FINAL'!$F$14+'[1]PRESUPUESTO FINAL'!$F$15+'[1]PRESUPUESTO FINAL'!$F$16+'[1]PRESUPUESTO FINAL'!$F$17+'[1]PRESUPUESTO FINAL'!$F$18+'[1]PRESUPUESTO FINAL'!$F$19+'[1]PRESUPUESTO FINAL'!$F$20</f>
        <v>137115000</v>
      </c>
      <c r="L8" s="374">
        <f>'[1]PRESUPUESTO FINAL'!$G$12+'[1]PRESUPUESTO FINAL'!$G$13+'[1]PRESUPUESTO FINAL'!$G$14+'[1]PRESUPUESTO FINAL'!$G$19</f>
        <v>10560000</v>
      </c>
      <c r="M8" s="374">
        <f>'[1]PRESUPUESTO FINAL'!$H$20</f>
        <v>17500000</v>
      </c>
      <c r="N8" s="374"/>
      <c r="O8" s="374">
        <f>'[1]PRESUPUESTO FINAL'!$J$13+'[1]PRESUPUESTO FINAL'!$J$14+'[1]PRESUPUESTO FINAL'!$J$16</f>
        <v>225000000</v>
      </c>
      <c r="P8" s="374"/>
      <c r="Q8" s="374">
        <f t="shared" si="0"/>
        <v>390175000</v>
      </c>
      <c r="R8" s="375"/>
      <c r="S8" s="1006"/>
    </row>
    <row r="9" spans="1:19" ht="26.45" customHeight="1" x14ac:dyDescent="0.2">
      <c r="A9" s="981"/>
      <c r="B9" s="1002"/>
      <c r="C9" s="1009"/>
      <c r="D9" s="998"/>
      <c r="E9" s="970" t="s">
        <v>212</v>
      </c>
      <c r="F9" s="391" t="s">
        <v>314</v>
      </c>
      <c r="G9" s="391" t="s">
        <v>230</v>
      </c>
      <c r="H9" s="392">
        <v>1</v>
      </c>
      <c r="I9" s="373" t="s">
        <v>217</v>
      </c>
      <c r="J9" s="973">
        <v>4</v>
      </c>
      <c r="K9" s="374">
        <f>'[1]PRESUPUESTO FINAL'!$F$22+'[1]PRESUPUESTO FINAL'!$F$23+'[1]PRESUPUESTO FINAL'!$F$24+'[1]PRESUPUESTO FINAL'!$F$25+'[1]PRESUPUESTO FINAL'!$F$26</f>
        <v>127462500</v>
      </c>
      <c r="L9" s="374">
        <f>'[1]PRESUPUESTO FINAL'!$G$24</f>
        <v>3960000</v>
      </c>
      <c r="M9" s="374">
        <f>'[1]PRESUPUESTO FINAL'!$H$22+'[1]PRESUPUESTO FINAL'!$H$25</f>
        <v>28000000</v>
      </c>
      <c r="N9" s="374"/>
      <c r="O9" s="374">
        <f>'[1]PRESUPUESTO FINAL'!$J$22</f>
        <v>75000000</v>
      </c>
      <c r="P9" s="374">
        <f>'[1]PRESUPUESTO FINAL'!$K$24+'[1]PRESUPUESTO FINAL'!$K$25</f>
        <v>95000000</v>
      </c>
      <c r="Q9" s="374">
        <f>SUM(K9:P9)</f>
        <v>329422500</v>
      </c>
      <c r="R9" s="375"/>
      <c r="S9" s="964" t="e">
        <f>SUM(Q9:Q14)</f>
        <v>#REF!</v>
      </c>
    </row>
    <row r="10" spans="1:19" ht="63.75" x14ac:dyDescent="0.2">
      <c r="A10" s="981"/>
      <c r="B10" s="1002"/>
      <c r="C10" s="1009"/>
      <c r="D10" s="998"/>
      <c r="E10" s="971"/>
      <c r="F10" s="391" t="s">
        <v>315</v>
      </c>
      <c r="G10" s="391" t="s">
        <v>230</v>
      </c>
      <c r="H10" s="392">
        <v>1</v>
      </c>
      <c r="I10" s="373" t="s">
        <v>218</v>
      </c>
      <c r="J10" s="999"/>
      <c r="K10" s="374">
        <f>'[1]PRESUPUESTO FINAL'!$F$28+'[1]PRESUPUESTO FINAL'!$F$29+'[1]PRESUPUESTO FINAL'!$F$30+'[1]PRESUPUESTO FINAL'!$F$31</f>
        <v>104912500</v>
      </c>
      <c r="L10" s="374">
        <f>'[1]PRESUPUESTO FINAL'!$G$30</f>
        <v>3960000</v>
      </c>
      <c r="M10" s="374">
        <f>'[1]PRESUPUESTO FINAL'!$H$31</f>
        <v>17500000</v>
      </c>
      <c r="N10" s="374"/>
      <c r="O10" s="374"/>
      <c r="P10" s="374">
        <f>'[1]PRESUPUESTO FINAL'!$K$29+'[1]PRESUPUESTO FINAL'!$K$31</f>
        <v>95000000</v>
      </c>
      <c r="Q10" s="374">
        <f>SUM(K10:P10)</f>
        <v>221372500</v>
      </c>
      <c r="R10" s="375"/>
      <c r="S10" s="965"/>
    </row>
    <row r="11" spans="1:19" ht="38.25" x14ac:dyDescent="0.2">
      <c r="A11" s="981"/>
      <c r="B11" s="1002"/>
      <c r="C11" s="1009"/>
      <c r="D11" s="998"/>
      <c r="E11" s="971"/>
      <c r="F11" s="967" t="s">
        <v>317</v>
      </c>
      <c r="G11" s="967" t="s">
        <v>230</v>
      </c>
      <c r="H11" s="968">
        <v>1</v>
      </c>
      <c r="I11" s="373" t="s">
        <v>219</v>
      </c>
      <c r="J11" s="999"/>
      <c r="K11" s="374">
        <f>'[1]PRESUPUESTO FINAL'!$F$33+'[1]PRESUPUESTO FINAL'!$F$34+'[1]PRESUPUESTO FINAL'!$F$35+'[1]PRESUPUESTO FINAL'!$F$36+'[1]PRESUPUESTO FINAL'!$F$37+'[1]PRESUPUESTO FINAL'!$F$38</f>
        <v>162525000</v>
      </c>
      <c r="L11" s="374">
        <f>'[1]PRESUPUESTO FINAL'!$G$33</f>
        <v>1980000.0000000002</v>
      </c>
      <c r="M11" s="374">
        <f>'[1]PRESUPUESTO FINAL'!$H$36</f>
        <v>14000000</v>
      </c>
      <c r="N11" s="374"/>
      <c r="O11" s="374"/>
      <c r="P11" s="374">
        <f>'[1]PRESUPUESTO FINAL'!$K$37</f>
        <v>16000000</v>
      </c>
      <c r="Q11" s="374">
        <f>SUM(K11:P11)</f>
        <v>194505000</v>
      </c>
      <c r="R11" s="375"/>
      <c r="S11" s="965"/>
    </row>
    <row r="12" spans="1:19" ht="50.45" customHeight="1" x14ac:dyDescent="0.2">
      <c r="A12" s="981"/>
      <c r="B12" s="1002"/>
      <c r="C12" s="1009"/>
      <c r="D12" s="998"/>
      <c r="E12" s="971"/>
      <c r="F12" s="967"/>
      <c r="G12" s="967"/>
      <c r="H12" s="969"/>
      <c r="I12" s="373" t="s">
        <v>169</v>
      </c>
      <c r="J12" s="999"/>
      <c r="K12" s="374" t="e">
        <f>#REF!+#REF!*5</f>
        <v>#REF!</v>
      </c>
      <c r="L12" s="374"/>
      <c r="M12" s="374"/>
      <c r="N12" s="374"/>
      <c r="O12" s="374"/>
      <c r="P12" s="374" t="e">
        <f>#REF!*4</f>
        <v>#REF!</v>
      </c>
      <c r="Q12" s="374" t="e">
        <f t="shared" ref="Q12:Q14" si="1">SUM(K12:P12)</f>
        <v>#REF!</v>
      </c>
      <c r="R12" s="375"/>
      <c r="S12" s="965"/>
    </row>
    <row r="13" spans="1:19" ht="25.5" x14ac:dyDescent="0.2">
      <c r="A13" s="981"/>
      <c r="B13" s="1002"/>
      <c r="C13" s="1009"/>
      <c r="D13" s="998"/>
      <c r="E13" s="971"/>
      <c r="F13" s="973" t="s">
        <v>318</v>
      </c>
      <c r="G13" s="973" t="s">
        <v>230</v>
      </c>
      <c r="H13" s="975">
        <v>1</v>
      </c>
      <c r="I13" s="373" t="s">
        <v>184</v>
      </c>
      <c r="J13" s="999"/>
      <c r="K13" s="374" t="e">
        <f>#REF!+#REF!+#REF!*3</f>
        <v>#REF!</v>
      </c>
      <c r="L13" s="374"/>
      <c r="M13" s="374"/>
      <c r="N13" s="374"/>
      <c r="O13" s="374"/>
      <c r="P13" s="374"/>
      <c r="Q13" s="374" t="e">
        <f t="shared" si="1"/>
        <v>#REF!</v>
      </c>
      <c r="R13" s="375"/>
      <c r="S13" s="965"/>
    </row>
    <row r="14" spans="1:19" ht="15.6" customHeight="1" x14ac:dyDescent="0.2">
      <c r="A14" s="981"/>
      <c r="B14" s="1002"/>
      <c r="C14" s="1009"/>
      <c r="D14" s="998"/>
      <c r="E14" s="972"/>
      <c r="F14" s="974"/>
      <c r="G14" s="974"/>
      <c r="H14" s="976"/>
      <c r="I14" s="373" t="s">
        <v>321</v>
      </c>
      <c r="J14" s="974"/>
      <c r="K14" s="374" t="e">
        <f>#REF!</f>
        <v>#REF!</v>
      </c>
      <c r="L14" s="374"/>
      <c r="M14" s="374"/>
      <c r="N14" s="374"/>
      <c r="O14" s="374"/>
      <c r="P14" s="374"/>
      <c r="Q14" s="374" t="e">
        <f t="shared" si="1"/>
        <v>#REF!</v>
      </c>
      <c r="R14" s="375"/>
      <c r="S14" s="966"/>
    </row>
    <row r="15" spans="1:19" ht="38.25" x14ac:dyDescent="0.2">
      <c r="A15" s="981"/>
      <c r="B15" s="1002"/>
      <c r="C15" s="1009"/>
      <c r="D15" s="998"/>
      <c r="E15" s="1015" t="s">
        <v>208</v>
      </c>
      <c r="F15" s="967" t="s">
        <v>316</v>
      </c>
      <c r="G15" s="391" t="s">
        <v>232</v>
      </c>
      <c r="H15" s="391">
        <v>1</v>
      </c>
      <c r="I15" s="373" t="s">
        <v>234</v>
      </c>
      <c r="J15" s="967">
        <v>3</v>
      </c>
      <c r="K15" s="374" t="e">
        <f>#REF!+#REF!*2</f>
        <v>#REF!</v>
      </c>
      <c r="L15" s="374" t="e">
        <f>#REF!*4*2</f>
        <v>#REF!</v>
      </c>
      <c r="M15" s="374"/>
      <c r="N15" s="374" t="e">
        <f>#REF!*2+'[1]MANO DE OBRA'!$D$59</f>
        <v>#REF!</v>
      </c>
      <c r="O15" s="374" t="e">
        <f>#REF!</f>
        <v>#REF!</v>
      </c>
      <c r="P15" s="374" t="e">
        <f>#REF!</f>
        <v>#REF!</v>
      </c>
      <c r="Q15" s="374" t="e">
        <f>SUM(K15:P15)</f>
        <v>#REF!</v>
      </c>
      <c r="R15" s="375"/>
      <c r="S15" s="1018" t="e">
        <f>SUM(Q15:Q16)</f>
        <v>#REF!</v>
      </c>
    </row>
    <row r="16" spans="1:19" ht="38.25" x14ac:dyDescent="0.2">
      <c r="A16" s="981"/>
      <c r="B16" s="1002"/>
      <c r="C16" s="1009"/>
      <c r="D16" s="998"/>
      <c r="E16" s="1015"/>
      <c r="F16" s="967"/>
      <c r="G16" s="391" t="s">
        <v>233</v>
      </c>
      <c r="H16" s="391">
        <v>1</v>
      </c>
      <c r="I16" s="373" t="s">
        <v>235</v>
      </c>
      <c r="J16" s="967"/>
      <c r="K16" s="374" t="e">
        <f>#REF!+#REF!*2</f>
        <v>#REF!</v>
      </c>
      <c r="L16" s="374" t="e">
        <f>#REF!*4*2</f>
        <v>#REF!</v>
      </c>
      <c r="M16" s="374"/>
      <c r="N16" s="374" t="e">
        <f>#REF!*2</f>
        <v>#REF!</v>
      </c>
      <c r="O16" s="374" t="e">
        <f>#REF!</f>
        <v>#REF!</v>
      </c>
      <c r="P16" s="374" t="e">
        <f>#REF!</f>
        <v>#REF!</v>
      </c>
      <c r="Q16" s="374" t="e">
        <f>SUM(K16:P16)</f>
        <v>#REF!</v>
      </c>
      <c r="R16" s="375"/>
      <c r="S16" s="1018"/>
    </row>
    <row r="17" spans="1:19" ht="30" customHeight="1" thickBot="1" x14ac:dyDescent="0.25">
      <c r="A17" s="981"/>
      <c r="B17" s="1002"/>
      <c r="C17" s="1009"/>
      <c r="D17" s="983" t="s">
        <v>213</v>
      </c>
      <c r="E17" s="984"/>
      <c r="F17" s="984"/>
      <c r="G17" s="984"/>
      <c r="H17" s="984"/>
      <c r="I17" s="984"/>
      <c r="J17" s="984"/>
      <c r="K17" s="984"/>
      <c r="L17" s="984"/>
      <c r="M17" s="984"/>
      <c r="N17" s="984"/>
      <c r="O17" s="984"/>
      <c r="P17" s="984"/>
      <c r="Q17" s="984"/>
      <c r="R17" s="985"/>
      <c r="S17" s="389" t="e">
        <f>SUM(S6:S16)</f>
        <v>#REF!</v>
      </c>
    </row>
    <row r="18" spans="1:19" ht="41.45" customHeight="1" x14ac:dyDescent="0.2">
      <c r="A18" s="981"/>
      <c r="B18" s="1002"/>
      <c r="C18" s="1010"/>
      <c r="D18" s="1012">
        <v>2</v>
      </c>
      <c r="E18" s="1004" t="s">
        <v>238</v>
      </c>
      <c r="F18" s="995" t="s">
        <v>241</v>
      </c>
      <c r="G18" s="381" t="s">
        <v>242</v>
      </c>
      <c r="H18" s="381">
        <v>1</v>
      </c>
      <c r="I18" s="382" t="s">
        <v>194</v>
      </c>
      <c r="J18" s="381">
        <v>1</v>
      </c>
      <c r="K18" s="383">
        <f>'[2]VALOR TOTAL 2809'!$H$5+'[2]VALOR TOTAL 2809'!$H$6+'[2]VALOR TOTAL 2809'!$H$7</f>
        <v>798424000</v>
      </c>
      <c r="L18" s="383">
        <f>'[2]VALOR TOTAL 2809'!$H$8+'[2]VALOR TOTAL 2809'!$H$9</f>
        <v>73315000</v>
      </c>
      <c r="M18" s="381"/>
      <c r="N18" s="381"/>
      <c r="O18" s="383">
        <f>'[2]VALOR TOTAL 2809'!$H$10+'[2]VALOR TOTAL 2809'!$H$11</f>
        <v>387859999.99999994</v>
      </c>
      <c r="P18" s="381"/>
      <c r="Q18" s="383">
        <f>SUM(K18:P18)</f>
        <v>1259599000</v>
      </c>
      <c r="R18" s="383">
        <f>Q18*16%</f>
        <v>201535840</v>
      </c>
      <c r="S18" s="384">
        <f>Q18+R18</f>
        <v>1461134840</v>
      </c>
    </row>
    <row r="19" spans="1:19" ht="25.5" x14ac:dyDescent="0.2">
      <c r="A19" s="981"/>
      <c r="B19" s="1002"/>
      <c r="C19" s="1010"/>
      <c r="D19" s="1013"/>
      <c r="E19" s="994"/>
      <c r="F19" s="996"/>
      <c r="G19" s="376" t="s">
        <v>243</v>
      </c>
      <c r="H19" s="376">
        <v>1</v>
      </c>
      <c r="I19" s="377" t="s">
        <v>195</v>
      </c>
      <c r="J19" s="376">
        <v>1</v>
      </c>
      <c r="K19" s="378"/>
      <c r="L19" s="378"/>
      <c r="M19" s="378"/>
      <c r="N19" s="378"/>
      <c r="O19" s="378">
        <f>'[2]VALOR TOTAL 2809'!$H$14+'[2]VALOR TOTAL 2809'!$H$15+'[2]VALOR TOTAL 2809'!$H$16+'[2]VALOR TOTAL 2809'!$H$17+'[2]VALOR TOTAL 2809'!$H$18+'[2]VALOR TOTAL 2809'!$H$19+'[2]VALOR TOTAL 2809'!$H$20+'[2]VALOR TOTAL 2809'!$H$21+'[2]VALOR TOTAL 2809'!$H$22+'[2]VALOR TOTAL 2809'!$H$23</f>
        <v>239598150</v>
      </c>
      <c r="P19" s="378"/>
      <c r="Q19" s="378">
        <f>SUM(K19:P19)</f>
        <v>239598150</v>
      </c>
      <c r="R19" s="378">
        <f>Q19*16%</f>
        <v>38335704</v>
      </c>
      <c r="S19" s="379">
        <f t="shared" ref="S19:S20" si="2">Q19+R19</f>
        <v>277933854</v>
      </c>
    </row>
    <row r="20" spans="1:19" ht="38.450000000000003" customHeight="1" x14ac:dyDescent="0.2">
      <c r="A20" s="981"/>
      <c r="B20" s="1002"/>
      <c r="C20" s="1010"/>
      <c r="D20" s="1013"/>
      <c r="E20" s="380" t="s">
        <v>209</v>
      </c>
      <c r="F20" s="376" t="s">
        <v>231</v>
      </c>
      <c r="G20" s="376" t="s">
        <v>244</v>
      </c>
      <c r="H20" s="376">
        <v>1</v>
      </c>
      <c r="I20" s="377" t="s">
        <v>193</v>
      </c>
      <c r="J20" s="376">
        <v>2</v>
      </c>
      <c r="K20" s="378">
        <f>'[2]VALOR TOTAL 2809'!$H$26+'[2]VALOR TOTAL 2809'!$H$27</f>
        <v>156090000</v>
      </c>
      <c r="L20" s="378">
        <f>'[2]VALOR TOTAL 2809'!$H$28+'[2]VALOR TOTAL 2809'!$H$29</f>
        <v>476027200</v>
      </c>
      <c r="M20" s="376"/>
      <c r="N20" s="376"/>
      <c r="O20" s="378"/>
      <c r="P20" s="378">
        <f>'[2]VALOR TOTAL 2809'!$H$30+'[2]VALOR TOTAL 2809'!$H$31</f>
        <v>70713500</v>
      </c>
      <c r="Q20" s="378">
        <f>SUM(K20:P20)</f>
        <v>702830700</v>
      </c>
      <c r="R20" s="378">
        <f>Q20*16%</f>
        <v>112452912</v>
      </c>
      <c r="S20" s="379">
        <f t="shared" si="2"/>
        <v>815283612</v>
      </c>
    </row>
    <row r="21" spans="1:19" ht="30" customHeight="1" x14ac:dyDescent="0.2">
      <c r="A21" s="981"/>
      <c r="B21" s="1002"/>
      <c r="C21" s="1010"/>
      <c r="D21" s="1013"/>
      <c r="E21" s="994" t="s">
        <v>237</v>
      </c>
      <c r="F21" s="996" t="s">
        <v>246</v>
      </c>
      <c r="G21" s="996" t="s">
        <v>230</v>
      </c>
      <c r="H21" s="996">
        <v>1</v>
      </c>
      <c r="I21" s="377" t="s">
        <v>197</v>
      </c>
      <c r="J21" s="996">
        <v>1.5</v>
      </c>
      <c r="K21" s="378">
        <f>'[2]VALOR TOTAL 2809'!$H$33</f>
        <v>24821954.761904754</v>
      </c>
      <c r="L21" s="378"/>
      <c r="M21" s="378"/>
      <c r="N21" s="378"/>
      <c r="O21" s="378"/>
      <c r="P21" s="378"/>
      <c r="Q21" s="378">
        <f t="shared" ref="Q21:Q32" si="3">SUM(K21:P21)</f>
        <v>24821954.761904754</v>
      </c>
      <c r="R21" s="378">
        <f>Q21*16%</f>
        <v>3971512.7619047607</v>
      </c>
      <c r="S21" s="1017">
        <f>SUM(Q21:R32)</f>
        <v>994998811.81641769</v>
      </c>
    </row>
    <row r="22" spans="1:19" ht="30" customHeight="1" x14ac:dyDescent="0.2">
      <c r="A22" s="981"/>
      <c r="B22" s="1002"/>
      <c r="C22" s="1010"/>
      <c r="D22" s="1013"/>
      <c r="E22" s="994"/>
      <c r="F22" s="996"/>
      <c r="G22" s="996"/>
      <c r="H22" s="996"/>
      <c r="I22" s="377" t="s">
        <v>196</v>
      </c>
      <c r="J22" s="996"/>
      <c r="K22" s="378">
        <f>'[2]VALOR TOTAL 2809'!$H$34</f>
        <v>42868261.309523806</v>
      </c>
      <c r="L22" s="378"/>
      <c r="M22" s="378"/>
      <c r="N22" s="378"/>
      <c r="O22" s="378"/>
      <c r="P22" s="378"/>
      <c r="Q22" s="378">
        <f t="shared" si="3"/>
        <v>42868261.309523806</v>
      </c>
      <c r="R22" s="378">
        <f>Q22*16%</f>
        <v>6858921.8095238088</v>
      </c>
      <c r="S22" s="1017"/>
    </row>
    <row r="23" spans="1:19" ht="57.6" customHeight="1" x14ac:dyDescent="0.2">
      <c r="A23" s="981"/>
      <c r="B23" s="1002"/>
      <c r="C23" s="1010"/>
      <c r="D23" s="1013"/>
      <c r="E23" s="994"/>
      <c r="F23" s="996"/>
      <c r="G23" s="996"/>
      <c r="H23" s="996"/>
      <c r="I23" s="377" t="s">
        <v>205</v>
      </c>
      <c r="J23" s="996"/>
      <c r="K23" s="378">
        <f>'[2]VALOR TOTAL 2809'!$H$35</f>
        <v>58774677.976190627</v>
      </c>
      <c r="L23" s="378"/>
      <c r="M23" s="378"/>
      <c r="N23" s="378"/>
      <c r="O23" s="378">
        <f>'[2]VALOR TOTAL 2809'!$H$36</f>
        <v>58774677.976190627</v>
      </c>
      <c r="P23" s="378"/>
      <c r="Q23" s="378">
        <f t="shared" si="3"/>
        <v>117549355.95238125</v>
      </c>
      <c r="R23" s="378">
        <f t="shared" ref="R23:R34" si="4">Q23*16%</f>
        <v>18807896.952381</v>
      </c>
      <c r="S23" s="1017"/>
    </row>
    <row r="24" spans="1:19" ht="14.45" customHeight="1" x14ac:dyDescent="0.2">
      <c r="A24" s="981"/>
      <c r="B24" s="1002"/>
      <c r="C24" s="1010"/>
      <c r="D24" s="1013"/>
      <c r="E24" s="994"/>
      <c r="F24" s="996"/>
      <c r="G24" s="996"/>
      <c r="H24" s="996"/>
      <c r="I24" s="377" t="s">
        <v>198</v>
      </c>
      <c r="J24" s="996"/>
      <c r="K24" s="378"/>
      <c r="L24" s="378"/>
      <c r="M24" s="378"/>
      <c r="N24" s="378"/>
      <c r="O24" s="378">
        <f>'[2]VALOR TOTAL 2809'!$H$37</f>
        <v>27197320.689999998</v>
      </c>
      <c r="P24" s="378"/>
      <c r="Q24" s="378">
        <f t="shared" si="3"/>
        <v>27197320.689999998</v>
      </c>
      <c r="R24" s="378">
        <f t="shared" si="4"/>
        <v>4351571.3103999998</v>
      </c>
      <c r="S24" s="1017"/>
    </row>
    <row r="25" spans="1:19" ht="14.45" customHeight="1" x14ac:dyDescent="0.2">
      <c r="A25" s="981"/>
      <c r="B25" s="1002"/>
      <c r="C25" s="1010"/>
      <c r="D25" s="1013"/>
      <c r="E25" s="994"/>
      <c r="F25" s="996"/>
      <c r="G25" s="996"/>
      <c r="H25" s="996"/>
      <c r="I25" s="377" t="s">
        <v>199</v>
      </c>
      <c r="J25" s="996"/>
      <c r="K25" s="378">
        <f>'[2]VALOR TOTAL 2809'!$H$38</f>
        <v>34770823.809523799</v>
      </c>
      <c r="L25" s="378"/>
      <c r="M25" s="378"/>
      <c r="N25" s="378"/>
      <c r="O25" s="378">
        <f>'[2]VALOR TOTAL 2809'!$H$39</f>
        <v>27353323.809523813</v>
      </c>
      <c r="P25" s="378"/>
      <c r="Q25" s="378">
        <f t="shared" si="3"/>
        <v>62124147.619047612</v>
      </c>
      <c r="R25" s="378">
        <f t="shared" si="4"/>
        <v>9939863.6190476175</v>
      </c>
      <c r="S25" s="1017"/>
    </row>
    <row r="26" spans="1:19" ht="18" customHeight="1" x14ac:dyDescent="0.2">
      <c r="A26" s="981"/>
      <c r="B26" s="1002"/>
      <c r="C26" s="1010"/>
      <c r="D26" s="1013"/>
      <c r="E26" s="994"/>
      <c r="F26" s="996"/>
      <c r="G26" s="996"/>
      <c r="H26" s="996"/>
      <c r="I26" s="377" t="s">
        <v>200</v>
      </c>
      <c r="J26" s="996"/>
      <c r="K26" s="378">
        <f>'[2]VALOR TOTAL 2809'!$H$40</f>
        <v>35857546.428571418</v>
      </c>
      <c r="L26" s="378"/>
      <c r="M26" s="378"/>
      <c r="N26" s="378"/>
      <c r="O26" s="378">
        <f>'[2]VALOR TOTAL 2809'!$H$41</f>
        <v>53945757.03463202</v>
      </c>
      <c r="P26" s="378"/>
      <c r="Q26" s="378">
        <f t="shared" si="3"/>
        <v>89803303.46320343</v>
      </c>
      <c r="R26" s="378">
        <f t="shared" si="4"/>
        <v>14368528.55411255</v>
      </c>
      <c r="S26" s="1017"/>
    </row>
    <row r="27" spans="1:19" ht="14.45" customHeight="1" x14ac:dyDescent="0.2">
      <c r="A27" s="981"/>
      <c r="B27" s="1002"/>
      <c r="C27" s="1010"/>
      <c r="D27" s="1013"/>
      <c r="E27" s="994"/>
      <c r="F27" s="996"/>
      <c r="G27" s="996"/>
      <c r="H27" s="996"/>
      <c r="I27" s="377" t="s">
        <v>206</v>
      </c>
      <c r="J27" s="996"/>
      <c r="K27" s="378">
        <f>'[2]VALOR TOTAL 2809'!$H$42+'[2]VALOR TOTAL 2809'!$H$45</f>
        <v>58227016.666666649</v>
      </c>
      <c r="L27" s="378"/>
      <c r="M27" s="378"/>
      <c r="N27" s="378"/>
      <c r="O27" s="378">
        <f>'[2]VALOR TOTAL 2809'!$H$43+'[2]VALOR TOTAL 2809'!$H$44</f>
        <v>60487588.095238075</v>
      </c>
      <c r="P27" s="378"/>
      <c r="Q27" s="378">
        <f t="shared" si="3"/>
        <v>118714604.76190472</v>
      </c>
      <c r="R27" s="378">
        <f t="shared" si="4"/>
        <v>18994336.761904754</v>
      </c>
      <c r="S27" s="1017"/>
    </row>
    <row r="28" spans="1:19" s="213" customFormat="1" ht="14.45" customHeight="1" x14ac:dyDescent="0.2">
      <c r="A28" s="981"/>
      <c r="B28" s="1002"/>
      <c r="C28" s="1010"/>
      <c r="D28" s="1013"/>
      <c r="E28" s="994"/>
      <c r="F28" s="996"/>
      <c r="G28" s="996"/>
      <c r="H28" s="996"/>
      <c r="I28" s="377" t="s">
        <v>201</v>
      </c>
      <c r="J28" s="996"/>
      <c r="K28" s="378">
        <f>'[2]VALOR TOTAL 2809'!$H$46</f>
        <v>68342236.147186175</v>
      </c>
      <c r="L28" s="378"/>
      <c r="M28" s="378"/>
      <c r="N28" s="378"/>
      <c r="O28" s="378">
        <f>'[2]VALOR TOTAL 2809'!$H$47</f>
        <v>37908008.874458857</v>
      </c>
      <c r="P28" s="378"/>
      <c r="Q28" s="378">
        <f t="shared" si="3"/>
        <v>106250245.02164504</v>
      </c>
      <c r="R28" s="378">
        <f t="shared" si="4"/>
        <v>17000039.203463208</v>
      </c>
      <c r="S28" s="1017"/>
    </row>
    <row r="29" spans="1:19" s="213" customFormat="1" ht="14.45" customHeight="1" x14ac:dyDescent="0.2">
      <c r="A29" s="981"/>
      <c r="B29" s="1002"/>
      <c r="C29" s="1010"/>
      <c r="D29" s="1013"/>
      <c r="E29" s="994"/>
      <c r="F29" s="996"/>
      <c r="G29" s="996"/>
      <c r="H29" s="996"/>
      <c r="I29" s="377" t="s">
        <v>202</v>
      </c>
      <c r="J29" s="996"/>
      <c r="K29" s="378">
        <f>'[2]VALOR TOTAL 2809'!$H$48</f>
        <v>73091630.357142985</v>
      </c>
      <c r="L29" s="378"/>
      <c r="M29" s="378"/>
      <c r="N29" s="378"/>
      <c r="O29" s="378">
        <f>'[2]VALOR TOTAL 2809'!$H$49</f>
        <v>39264405.248917729</v>
      </c>
      <c r="P29" s="378"/>
      <c r="Q29" s="378">
        <f t="shared" si="3"/>
        <v>112356035.60606071</v>
      </c>
      <c r="R29" s="378">
        <f t="shared" si="4"/>
        <v>17976965.696969714</v>
      </c>
      <c r="S29" s="1017"/>
    </row>
    <row r="30" spans="1:19" s="213" customFormat="1" ht="14.45" customHeight="1" x14ac:dyDescent="0.2">
      <c r="A30" s="981"/>
      <c r="B30" s="1002"/>
      <c r="C30" s="1010"/>
      <c r="D30" s="1013"/>
      <c r="E30" s="994"/>
      <c r="F30" s="996"/>
      <c r="G30" s="996"/>
      <c r="H30" s="996"/>
      <c r="I30" s="377" t="s">
        <v>203</v>
      </c>
      <c r="J30" s="996"/>
      <c r="K30" s="378">
        <f>'[2]VALOR TOTAL 2809'!$H$50</f>
        <v>34523573.809523806</v>
      </c>
      <c r="L30" s="378"/>
      <c r="M30" s="378"/>
      <c r="N30" s="378"/>
      <c r="O30" s="378">
        <f>'[2]VALOR TOTAL 2809'!$H$51</f>
        <v>59177930.952380933</v>
      </c>
      <c r="P30" s="378"/>
      <c r="Q30" s="378">
        <f t="shared" si="3"/>
        <v>93701504.761904746</v>
      </c>
      <c r="R30" s="378">
        <f t="shared" si="4"/>
        <v>14992240.761904759</v>
      </c>
      <c r="S30" s="1017"/>
    </row>
    <row r="31" spans="1:19" s="213" customFormat="1" ht="14.45" customHeight="1" x14ac:dyDescent="0.2">
      <c r="A31" s="981"/>
      <c r="B31" s="1002"/>
      <c r="C31" s="1010"/>
      <c r="D31" s="1013"/>
      <c r="E31" s="994"/>
      <c r="F31" s="996"/>
      <c r="G31" s="996"/>
      <c r="H31" s="996"/>
      <c r="I31" s="377" t="s">
        <v>204</v>
      </c>
      <c r="J31" s="996"/>
      <c r="K31" s="378">
        <f>'[2]VALOR TOTAL 2809'!$H$52</f>
        <v>25054487.499999996</v>
      </c>
      <c r="L31" s="378"/>
      <c r="M31" s="378"/>
      <c r="N31" s="378"/>
      <c r="O31" s="378"/>
      <c r="P31" s="378"/>
      <c r="Q31" s="378">
        <f t="shared" si="3"/>
        <v>25054487.499999996</v>
      </c>
      <c r="R31" s="378">
        <f t="shared" si="4"/>
        <v>4008717.9999999995</v>
      </c>
      <c r="S31" s="1017"/>
    </row>
    <row r="32" spans="1:19" s="213" customFormat="1" ht="14.45" customHeight="1" x14ac:dyDescent="0.2">
      <c r="A32" s="981"/>
      <c r="B32" s="1002"/>
      <c r="C32" s="1010"/>
      <c r="D32" s="1013"/>
      <c r="E32" s="994"/>
      <c r="F32" s="996"/>
      <c r="G32" s="996"/>
      <c r="H32" s="996"/>
      <c r="I32" s="377" t="s">
        <v>245</v>
      </c>
      <c r="J32" s="996"/>
      <c r="K32" s="378">
        <f>'[2]VALOR TOTAL 2809'!$H$53</f>
        <v>37316374.945887432</v>
      </c>
      <c r="L32" s="378"/>
      <c r="M32" s="378"/>
      <c r="N32" s="378"/>
      <c r="O32" s="378"/>
      <c r="P32" s="378"/>
      <c r="Q32" s="378">
        <f t="shared" si="3"/>
        <v>37316374.945887432</v>
      </c>
      <c r="R32" s="378">
        <f t="shared" si="4"/>
        <v>5970619.9913419895</v>
      </c>
      <c r="S32" s="1017"/>
    </row>
    <row r="33" spans="1:19" s="213" customFormat="1" ht="31.15" customHeight="1" x14ac:dyDescent="0.2">
      <c r="A33" s="981"/>
      <c r="B33" s="1002"/>
      <c r="C33" s="1010"/>
      <c r="D33" s="1013"/>
      <c r="E33" s="994" t="s">
        <v>207</v>
      </c>
      <c r="F33" s="996" t="s">
        <v>247</v>
      </c>
      <c r="G33" s="996" t="s">
        <v>248</v>
      </c>
      <c r="H33" s="996">
        <v>1</v>
      </c>
      <c r="I33" s="377" t="s">
        <v>210</v>
      </c>
      <c r="J33" s="376">
        <v>1.5</v>
      </c>
      <c r="K33" s="376"/>
      <c r="L33" s="376"/>
      <c r="M33" s="378">
        <f>'[2]VALOR TOTAL 2809'!$H$54</f>
        <v>28758400</v>
      </c>
      <c r="N33" s="376"/>
      <c r="O33" s="376"/>
      <c r="P33" s="376"/>
      <c r="Q33" s="378">
        <f>SUM(K33:P33)</f>
        <v>28758400</v>
      </c>
      <c r="R33" s="378">
        <f t="shared" si="4"/>
        <v>4601344</v>
      </c>
      <c r="S33" s="379">
        <f>Q33+R33</f>
        <v>33359744</v>
      </c>
    </row>
    <row r="34" spans="1:19" s="213" customFormat="1" ht="34.9" customHeight="1" thickBot="1" x14ac:dyDescent="0.25">
      <c r="A34" s="982"/>
      <c r="B34" s="1003"/>
      <c r="C34" s="1011"/>
      <c r="D34" s="1013"/>
      <c r="E34" s="994"/>
      <c r="F34" s="996"/>
      <c r="G34" s="996"/>
      <c r="H34" s="996"/>
      <c r="I34" s="377" t="s">
        <v>211</v>
      </c>
      <c r="J34" s="376">
        <v>0.5</v>
      </c>
      <c r="K34" s="376"/>
      <c r="L34" s="376"/>
      <c r="M34" s="376"/>
      <c r="N34" s="376"/>
      <c r="O34" s="376"/>
      <c r="P34" s="378">
        <f>'[2]VALOR TOTAL 2809'!$H$55</f>
        <v>16554999.999999996</v>
      </c>
      <c r="Q34" s="378">
        <f>SUM(K34:P34)</f>
        <v>16554999.999999996</v>
      </c>
      <c r="R34" s="378">
        <f t="shared" si="4"/>
        <v>2648799.9999999995</v>
      </c>
      <c r="S34" s="379">
        <f>Q34+R34</f>
        <v>19203799.999999996</v>
      </c>
    </row>
    <row r="35" spans="1:19" s="213" customFormat="1" ht="28.9" customHeight="1" thickBot="1" x14ac:dyDescent="0.3">
      <c r="D35" s="986" t="s">
        <v>214</v>
      </c>
      <c r="E35" s="987"/>
      <c r="F35" s="987"/>
      <c r="G35" s="987"/>
      <c r="H35" s="987"/>
      <c r="I35" s="987"/>
      <c r="J35" s="987"/>
      <c r="K35" s="987"/>
      <c r="L35" s="987"/>
      <c r="M35" s="987"/>
      <c r="N35" s="987"/>
      <c r="O35" s="987"/>
      <c r="P35" s="987"/>
      <c r="Q35" s="987"/>
      <c r="R35" s="987"/>
      <c r="S35" s="385">
        <f>SUM(S18:S34)</f>
        <v>3601914661.8164177</v>
      </c>
    </row>
    <row r="36" spans="1:19" s="213" customFormat="1" ht="25.5" customHeight="1" x14ac:dyDescent="0.2">
      <c r="D36" s="988" t="s">
        <v>220</v>
      </c>
      <c r="E36" s="989"/>
      <c r="F36" s="989"/>
      <c r="G36" s="989"/>
      <c r="H36" s="989"/>
      <c r="I36" s="989"/>
      <c r="J36" s="989"/>
      <c r="K36" s="989"/>
      <c r="L36" s="989"/>
      <c r="M36" s="989"/>
      <c r="N36" s="989"/>
      <c r="O36" s="989"/>
      <c r="P36" s="989"/>
      <c r="Q36" s="989"/>
      <c r="R36" s="990"/>
      <c r="S36" s="365" t="e">
        <f>S17+S35</f>
        <v>#REF!</v>
      </c>
    </row>
    <row r="37" spans="1:19" ht="26.25" customHeight="1" thickBot="1" x14ac:dyDescent="0.3">
      <c r="D37" s="991" t="s">
        <v>252</v>
      </c>
      <c r="E37" s="992"/>
      <c r="F37" s="992"/>
      <c r="G37" s="992"/>
      <c r="H37" s="992"/>
      <c r="I37" s="992"/>
      <c r="J37" s="992"/>
      <c r="K37" s="992"/>
      <c r="L37" s="992"/>
      <c r="M37" s="992"/>
      <c r="N37" s="992"/>
      <c r="O37" s="992"/>
      <c r="P37" s="992"/>
      <c r="Q37" s="992"/>
      <c r="R37" s="993"/>
      <c r="S37" s="325" t="e">
        <f>S36*7%</f>
        <v>#REF!</v>
      </c>
    </row>
    <row r="38" spans="1:19" ht="22.5" customHeight="1" thickBot="1" x14ac:dyDescent="0.25">
      <c r="D38" s="977" t="s">
        <v>311</v>
      </c>
      <c r="E38" s="978"/>
      <c r="F38" s="978"/>
      <c r="G38" s="978"/>
      <c r="H38" s="978"/>
      <c r="I38" s="978"/>
      <c r="J38" s="978"/>
      <c r="K38" s="978"/>
      <c r="L38" s="978"/>
      <c r="M38" s="978"/>
      <c r="N38" s="978"/>
      <c r="O38" s="978"/>
      <c r="P38" s="978"/>
      <c r="Q38" s="978"/>
      <c r="R38" s="979"/>
      <c r="S38" s="366" t="e">
        <f>S36+S37</f>
        <v>#REF!</v>
      </c>
    </row>
    <row r="45" spans="1:19" ht="14.25" x14ac:dyDescent="0.2">
      <c r="A45" s="326"/>
    </row>
    <row r="46" spans="1:19" ht="14.25" x14ac:dyDescent="0.2">
      <c r="A46" s="326"/>
    </row>
    <row r="47" spans="1:19" ht="14.25" x14ac:dyDescent="0.2">
      <c r="A47" s="326"/>
    </row>
  </sheetData>
  <mergeCells count="44">
    <mergeCell ref="S21:S32"/>
    <mergeCell ref="J21:J32"/>
    <mergeCell ref="E15:E16"/>
    <mergeCell ref="J15:J16"/>
    <mergeCell ref="S15:S16"/>
    <mergeCell ref="A1:S1"/>
    <mergeCell ref="B6:B34"/>
    <mergeCell ref="F15:F16"/>
    <mergeCell ref="E18:E19"/>
    <mergeCell ref="F33:F34"/>
    <mergeCell ref="G33:G34"/>
    <mergeCell ref="H33:H34"/>
    <mergeCell ref="G21:G32"/>
    <mergeCell ref="H21:H32"/>
    <mergeCell ref="S6:S8"/>
    <mergeCell ref="A3:S3"/>
    <mergeCell ref="A2:S2"/>
    <mergeCell ref="C6:C34"/>
    <mergeCell ref="D18:D34"/>
    <mergeCell ref="E6:E8"/>
    <mergeCell ref="J6:J8"/>
    <mergeCell ref="D38:R38"/>
    <mergeCell ref="A6:A34"/>
    <mergeCell ref="D17:R17"/>
    <mergeCell ref="D35:R35"/>
    <mergeCell ref="D36:R36"/>
    <mergeCell ref="D37:R37"/>
    <mergeCell ref="E21:E32"/>
    <mergeCell ref="F18:F19"/>
    <mergeCell ref="F21:F32"/>
    <mergeCell ref="F7:F8"/>
    <mergeCell ref="G7:G8"/>
    <mergeCell ref="H7:H8"/>
    <mergeCell ref="F11:F12"/>
    <mergeCell ref="E33:E34"/>
    <mergeCell ref="D6:D16"/>
    <mergeCell ref="J9:J14"/>
    <mergeCell ref="S9:S14"/>
    <mergeCell ref="G11:G12"/>
    <mergeCell ref="H11:H12"/>
    <mergeCell ref="E9:E14"/>
    <mergeCell ref="F13:F14"/>
    <mergeCell ref="G13:G14"/>
    <mergeCell ref="H13:H14"/>
  </mergeCells>
  <printOptions horizontalCentered="1" verticalCentered="1"/>
  <pageMargins left="0.19685039370078741" right="0.27559055118110237" top="0.55118110236220474" bottom="0.35433070866141736" header="0.31496062992125984" footer="0.31496062992125984"/>
  <pageSetup paperSize="5" scale="6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1:AF31"/>
  <sheetViews>
    <sheetView topLeftCell="S1" zoomScale="50" zoomScaleNormal="50" workbookViewId="0">
      <pane ySplit="4" topLeftCell="A5" activePane="bottomLeft" state="frozen"/>
      <selection pane="bottomLeft" activeCell="AG25" sqref="AG25"/>
    </sheetView>
  </sheetViews>
  <sheetFormatPr baseColWidth="10" defaultColWidth="91.28515625" defaultRowHeight="12.75" x14ac:dyDescent="0.2"/>
  <cols>
    <col min="1" max="1" width="24.140625" style="204" customWidth="1"/>
    <col min="2" max="2" width="27" style="204" customWidth="1"/>
    <col min="3" max="3" width="39.7109375" style="204" customWidth="1"/>
    <col min="4" max="4" width="18.85546875" style="204" customWidth="1"/>
    <col min="5" max="6" width="24.7109375" style="204" customWidth="1"/>
    <col min="7" max="7" width="28.7109375" style="204" customWidth="1"/>
    <col min="8" max="8" width="9.28515625" style="204" customWidth="1"/>
    <col min="9" max="9" width="73.28515625" style="204" customWidth="1"/>
    <col min="10" max="10" width="15.7109375" style="204" customWidth="1"/>
    <col min="11" max="12" width="7.7109375" style="204" customWidth="1"/>
    <col min="13" max="18" width="15.7109375" style="204" customWidth="1"/>
    <col min="19" max="19" width="7.28515625" style="204" customWidth="1"/>
    <col min="20" max="20" width="6.85546875" style="204" customWidth="1"/>
    <col min="21" max="32" width="15.7109375" style="204" customWidth="1"/>
    <col min="33" max="16384" width="91.28515625" style="204"/>
  </cols>
  <sheetData>
    <row r="1" spans="1:32" ht="31.15" customHeight="1" thickBot="1" x14ac:dyDescent="0.25">
      <c r="D1" s="299"/>
      <c r="E1" s="299"/>
      <c r="F1" s="299"/>
      <c r="G1" s="299"/>
      <c r="H1" s="299"/>
      <c r="I1" s="299"/>
      <c r="J1" s="299"/>
      <c r="K1" s="299"/>
      <c r="L1" s="299"/>
      <c r="M1" s="299"/>
      <c r="N1" s="299"/>
      <c r="O1" s="299"/>
      <c r="P1" s="299"/>
      <c r="Q1" s="299"/>
      <c r="R1" s="299"/>
      <c r="S1" s="299"/>
      <c r="T1" s="299"/>
      <c r="U1" s="299"/>
    </row>
    <row r="2" spans="1:32" ht="25.5" customHeight="1" x14ac:dyDescent="0.2">
      <c r="D2" s="299"/>
      <c r="E2" s="299"/>
      <c r="F2" s="299"/>
      <c r="G2" s="299"/>
      <c r="H2" s="299"/>
      <c r="I2" s="299"/>
      <c r="J2" s="1042" t="s">
        <v>250</v>
      </c>
      <c r="K2" s="1043"/>
      <c r="L2" s="1043"/>
      <c r="M2" s="1043"/>
      <c r="N2" s="1043"/>
      <c r="O2" s="1043"/>
      <c r="P2" s="1043"/>
      <c r="Q2" s="1043"/>
      <c r="R2" s="1043"/>
      <c r="S2" s="1043"/>
      <c r="T2" s="1043"/>
      <c r="U2" s="1043"/>
      <c r="V2" s="1043"/>
      <c r="W2" s="1043"/>
      <c r="X2" s="1043"/>
      <c r="Y2" s="1043"/>
      <c r="Z2" s="1043"/>
    </row>
    <row r="3" spans="1:32" ht="14.45" customHeight="1" thickBot="1" x14ac:dyDescent="0.25">
      <c r="D3" s="209"/>
      <c r="E3" s="273"/>
      <c r="F3" s="273"/>
      <c r="G3" s="273"/>
      <c r="H3" s="273"/>
      <c r="I3" s="209"/>
      <c r="J3" s="1044"/>
      <c r="K3" s="1045"/>
      <c r="L3" s="1045"/>
      <c r="M3" s="1045"/>
      <c r="N3" s="1045"/>
      <c r="O3" s="1045"/>
      <c r="P3" s="1045"/>
      <c r="Q3" s="1045"/>
      <c r="R3" s="1045"/>
      <c r="S3" s="1045"/>
      <c r="T3" s="1045"/>
      <c r="U3" s="1045"/>
      <c r="V3" s="1045"/>
      <c r="W3" s="1045"/>
      <c r="X3" s="1045"/>
      <c r="Y3" s="1045"/>
      <c r="Z3" s="1045"/>
    </row>
    <row r="4" spans="1:32" ht="48.6" customHeight="1" thickBot="1" x14ac:dyDescent="0.25">
      <c r="A4" s="206" t="s">
        <v>221</v>
      </c>
      <c r="B4" s="297" t="s">
        <v>223</v>
      </c>
      <c r="C4" s="298" t="s">
        <v>224</v>
      </c>
      <c r="D4" s="206" t="s">
        <v>5</v>
      </c>
      <c r="E4" s="207" t="s">
        <v>134</v>
      </c>
      <c r="F4" s="207" t="s">
        <v>226</v>
      </c>
      <c r="G4" s="207" t="s">
        <v>227</v>
      </c>
      <c r="H4" s="207" t="s">
        <v>228</v>
      </c>
      <c r="I4" s="218" t="s">
        <v>236</v>
      </c>
      <c r="J4" s="206" t="s">
        <v>183</v>
      </c>
      <c r="K4" s="1046">
        <v>1</v>
      </c>
      <c r="L4" s="1047"/>
      <c r="M4" s="207">
        <v>2</v>
      </c>
      <c r="N4" s="207">
        <v>3</v>
      </c>
      <c r="O4" s="207">
        <v>4</v>
      </c>
      <c r="P4" s="207">
        <v>5</v>
      </c>
      <c r="Q4" s="207">
        <v>6</v>
      </c>
      <c r="R4" s="207">
        <v>7</v>
      </c>
      <c r="S4" s="1046">
        <v>8</v>
      </c>
      <c r="T4" s="1047"/>
      <c r="U4" s="207">
        <v>9</v>
      </c>
      <c r="V4" s="207">
        <v>10</v>
      </c>
      <c r="W4" s="207">
        <v>11</v>
      </c>
      <c r="X4" s="207">
        <v>12</v>
      </c>
      <c r="Y4" s="207">
        <v>13</v>
      </c>
      <c r="Z4" s="207">
        <v>14</v>
      </c>
      <c r="AA4" s="271"/>
      <c r="AB4" s="271"/>
      <c r="AC4" s="271"/>
      <c r="AD4" s="271"/>
      <c r="AE4" s="271"/>
      <c r="AF4" s="271"/>
    </row>
    <row r="5" spans="1:32" ht="40.15" customHeight="1" x14ac:dyDescent="0.2">
      <c r="A5" s="1021" t="s">
        <v>222</v>
      </c>
      <c r="B5" s="1019" t="s">
        <v>225</v>
      </c>
      <c r="C5" s="864" t="s">
        <v>249</v>
      </c>
      <c r="D5" s="1023">
        <v>1</v>
      </c>
      <c r="E5" s="1025" t="s">
        <v>139</v>
      </c>
      <c r="F5" s="1019" t="s">
        <v>229</v>
      </c>
      <c r="G5" s="1019" t="s">
        <v>230</v>
      </c>
      <c r="H5" s="1019">
        <v>1</v>
      </c>
      <c r="I5" s="321" t="s">
        <v>251</v>
      </c>
      <c r="J5" s="1023">
        <v>4</v>
      </c>
      <c r="K5" s="1048"/>
      <c r="L5" s="1049"/>
      <c r="M5" s="322"/>
      <c r="N5" s="227"/>
      <c r="O5" s="227"/>
      <c r="P5" s="227"/>
      <c r="Q5" s="227"/>
      <c r="R5" s="227"/>
      <c r="S5" s="1050"/>
      <c r="T5" s="1051"/>
      <c r="U5" s="323"/>
      <c r="V5" s="324"/>
      <c r="W5" s="324"/>
      <c r="X5" s="324"/>
      <c r="Y5" s="324"/>
      <c r="Z5" s="324"/>
    </row>
    <row r="6" spans="1:32" ht="40.15" customHeight="1" x14ac:dyDescent="0.2">
      <c r="A6" s="981"/>
      <c r="B6" s="1020"/>
      <c r="C6" s="865"/>
      <c r="D6" s="1024"/>
      <c r="E6" s="1026"/>
      <c r="F6" s="1020"/>
      <c r="G6" s="1020"/>
      <c r="H6" s="1020"/>
      <c r="I6" s="302" t="s">
        <v>215</v>
      </c>
      <c r="J6" s="1024"/>
      <c r="K6" s="1040"/>
      <c r="L6" s="1041"/>
      <c r="M6" s="306"/>
      <c r="N6" s="306"/>
      <c r="O6" s="306"/>
      <c r="P6" s="229"/>
      <c r="Q6" s="229"/>
      <c r="R6" s="229"/>
      <c r="S6" s="1052"/>
      <c r="T6" s="1053"/>
      <c r="U6" s="301"/>
      <c r="V6" s="272"/>
      <c r="W6" s="272"/>
      <c r="X6" s="272"/>
      <c r="Y6" s="272"/>
      <c r="Z6" s="272"/>
    </row>
    <row r="7" spans="1:32" ht="40.15" customHeight="1" x14ac:dyDescent="0.2">
      <c r="A7" s="981"/>
      <c r="B7" s="1020"/>
      <c r="C7" s="865"/>
      <c r="D7" s="1024"/>
      <c r="E7" s="1026"/>
      <c r="F7" s="1020"/>
      <c r="G7" s="1020"/>
      <c r="H7" s="1020"/>
      <c r="I7" s="302" t="s">
        <v>320</v>
      </c>
      <c r="J7" s="1024"/>
      <c r="K7" s="1036"/>
      <c r="L7" s="1037"/>
      <c r="M7" s="306"/>
      <c r="N7" s="229"/>
      <c r="O7" s="229"/>
      <c r="P7" s="229"/>
      <c r="Q7" s="229"/>
      <c r="R7" s="229"/>
      <c r="S7" s="1052"/>
      <c r="T7" s="1053"/>
      <c r="U7" s="301"/>
      <c r="V7" s="272"/>
      <c r="W7" s="272"/>
      <c r="X7" s="272"/>
      <c r="Y7" s="272"/>
      <c r="Z7" s="272"/>
    </row>
    <row r="8" spans="1:32" ht="40.15" customHeight="1" x14ac:dyDescent="0.2">
      <c r="A8" s="981"/>
      <c r="B8" s="1020"/>
      <c r="C8" s="865"/>
      <c r="D8" s="1024"/>
      <c r="E8" s="1026" t="s">
        <v>212</v>
      </c>
      <c r="F8" s="1020" t="s">
        <v>239</v>
      </c>
      <c r="G8" s="1020" t="s">
        <v>230</v>
      </c>
      <c r="H8" s="1027">
        <v>1</v>
      </c>
      <c r="I8" s="302" t="s">
        <v>217</v>
      </c>
      <c r="J8" s="1024">
        <v>6</v>
      </c>
      <c r="K8" s="1040"/>
      <c r="L8" s="1041"/>
      <c r="M8" s="229"/>
      <c r="N8" s="229"/>
      <c r="O8" s="272"/>
      <c r="P8" s="272"/>
      <c r="Q8" s="272"/>
      <c r="R8" s="272"/>
      <c r="S8" s="1052"/>
      <c r="T8" s="1053"/>
      <c r="U8" s="306"/>
      <c r="V8" s="306"/>
      <c r="W8" s="229"/>
      <c r="X8" s="229"/>
      <c r="Y8" s="300"/>
      <c r="Z8" s="272"/>
    </row>
    <row r="9" spans="1:32" ht="40.15" customHeight="1" x14ac:dyDescent="0.2">
      <c r="A9" s="981"/>
      <c r="B9" s="1020"/>
      <c r="C9" s="865"/>
      <c r="D9" s="1024"/>
      <c r="E9" s="1026"/>
      <c r="F9" s="1020"/>
      <c r="G9" s="1020"/>
      <c r="H9" s="1027"/>
      <c r="I9" s="302" t="s">
        <v>218</v>
      </c>
      <c r="J9" s="1024"/>
      <c r="K9" s="1040"/>
      <c r="L9" s="1041"/>
      <c r="M9" s="229"/>
      <c r="N9" s="229"/>
      <c r="O9" s="272"/>
      <c r="P9" s="272"/>
      <c r="Q9" s="272"/>
      <c r="R9" s="272"/>
      <c r="S9" s="1052"/>
      <c r="T9" s="1053"/>
      <c r="U9" s="229"/>
      <c r="V9" s="306"/>
      <c r="W9" s="306"/>
      <c r="X9" s="229"/>
      <c r="Y9" s="300"/>
      <c r="Z9" s="272"/>
    </row>
    <row r="10" spans="1:32" ht="40.15" customHeight="1" x14ac:dyDescent="0.2">
      <c r="A10" s="981"/>
      <c r="B10" s="1020"/>
      <c r="C10" s="865"/>
      <c r="D10" s="1024"/>
      <c r="E10" s="1026"/>
      <c r="F10" s="1020"/>
      <c r="G10" s="1020"/>
      <c r="H10" s="1027"/>
      <c r="I10" s="302" t="s">
        <v>219</v>
      </c>
      <c r="J10" s="1024"/>
      <c r="K10" s="1040"/>
      <c r="L10" s="1041"/>
      <c r="M10" s="229"/>
      <c r="N10" s="229"/>
      <c r="O10" s="272"/>
      <c r="P10" s="272"/>
      <c r="Q10" s="272"/>
      <c r="R10" s="272"/>
      <c r="S10" s="1052"/>
      <c r="T10" s="1053"/>
      <c r="U10" s="229"/>
      <c r="V10" s="229"/>
      <c r="W10" s="306"/>
      <c r="X10" s="306"/>
      <c r="Y10" s="300"/>
      <c r="Z10" s="272"/>
    </row>
    <row r="11" spans="1:32" ht="40.15" customHeight="1" x14ac:dyDescent="0.2">
      <c r="A11" s="981"/>
      <c r="B11" s="1020"/>
      <c r="C11" s="865"/>
      <c r="D11" s="1024"/>
      <c r="E11" s="1026"/>
      <c r="F11" s="1020"/>
      <c r="G11" s="1020"/>
      <c r="H11" s="1027"/>
      <c r="I11" s="302" t="s">
        <v>169</v>
      </c>
      <c r="J11" s="1024"/>
      <c r="K11" s="1040"/>
      <c r="L11" s="1041"/>
      <c r="M11" s="229"/>
      <c r="N11" s="229"/>
      <c r="O11" s="272"/>
      <c r="P11" s="272"/>
      <c r="Q11" s="272"/>
      <c r="R11" s="272"/>
      <c r="S11" s="1052"/>
      <c r="T11" s="1053"/>
      <c r="U11" s="229"/>
      <c r="V11" s="229"/>
      <c r="W11" s="306"/>
      <c r="X11" s="306"/>
      <c r="Y11" s="308"/>
      <c r="Z11" s="272"/>
    </row>
    <row r="12" spans="1:32" ht="40.15" customHeight="1" x14ac:dyDescent="0.2">
      <c r="A12" s="981"/>
      <c r="B12" s="1020"/>
      <c r="C12" s="865"/>
      <c r="D12" s="1024"/>
      <c r="E12" s="1026"/>
      <c r="F12" s="1020"/>
      <c r="G12" s="1020"/>
      <c r="H12" s="1027"/>
      <c r="I12" s="302" t="s">
        <v>184</v>
      </c>
      <c r="J12" s="1024"/>
      <c r="K12" s="1040"/>
      <c r="L12" s="1041"/>
      <c r="M12" s="229"/>
      <c r="N12" s="229"/>
      <c r="O12" s="272"/>
      <c r="P12" s="272"/>
      <c r="Q12" s="272"/>
      <c r="R12" s="272"/>
      <c r="S12" s="1052"/>
      <c r="T12" s="1053"/>
      <c r="U12" s="229"/>
      <c r="V12" s="229"/>
      <c r="W12" s="229"/>
      <c r="X12" s="229"/>
      <c r="Y12" s="300"/>
      <c r="Z12" s="307"/>
    </row>
    <row r="13" spans="1:32" ht="40.15" customHeight="1" x14ac:dyDescent="0.2">
      <c r="A13" s="981"/>
      <c r="B13" s="1020"/>
      <c r="C13" s="865"/>
      <c r="D13" s="1024"/>
      <c r="E13" s="1026" t="s">
        <v>208</v>
      </c>
      <c r="F13" s="1020" t="s">
        <v>231</v>
      </c>
      <c r="G13" s="210" t="s">
        <v>232</v>
      </c>
      <c r="H13" s="210">
        <v>1</v>
      </c>
      <c r="I13" s="302" t="s">
        <v>234</v>
      </c>
      <c r="J13" s="1024">
        <v>3</v>
      </c>
      <c r="K13" s="1040"/>
      <c r="L13" s="1041"/>
      <c r="M13" s="229"/>
      <c r="N13" s="229"/>
      <c r="O13" s="272"/>
      <c r="P13" s="272"/>
      <c r="Q13" s="272"/>
      <c r="R13" s="272"/>
      <c r="S13" s="1052"/>
      <c r="T13" s="1053"/>
      <c r="U13" s="272"/>
      <c r="V13" s="272"/>
      <c r="W13" s="272"/>
      <c r="X13" s="229"/>
      <c r="Y13" s="306"/>
      <c r="Z13" s="306"/>
    </row>
    <row r="14" spans="1:32" ht="40.15" customHeight="1" x14ac:dyDescent="0.2">
      <c r="A14" s="981"/>
      <c r="B14" s="1020"/>
      <c r="C14" s="865"/>
      <c r="D14" s="1024"/>
      <c r="E14" s="1026"/>
      <c r="F14" s="1020"/>
      <c r="G14" s="210" t="s">
        <v>233</v>
      </c>
      <c r="H14" s="210">
        <v>1</v>
      </c>
      <c r="I14" s="302" t="s">
        <v>235</v>
      </c>
      <c r="J14" s="1024"/>
      <c r="K14" s="1040"/>
      <c r="L14" s="1041"/>
      <c r="M14" s="229"/>
      <c r="N14" s="229"/>
      <c r="O14" s="272"/>
      <c r="P14" s="307"/>
      <c r="Q14" s="272"/>
      <c r="R14" s="272"/>
      <c r="S14" s="1052"/>
      <c r="T14" s="1053"/>
      <c r="U14" s="272"/>
      <c r="V14" s="272"/>
      <c r="W14" s="272"/>
      <c r="X14" s="229"/>
      <c r="Y14" s="229"/>
      <c r="Z14" s="229"/>
    </row>
    <row r="15" spans="1:32" ht="40.15" customHeight="1" x14ac:dyDescent="0.2">
      <c r="A15" s="981"/>
      <c r="B15" s="1020"/>
      <c r="C15" s="865"/>
      <c r="D15" s="1024">
        <v>2</v>
      </c>
      <c r="E15" s="1031" t="s">
        <v>238</v>
      </c>
      <c r="F15" s="1028" t="s">
        <v>241</v>
      </c>
      <c r="G15" s="210" t="s">
        <v>242</v>
      </c>
      <c r="H15" s="210">
        <v>1</v>
      </c>
      <c r="I15" s="302" t="s">
        <v>194</v>
      </c>
      <c r="J15" s="296">
        <v>2</v>
      </c>
      <c r="K15" s="1036"/>
      <c r="L15" s="1037"/>
      <c r="M15" s="306"/>
      <c r="N15" s="229"/>
      <c r="O15" s="210"/>
      <c r="P15" s="210"/>
      <c r="Q15" s="229"/>
      <c r="R15" s="210"/>
      <c r="S15" s="1052"/>
      <c r="T15" s="1053"/>
      <c r="U15" s="274"/>
      <c r="V15" s="272"/>
      <c r="W15" s="272"/>
      <c r="X15" s="272"/>
      <c r="Y15" s="272"/>
      <c r="Z15" s="272"/>
    </row>
    <row r="16" spans="1:32" ht="40.15" customHeight="1" x14ac:dyDescent="0.2">
      <c r="A16" s="981"/>
      <c r="B16" s="1020"/>
      <c r="C16" s="865"/>
      <c r="D16" s="1024"/>
      <c r="E16" s="1032"/>
      <c r="F16" s="1033"/>
      <c r="G16" s="210" t="s">
        <v>243</v>
      </c>
      <c r="H16" s="210">
        <v>1</v>
      </c>
      <c r="I16" s="302" t="s">
        <v>195</v>
      </c>
      <c r="J16" s="296">
        <v>2</v>
      </c>
      <c r="K16" s="1036"/>
      <c r="L16" s="1037"/>
      <c r="M16" s="306"/>
      <c r="N16" s="229"/>
      <c r="O16" s="229"/>
      <c r="P16" s="229"/>
      <c r="Q16" s="229"/>
      <c r="R16" s="229"/>
      <c r="S16" s="1052"/>
      <c r="T16" s="1053"/>
      <c r="U16" s="274"/>
      <c r="V16" s="272"/>
      <c r="W16" s="272"/>
      <c r="X16" s="272"/>
      <c r="Y16" s="272"/>
      <c r="Z16" s="272"/>
    </row>
    <row r="17" spans="1:26" ht="40.15" customHeight="1" x14ac:dyDescent="0.2">
      <c r="A17" s="981"/>
      <c r="B17" s="1020"/>
      <c r="C17" s="865"/>
      <c r="D17" s="1024"/>
      <c r="E17" s="42" t="s">
        <v>209</v>
      </c>
      <c r="F17" s="210" t="s">
        <v>231</v>
      </c>
      <c r="G17" s="210" t="s">
        <v>244</v>
      </c>
      <c r="H17" s="210">
        <v>1</v>
      </c>
      <c r="I17" s="302" t="s">
        <v>193</v>
      </c>
      <c r="J17" s="296">
        <v>3</v>
      </c>
      <c r="K17" s="1038"/>
      <c r="L17" s="1039"/>
      <c r="M17" s="229"/>
      <c r="N17" s="306"/>
      <c r="O17" s="210"/>
      <c r="P17" s="210"/>
      <c r="Q17" s="306"/>
      <c r="R17" s="306"/>
      <c r="S17" s="1052"/>
      <c r="T17" s="1053"/>
      <c r="U17" s="274"/>
      <c r="V17" s="272"/>
      <c r="W17" s="272"/>
      <c r="X17" s="272"/>
      <c r="Y17" s="272"/>
      <c r="Z17" s="272"/>
    </row>
    <row r="18" spans="1:26" ht="40.15" customHeight="1" x14ac:dyDescent="0.2">
      <c r="A18" s="981"/>
      <c r="B18" s="1020"/>
      <c r="C18" s="865"/>
      <c r="D18" s="1024"/>
      <c r="E18" s="1026" t="s">
        <v>237</v>
      </c>
      <c r="F18" s="1028" t="s">
        <v>246</v>
      </c>
      <c r="G18" s="1028" t="s">
        <v>230</v>
      </c>
      <c r="H18" s="1028">
        <v>1</v>
      </c>
      <c r="I18" s="302" t="s">
        <v>197</v>
      </c>
      <c r="J18" s="1024">
        <v>4</v>
      </c>
      <c r="K18" s="311"/>
      <c r="L18" s="313"/>
      <c r="M18" s="229"/>
      <c r="N18" s="229"/>
      <c r="O18" s="229"/>
      <c r="P18" s="229"/>
      <c r="Q18" s="229"/>
      <c r="R18" s="229"/>
      <c r="S18" s="1052"/>
      <c r="T18" s="1053"/>
      <c r="U18" s="300"/>
      <c r="V18" s="272"/>
      <c r="W18" s="272"/>
      <c r="X18" s="272"/>
      <c r="Y18" s="272"/>
      <c r="Z18" s="272"/>
    </row>
    <row r="19" spans="1:26" ht="40.15" customHeight="1" x14ac:dyDescent="0.2">
      <c r="A19" s="981"/>
      <c r="B19" s="1020"/>
      <c r="C19" s="865"/>
      <c r="D19" s="1024"/>
      <c r="E19" s="1026"/>
      <c r="F19" s="1034"/>
      <c r="G19" s="1034"/>
      <c r="H19" s="1034"/>
      <c r="I19" s="302" t="s">
        <v>196</v>
      </c>
      <c r="J19" s="1024"/>
      <c r="K19" s="312"/>
      <c r="L19" s="315"/>
      <c r="M19" s="229"/>
      <c r="N19" s="229"/>
      <c r="O19" s="229"/>
      <c r="P19" s="229"/>
      <c r="Q19" s="229"/>
      <c r="R19" s="229"/>
      <c r="S19" s="1052"/>
      <c r="T19" s="1053"/>
      <c r="U19" s="300"/>
      <c r="V19" s="272"/>
      <c r="W19" s="272"/>
      <c r="X19" s="272"/>
      <c r="Y19" s="272"/>
      <c r="Z19" s="272"/>
    </row>
    <row r="20" spans="1:26" ht="40.15" customHeight="1" x14ac:dyDescent="0.2">
      <c r="A20" s="981"/>
      <c r="B20" s="1020"/>
      <c r="C20" s="865"/>
      <c r="D20" s="1024"/>
      <c r="E20" s="1026"/>
      <c r="F20" s="1034"/>
      <c r="G20" s="1034"/>
      <c r="H20" s="1034"/>
      <c r="I20" s="302" t="s">
        <v>205</v>
      </c>
      <c r="J20" s="1024"/>
      <c r="K20" s="212"/>
      <c r="L20" s="316"/>
      <c r="M20" s="306"/>
      <c r="N20" s="229"/>
      <c r="O20" s="229"/>
      <c r="P20" s="229"/>
      <c r="Q20" s="229"/>
      <c r="R20" s="229"/>
      <c r="S20" s="1052"/>
      <c r="T20" s="1053"/>
      <c r="U20" s="300"/>
      <c r="V20" s="272"/>
      <c r="W20" s="272"/>
      <c r="X20" s="272"/>
      <c r="Y20" s="272"/>
      <c r="Z20" s="272"/>
    </row>
    <row r="21" spans="1:26" ht="40.15" customHeight="1" x14ac:dyDescent="0.2">
      <c r="A21" s="981"/>
      <c r="B21" s="1020"/>
      <c r="C21" s="865"/>
      <c r="D21" s="1024"/>
      <c r="E21" s="1026"/>
      <c r="F21" s="1034"/>
      <c r="G21" s="1034"/>
      <c r="H21" s="1034"/>
      <c r="I21" s="302" t="s">
        <v>198</v>
      </c>
      <c r="J21" s="1024"/>
      <c r="K21" s="312"/>
      <c r="L21" s="314"/>
      <c r="M21" s="306"/>
      <c r="N21" s="306"/>
      <c r="O21" s="229"/>
      <c r="P21" s="229"/>
      <c r="Q21" s="229"/>
      <c r="R21" s="229"/>
      <c r="S21" s="1052"/>
      <c r="T21" s="1053"/>
      <c r="U21" s="300"/>
      <c r="V21" s="272"/>
      <c r="W21" s="272"/>
      <c r="X21" s="272"/>
      <c r="Y21" s="272"/>
      <c r="Z21" s="272"/>
    </row>
    <row r="22" spans="1:26" ht="40.15" customHeight="1" x14ac:dyDescent="0.2">
      <c r="A22" s="981"/>
      <c r="B22" s="1020"/>
      <c r="C22" s="865"/>
      <c r="D22" s="1024"/>
      <c r="E22" s="1026"/>
      <c r="F22" s="1034"/>
      <c r="G22" s="1034"/>
      <c r="H22" s="1034"/>
      <c r="I22" s="302" t="s">
        <v>199</v>
      </c>
      <c r="J22" s="1024"/>
      <c r="K22" s="212"/>
      <c r="L22" s="209"/>
      <c r="M22" s="306"/>
      <c r="N22" s="306"/>
      <c r="O22" s="229"/>
      <c r="P22" s="229"/>
      <c r="Q22" s="229"/>
      <c r="R22" s="229"/>
      <c r="S22" s="1052"/>
      <c r="T22" s="1053"/>
      <c r="U22" s="300"/>
      <c r="V22" s="272"/>
      <c r="W22" s="272"/>
      <c r="X22" s="272"/>
      <c r="Y22" s="272"/>
      <c r="Z22" s="272"/>
    </row>
    <row r="23" spans="1:26" ht="40.15" customHeight="1" x14ac:dyDescent="0.2">
      <c r="A23" s="981"/>
      <c r="B23" s="1020"/>
      <c r="C23" s="865"/>
      <c r="D23" s="1024"/>
      <c r="E23" s="1026"/>
      <c r="F23" s="1034"/>
      <c r="G23" s="1034"/>
      <c r="H23" s="1034"/>
      <c r="I23" s="302" t="s">
        <v>200</v>
      </c>
      <c r="J23" s="1024"/>
      <c r="K23" s="312"/>
      <c r="L23" s="314"/>
      <c r="M23" s="229"/>
      <c r="N23" s="306"/>
      <c r="O23" s="306"/>
      <c r="P23" s="229"/>
      <c r="Q23" s="229"/>
      <c r="R23" s="229"/>
      <c r="S23" s="1052"/>
      <c r="T23" s="1053"/>
      <c r="U23" s="300"/>
      <c r="V23" s="272"/>
      <c r="W23" s="272"/>
      <c r="X23" s="272"/>
      <c r="Y23" s="272"/>
      <c r="Z23" s="272"/>
    </row>
    <row r="24" spans="1:26" ht="40.15" customHeight="1" x14ac:dyDescent="0.2">
      <c r="A24" s="981"/>
      <c r="B24" s="1020"/>
      <c r="C24" s="865"/>
      <c r="D24" s="1024"/>
      <c r="E24" s="1026"/>
      <c r="F24" s="1034"/>
      <c r="G24" s="1034"/>
      <c r="H24" s="1034"/>
      <c r="I24" s="302" t="s">
        <v>206</v>
      </c>
      <c r="J24" s="1024"/>
      <c r="K24" s="212"/>
      <c r="L24" s="209"/>
      <c r="M24" s="229"/>
      <c r="N24" s="229"/>
      <c r="O24" s="306"/>
      <c r="P24" s="306"/>
      <c r="Q24" s="229"/>
      <c r="R24" s="229"/>
      <c r="S24" s="1052"/>
      <c r="T24" s="1053"/>
      <c r="U24" s="300"/>
      <c r="V24" s="272"/>
      <c r="W24" s="272"/>
      <c r="X24" s="272"/>
      <c r="Y24" s="272"/>
      <c r="Z24" s="272"/>
    </row>
    <row r="25" spans="1:26" s="213" customFormat="1" ht="40.15" customHeight="1" x14ac:dyDescent="0.2">
      <c r="A25" s="981"/>
      <c r="B25" s="1020"/>
      <c r="C25" s="865"/>
      <c r="D25" s="1024"/>
      <c r="E25" s="1026"/>
      <c r="F25" s="1034"/>
      <c r="G25" s="1034"/>
      <c r="H25" s="1034"/>
      <c r="I25" s="302" t="s">
        <v>201</v>
      </c>
      <c r="J25" s="1024"/>
      <c r="K25" s="312"/>
      <c r="L25" s="314"/>
      <c r="M25" s="229"/>
      <c r="N25" s="306"/>
      <c r="O25" s="306"/>
      <c r="P25" s="229"/>
      <c r="Q25" s="229"/>
      <c r="R25" s="229"/>
      <c r="S25" s="1052"/>
      <c r="T25" s="1053"/>
      <c r="U25" s="300"/>
      <c r="V25" s="295"/>
      <c r="W25" s="295"/>
      <c r="X25" s="295"/>
      <c r="Y25" s="295"/>
      <c r="Z25" s="295"/>
    </row>
    <row r="26" spans="1:26" s="213" customFormat="1" ht="40.15" customHeight="1" x14ac:dyDescent="0.2">
      <c r="A26" s="981"/>
      <c r="B26" s="1020"/>
      <c r="C26" s="865"/>
      <c r="D26" s="1024"/>
      <c r="E26" s="1026"/>
      <c r="F26" s="1034"/>
      <c r="G26" s="1034"/>
      <c r="H26" s="1034"/>
      <c r="I26" s="302" t="s">
        <v>202</v>
      </c>
      <c r="J26" s="1024"/>
      <c r="K26" s="212"/>
      <c r="L26" s="209"/>
      <c r="M26" s="229"/>
      <c r="N26" s="229"/>
      <c r="O26" s="306"/>
      <c r="P26" s="229"/>
      <c r="Q26" s="229"/>
      <c r="R26" s="229"/>
      <c r="S26" s="1052"/>
      <c r="T26" s="1053"/>
      <c r="U26" s="300"/>
      <c r="V26" s="295"/>
      <c r="W26" s="295"/>
      <c r="X26" s="295"/>
      <c r="Y26" s="295"/>
      <c r="Z26" s="295"/>
    </row>
    <row r="27" spans="1:26" s="213" customFormat="1" ht="40.15" customHeight="1" x14ac:dyDescent="0.2">
      <c r="A27" s="981"/>
      <c r="B27" s="1020"/>
      <c r="C27" s="865"/>
      <c r="D27" s="1024"/>
      <c r="E27" s="1026"/>
      <c r="F27" s="1034"/>
      <c r="G27" s="1034"/>
      <c r="H27" s="1034"/>
      <c r="I27" s="302" t="s">
        <v>203</v>
      </c>
      <c r="J27" s="1024"/>
      <c r="K27" s="312"/>
      <c r="L27" s="314"/>
      <c r="M27" s="229"/>
      <c r="N27" s="229"/>
      <c r="O27" s="306"/>
      <c r="P27" s="306"/>
      <c r="Q27" s="229"/>
      <c r="R27" s="229"/>
      <c r="S27" s="1052"/>
      <c r="T27" s="1053"/>
      <c r="U27" s="300"/>
      <c r="V27" s="295"/>
      <c r="W27" s="295"/>
      <c r="X27" s="295"/>
      <c r="Y27" s="295"/>
      <c r="Z27" s="295"/>
    </row>
    <row r="28" spans="1:26" s="213" customFormat="1" ht="40.15" customHeight="1" x14ac:dyDescent="0.2">
      <c r="A28" s="981"/>
      <c r="B28" s="1020"/>
      <c r="C28" s="865"/>
      <c r="D28" s="1024"/>
      <c r="E28" s="1026"/>
      <c r="F28" s="1034"/>
      <c r="G28" s="1034"/>
      <c r="H28" s="1034"/>
      <c r="I28" s="302" t="s">
        <v>204</v>
      </c>
      <c r="J28" s="1024"/>
      <c r="K28" s="212"/>
      <c r="L28" s="209"/>
      <c r="M28" s="229"/>
      <c r="N28" s="229"/>
      <c r="O28" s="229"/>
      <c r="P28" s="229"/>
      <c r="Q28" s="229"/>
      <c r="R28" s="306"/>
      <c r="S28" s="319"/>
      <c r="T28" s="318"/>
      <c r="U28" s="300"/>
      <c r="V28" s="295"/>
      <c r="W28" s="295"/>
      <c r="X28" s="295"/>
      <c r="Y28" s="295"/>
      <c r="Z28" s="295"/>
    </row>
    <row r="29" spans="1:26" s="213" customFormat="1" ht="40.15" customHeight="1" x14ac:dyDescent="0.2">
      <c r="A29" s="981"/>
      <c r="B29" s="1020"/>
      <c r="C29" s="865"/>
      <c r="D29" s="1024"/>
      <c r="E29" s="1026"/>
      <c r="F29" s="1033"/>
      <c r="G29" s="1033"/>
      <c r="H29" s="1033"/>
      <c r="I29" s="302" t="s">
        <v>245</v>
      </c>
      <c r="J29" s="1024"/>
      <c r="K29" s="312"/>
      <c r="L29" s="314"/>
      <c r="M29" s="229"/>
      <c r="N29" s="229"/>
      <c r="O29" s="229"/>
      <c r="P29" s="229"/>
      <c r="Q29" s="306"/>
      <c r="R29" s="306"/>
      <c r="S29" s="317"/>
      <c r="T29" s="318"/>
      <c r="U29" s="300"/>
      <c r="V29" s="295"/>
      <c r="W29" s="295"/>
      <c r="X29" s="295"/>
      <c r="Y29" s="295"/>
      <c r="Z29" s="295"/>
    </row>
    <row r="30" spans="1:26" s="213" customFormat="1" ht="40.15" customHeight="1" x14ac:dyDescent="0.2">
      <c r="A30" s="981"/>
      <c r="B30" s="1020"/>
      <c r="C30" s="865"/>
      <c r="D30" s="1024"/>
      <c r="E30" s="1026" t="s">
        <v>207</v>
      </c>
      <c r="F30" s="1028" t="s">
        <v>247</v>
      </c>
      <c r="G30" s="1028" t="s">
        <v>248</v>
      </c>
      <c r="H30" s="1028">
        <v>1</v>
      </c>
      <c r="I30" s="302" t="s">
        <v>210</v>
      </c>
      <c r="J30" s="327">
        <v>1.5</v>
      </c>
      <c r="K30" s="309"/>
      <c r="L30" s="312"/>
      <c r="M30" s="210"/>
      <c r="N30" s="210"/>
      <c r="O30" s="229"/>
      <c r="P30" s="210"/>
      <c r="Q30" s="210"/>
      <c r="R30" s="210"/>
      <c r="S30" s="1052"/>
      <c r="T30" s="1053"/>
      <c r="U30" s="274"/>
      <c r="V30" s="295"/>
      <c r="W30" s="295"/>
      <c r="X30" s="295"/>
      <c r="Y30" s="295"/>
      <c r="Z30" s="295"/>
    </row>
    <row r="31" spans="1:26" s="213" customFormat="1" ht="40.15" customHeight="1" thickBot="1" x14ac:dyDescent="0.25">
      <c r="A31" s="982"/>
      <c r="B31" s="1022"/>
      <c r="C31" s="866"/>
      <c r="D31" s="1030"/>
      <c r="E31" s="1035"/>
      <c r="F31" s="1029"/>
      <c r="G31" s="1029"/>
      <c r="H31" s="1029"/>
      <c r="I31" s="303" t="s">
        <v>211</v>
      </c>
      <c r="J31" s="328">
        <v>0.5</v>
      </c>
      <c r="K31" s="310"/>
      <c r="L31" s="320"/>
      <c r="M31" s="215"/>
      <c r="N31" s="215"/>
      <c r="O31" s="215"/>
      <c r="P31" s="215"/>
      <c r="Q31" s="215"/>
      <c r="R31" s="231"/>
      <c r="S31" s="1054"/>
      <c r="T31" s="1055"/>
      <c r="U31" s="304"/>
      <c r="V31" s="305"/>
      <c r="W31" s="305"/>
      <c r="X31" s="305"/>
      <c r="Y31" s="305"/>
      <c r="Z31" s="305"/>
    </row>
  </sheetData>
  <mergeCells count="70">
    <mergeCell ref="S26:T26"/>
    <mergeCell ref="S27:T27"/>
    <mergeCell ref="S30:T30"/>
    <mergeCell ref="S31:T31"/>
    <mergeCell ref="S20:T20"/>
    <mergeCell ref="S21:T21"/>
    <mergeCell ref="S22:T22"/>
    <mergeCell ref="S23:T23"/>
    <mergeCell ref="S24:T24"/>
    <mergeCell ref="S25:T25"/>
    <mergeCell ref="S19:T19"/>
    <mergeCell ref="S8:T8"/>
    <mergeCell ref="S9:T9"/>
    <mergeCell ref="S10:T10"/>
    <mergeCell ref="S11:T11"/>
    <mergeCell ref="S12:T12"/>
    <mergeCell ref="S13:T13"/>
    <mergeCell ref="S14:T14"/>
    <mergeCell ref="S15:T15"/>
    <mergeCell ref="S16:T16"/>
    <mergeCell ref="S17:T17"/>
    <mergeCell ref="S18:T18"/>
    <mergeCell ref="J2:Z3"/>
    <mergeCell ref="K4:L4"/>
    <mergeCell ref="K5:L5"/>
    <mergeCell ref="K6:L6"/>
    <mergeCell ref="K7:L7"/>
    <mergeCell ref="S4:T4"/>
    <mergeCell ref="S5:T5"/>
    <mergeCell ref="S6:T6"/>
    <mergeCell ref="S7:T7"/>
    <mergeCell ref="J13:J14"/>
    <mergeCell ref="J5:J7"/>
    <mergeCell ref="K9:L9"/>
    <mergeCell ref="K10:L10"/>
    <mergeCell ref="K11:L11"/>
    <mergeCell ref="J8:J12"/>
    <mergeCell ref="K12:L12"/>
    <mergeCell ref="K13:L13"/>
    <mergeCell ref="K14:L14"/>
    <mergeCell ref="K8:L8"/>
    <mergeCell ref="K15:L15"/>
    <mergeCell ref="K16:L16"/>
    <mergeCell ref="K17:L17"/>
    <mergeCell ref="G18:G29"/>
    <mergeCell ref="H18:H29"/>
    <mergeCell ref="J18:J29"/>
    <mergeCell ref="D15:D31"/>
    <mergeCell ref="E15:E16"/>
    <mergeCell ref="F15:F16"/>
    <mergeCell ref="E18:E29"/>
    <mergeCell ref="F18:F29"/>
    <mergeCell ref="E30:E31"/>
    <mergeCell ref="F30:F31"/>
    <mergeCell ref="F5:F7"/>
    <mergeCell ref="G5:G7"/>
    <mergeCell ref="H5:H7"/>
    <mergeCell ref="A5:A31"/>
    <mergeCell ref="B5:B31"/>
    <mergeCell ref="C5:C31"/>
    <mergeCell ref="D5:D14"/>
    <mergeCell ref="E5:E7"/>
    <mergeCell ref="E8:E12"/>
    <mergeCell ref="F8:F12"/>
    <mergeCell ref="G8:G12"/>
    <mergeCell ref="H8:H12"/>
    <mergeCell ref="G30:G31"/>
    <mergeCell ref="H30:H31"/>
    <mergeCell ref="E13:E14"/>
    <mergeCell ref="F13:F14"/>
  </mergeCells>
  <printOptions horizontalCentered="1" verticalCentered="1"/>
  <pageMargins left="0.19685039370078741" right="0.27559055118110237" top="0.55118110236220474" bottom="0.35433070866141736" header="0.31496062992125984" footer="0.31496062992125984"/>
  <pageSetup paperSize="5" scale="6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I56"/>
  <sheetViews>
    <sheetView view="pageBreakPreview" topLeftCell="A25" zoomScale="80" zoomScaleNormal="100" zoomScaleSheetLayoutView="80" workbookViewId="0">
      <selection activeCell="X44" sqref="X44"/>
    </sheetView>
  </sheetViews>
  <sheetFormatPr baseColWidth="10" defaultColWidth="11.42578125" defaultRowHeight="12.75" x14ac:dyDescent="0.2"/>
  <cols>
    <col min="1" max="1" width="5.28515625" style="333" customWidth="1"/>
    <col min="2" max="2" width="41.28515625" style="333" customWidth="1"/>
    <col min="3" max="3" width="10.28515625" style="333" customWidth="1"/>
    <col min="4" max="4" width="11.28515625" style="333" customWidth="1"/>
    <col min="5" max="5" width="11.85546875" style="333" customWidth="1"/>
    <col min="6" max="6" width="14.7109375" style="333" customWidth="1"/>
    <col min="7" max="7" width="12.7109375" style="408" customWidth="1"/>
    <col min="8" max="9" width="4" style="333" bestFit="1" customWidth="1"/>
    <col min="10" max="21" width="4" style="333" customWidth="1"/>
    <col min="22" max="22" width="7.7109375" style="333" customWidth="1"/>
    <col min="23" max="23" width="23.28515625" style="408" customWidth="1"/>
    <col min="24" max="27" width="23.28515625" style="413" customWidth="1"/>
    <col min="28" max="28" width="19" style="360" customWidth="1"/>
    <col min="29" max="29" width="16.7109375" style="360" bestFit="1" customWidth="1"/>
    <col min="30" max="35" width="11.28515625" style="360"/>
    <col min="36" max="258" width="11.28515625" style="331"/>
    <col min="259" max="259" width="5.28515625" style="331" customWidth="1"/>
    <col min="260" max="260" width="41.28515625" style="331" customWidth="1"/>
    <col min="261" max="261" width="10.28515625" style="331" customWidth="1"/>
    <col min="262" max="262" width="11.28515625" style="331" customWidth="1"/>
    <col min="263" max="263" width="11.85546875" style="331" customWidth="1"/>
    <col min="264" max="264" width="14.7109375" style="331" customWidth="1"/>
    <col min="265" max="265" width="12.7109375" style="331" customWidth="1"/>
    <col min="266" max="267" width="4" style="331" bestFit="1" customWidth="1"/>
    <col min="268" max="281" width="4" style="331" customWidth="1"/>
    <col min="282" max="282" width="7.7109375" style="331" customWidth="1"/>
    <col min="283" max="283" width="23.28515625" style="331" customWidth="1"/>
    <col min="284" max="284" width="19" style="331" customWidth="1"/>
    <col min="285" max="285" width="12.28515625" style="331" customWidth="1"/>
    <col min="286" max="514" width="11.28515625" style="331"/>
    <col min="515" max="515" width="5.28515625" style="331" customWidth="1"/>
    <col min="516" max="516" width="41.28515625" style="331" customWidth="1"/>
    <col min="517" max="517" width="10.28515625" style="331" customWidth="1"/>
    <col min="518" max="518" width="11.28515625" style="331" customWidth="1"/>
    <col min="519" max="519" width="11.85546875" style="331" customWidth="1"/>
    <col min="520" max="520" width="14.7109375" style="331" customWidth="1"/>
    <col min="521" max="521" width="12.7109375" style="331" customWidth="1"/>
    <col min="522" max="523" width="4" style="331" bestFit="1" customWidth="1"/>
    <col min="524" max="537" width="4" style="331" customWidth="1"/>
    <col min="538" max="538" width="7.7109375" style="331" customWidth="1"/>
    <col min="539" max="539" width="23.28515625" style="331" customWidth="1"/>
    <col min="540" max="540" width="19" style="331" customWidth="1"/>
    <col min="541" max="541" width="12.28515625" style="331" customWidth="1"/>
    <col min="542" max="770" width="11.28515625" style="331"/>
    <col min="771" max="771" width="5.28515625" style="331" customWidth="1"/>
    <col min="772" max="772" width="41.28515625" style="331" customWidth="1"/>
    <col min="773" max="773" width="10.28515625" style="331" customWidth="1"/>
    <col min="774" max="774" width="11.28515625" style="331" customWidth="1"/>
    <col min="775" max="775" width="11.85546875" style="331" customWidth="1"/>
    <col min="776" max="776" width="14.7109375" style="331" customWidth="1"/>
    <col min="777" max="777" width="12.7109375" style="331" customWidth="1"/>
    <col min="778" max="779" width="4" style="331" bestFit="1" customWidth="1"/>
    <col min="780" max="793" width="4" style="331" customWidth="1"/>
    <col min="794" max="794" width="7.7109375" style="331" customWidth="1"/>
    <col min="795" max="795" width="23.28515625" style="331" customWidth="1"/>
    <col min="796" max="796" width="19" style="331" customWidth="1"/>
    <col min="797" max="797" width="12.28515625" style="331" customWidth="1"/>
    <col min="798" max="1026" width="11.28515625" style="331"/>
    <col min="1027" max="1027" width="5.28515625" style="331" customWidth="1"/>
    <col min="1028" max="1028" width="41.28515625" style="331" customWidth="1"/>
    <col min="1029" max="1029" width="10.28515625" style="331" customWidth="1"/>
    <col min="1030" max="1030" width="11.28515625" style="331" customWidth="1"/>
    <col min="1031" max="1031" width="11.85546875" style="331" customWidth="1"/>
    <col min="1032" max="1032" width="14.7109375" style="331" customWidth="1"/>
    <col min="1033" max="1033" width="12.7109375" style="331" customWidth="1"/>
    <col min="1034" max="1035" width="4" style="331" bestFit="1" customWidth="1"/>
    <col min="1036" max="1049" width="4" style="331" customWidth="1"/>
    <col min="1050" max="1050" width="7.7109375" style="331" customWidth="1"/>
    <col min="1051" max="1051" width="23.28515625" style="331" customWidth="1"/>
    <col min="1052" max="1052" width="19" style="331" customWidth="1"/>
    <col min="1053" max="1053" width="12.28515625" style="331" customWidth="1"/>
    <col min="1054" max="1282" width="11.28515625" style="331"/>
    <col min="1283" max="1283" width="5.28515625" style="331" customWidth="1"/>
    <col min="1284" max="1284" width="41.28515625" style="331" customWidth="1"/>
    <col min="1285" max="1285" width="10.28515625" style="331" customWidth="1"/>
    <col min="1286" max="1286" width="11.28515625" style="331" customWidth="1"/>
    <col min="1287" max="1287" width="11.85546875" style="331" customWidth="1"/>
    <col min="1288" max="1288" width="14.7109375" style="331" customWidth="1"/>
    <col min="1289" max="1289" width="12.7109375" style="331" customWidth="1"/>
    <col min="1290" max="1291" width="4" style="331" bestFit="1" customWidth="1"/>
    <col min="1292" max="1305" width="4" style="331" customWidth="1"/>
    <col min="1306" max="1306" width="7.7109375" style="331" customWidth="1"/>
    <col min="1307" max="1307" width="23.28515625" style="331" customWidth="1"/>
    <col min="1308" max="1308" width="19" style="331" customWidth="1"/>
    <col min="1309" max="1309" width="12.28515625" style="331" customWidth="1"/>
    <col min="1310" max="1538" width="11.28515625" style="331"/>
    <col min="1539" max="1539" width="5.28515625" style="331" customWidth="1"/>
    <col min="1540" max="1540" width="41.28515625" style="331" customWidth="1"/>
    <col min="1541" max="1541" width="10.28515625" style="331" customWidth="1"/>
    <col min="1542" max="1542" width="11.28515625" style="331" customWidth="1"/>
    <col min="1543" max="1543" width="11.85546875" style="331" customWidth="1"/>
    <col min="1544" max="1544" width="14.7109375" style="331" customWidth="1"/>
    <col min="1545" max="1545" width="12.7109375" style="331" customWidth="1"/>
    <col min="1546" max="1547" width="4" style="331" bestFit="1" customWidth="1"/>
    <col min="1548" max="1561" width="4" style="331" customWidth="1"/>
    <col min="1562" max="1562" width="7.7109375" style="331" customWidth="1"/>
    <col min="1563" max="1563" width="23.28515625" style="331" customWidth="1"/>
    <col min="1564" max="1564" width="19" style="331" customWidth="1"/>
    <col min="1565" max="1565" width="12.28515625" style="331" customWidth="1"/>
    <col min="1566" max="1794" width="11.28515625" style="331"/>
    <col min="1795" max="1795" width="5.28515625" style="331" customWidth="1"/>
    <col min="1796" max="1796" width="41.28515625" style="331" customWidth="1"/>
    <col min="1797" max="1797" width="10.28515625" style="331" customWidth="1"/>
    <col min="1798" max="1798" width="11.28515625" style="331" customWidth="1"/>
    <col min="1799" max="1799" width="11.85546875" style="331" customWidth="1"/>
    <col min="1800" max="1800" width="14.7109375" style="331" customWidth="1"/>
    <col min="1801" max="1801" width="12.7109375" style="331" customWidth="1"/>
    <col min="1802" max="1803" width="4" style="331" bestFit="1" customWidth="1"/>
    <col min="1804" max="1817" width="4" style="331" customWidth="1"/>
    <col min="1818" max="1818" width="7.7109375" style="331" customWidth="1"/>
    <col min="1819" max="1819" width="23.28515625" style="331" customWidth="1"/>
    <col min="1820" max="1820" width="19" style="331" customWidth="1"/>
    <col min="1821" max="1821" width="12.28515625" style="331" customWidth="1"/>
    <col min="1822" max="2050" width="11.28515625" style="331"/>
    <col min="2051" max="2051" width="5.28515625" style="331" customWidth="1"/>
    <col min="2052" max="2052" width="41.28515625" style="331" customWidth="1"/>
    <col min="2053" max="2053" width="10.28515625" style="331" customWidth="1"/>
    <col min="2054" max="2054" width="11.28515625" style="331" customWidth="1"/>
    <col min="2055" max="2055" width="11.85546875" style="331" customWidth="1"/>
    <col min="2056" max="2056" width="14.7109375" style="331" customWidth="1"/>
    <col min="2057" max="2057" width="12.7109375" style="331" customWidth="1"/>
    <col min="2058" max="2059" width="4" style="331" bestFit="1" customWidth="1"/>
    <col min="2060" max="2073" width="4" style="331" customWidth="1"/>
    <col min="2074" max="2074" width="7.7109375" style="331" customWidth="1"/>
    <col min="2075" max="2075" width="23.28515625" style="331" customWidth="1"/>
    <col min="2076" max="2076" width="19" style="331" customWidth="1"/>
    <col min="2077" max="2077" width="12.28515625" style="331" customWidth="1"/>
    <col min="2078" max="2306" width="11.28515625" style="331"/>
    <col min="2307" max="2307" width="5.28515625" style="331" customWidth="1"/>
    <col min="2308" max="2308" width="41.28515625" style="331" customWidth="1"/>
    <col min="2309" max="2309" width="10.28515625" style="331" customWidth="1"/>
    <col min="2310" max="2310" width="11.28515625" style="331" customWidth="1"/>
    <col min="2311" max="2311" width="11.85546875" style="331" customWidth="1"/>
    <col min="2312" max="2312" width="14.7109375" style="331" customWidth="1"/>
    <col min="2313" max="2313" width="12.7109375" style="331" customWidth="1"/>
    <col min="2314" max="2315" width="4" style="331" bestFit="1" customWidth="1"/>
    <col min="2316" max="2329" width="4" style="331" customWidth="1"/>
    <col min="2330" max="2330" width="7.7109375" style="331" customWidth="1"/>
    <col min="2331" max="2331" width="23.28515625" style="331" customWidth="1"/>
    <col min="2332" max="2332" width="19" style="331" customWidth="1"/>
    <col min="2333" max="2333" width="12.28515625" style="331" customWidth="1"/>
    <col min="2334" max="2562" width="11.28515625" style="331"/>
    <col min="2563" max="2563" width="5.28515625" style="331" customWidth="1"/>
    <col min="2564" max="2564" width="41.28515625" style="331" customWidth="1"/>
    <col min="2565" max="2565" width="10.28515625" style="331" customWidth="1"/>
    <col min="2566" max="2566" width="11.28515625" style="331" customWidth="1"/>
    <col min="2567" max="2567" width="11.85546875" style="331" customWidth="1"/>
    <col min="2568" max="2568" width="14.7109375" style="331" customWidth="1"/>
    <col min="2569" max="2569" width="12.7109375" style="331" customWidth="1"/>
    <col min="2570" max="2571" width="4" style="331" bestFit="1" customWidth="1"/>
    <col min="2572" max="2585" width="4" style="331" customWidth="1"/>
    <col min="2586" max="2586" width="7.7109375" style="331" customWidth="1"/>
    <col min="2587" max="2587" width="23.28515625" style="331" customWidth="1"/>
    <col min="2588" max="2588" width="19" style="331" customWidth="1"/>
    <col min="2589" max="2589" width="12.28515625" style="331" customWidth="1"/>
    <col min="2590" max="2818" width="11.28515625" style="331"/>
    <col min="2819" max="2819" width="5.28515625" style="331" customWidth="1"/>
    <col min="2820" max="2820" width="41.28515625" style="331" customWidth="1"/>
    <col min="2821" max="2821" width="10.28515625" style="331" customWidth="1"/>
    <col min="2822" max="2822" width="11.28515625" style="331" customWidth="1"/>
    <col min="2823" max="2823" width="11.85546875" style="331" customWidth="1"/>
    <col min="2824" max="2824" width="14.7109375" style="331" customWidth="1"/>
    <col min="2825" max="2825" width="12.7109375" style="331" customWidth="1"/>
    <col min="2826" max="2827" width="4" style="331" bestFit="1" customWidth="1"/>
    <col min="2828" max="2841" width="4" style="331" customWidth="1"/>
    <col min="2842" max="2842" width="7.7109375" style="331" customWidth="1"/>
    <col min="2843" max="2843" width="23.28515625" style="331" customWidth="1"/>
    <col min="2844" max="2844" width="19" style="331" customWidth="1"/>
    <col min="2845" max="2845" width="12.28515625" style="331" customWidth="1"/>
    <col min="2846" max="3074" width="11.28515625" style="331"/>
    <col min="3075" max="3075" width="5.28515625" style="331" customWidth="1"/>
    <col min="3076" max="3076" width="41.28515625" style="331" customWidth="1"/>
    <col min="3077" max="3077" width="10.28515625" style="331" customWidth="1"/>
    <col min="3078" max="3078" width="11.28515625" style="331" customWidth="1"/>
    <col min="3079" max="3079" width="11.85546875" style="331" customWidth="1"/>
    <col min="3080" max="3080" width="14.7109375" style="331" customWidth="1"/>
    <col min="3081" max="3081" width="12.7109375" style="331" customWidth="1"/>
    <col min="3082" max="3083" width="4" style="331" bestFit="1" customWidth="1"/>
    <col min="3084" max="3097" width="4" style="331" customWidth="1"/>
    <col min="3098" max="3098" width="7.7109375" style="331" customWidth="1"/>
    <col min="3099" max="3099" width="23.28515625" style="331" customWidth="1"/>
    <col min="3100" max="3100" width="19" style="331" customWidth="1"/>
    <col min="3101" max="3101" width="12.28515625" style="331" customWidth="1"/>
    <col min="3102" max="3330" width="11.28515625" style="331"/>
    <col min="3331" max="3331" width="5.28515625" style="331" customWidth="1"/>
    <col min="3332" max="3332" width="41.28515625" style="331" customWidth="1"/>
    <col min="3333" max="3333" width="10.28515625" style="331" customWidth="1"/>
    <col min="3334" max="3334" width="11.28515625" style="331" customWidth="1"/>
    <col min="3335" max="3335" width="11.85546875" style="331" customWidth="1"/>
    <col min="3336" max="3336" width="14.7109375" style="331" customWidth="1"/>
    <col min="3337" max="3337" width="12.7109375" style="331" customWidth="1"/>
    <col min="3338" max="3339" width="4" style="331" bestFit="1" customWidth="1"/>
    <col min="3340" max="3353" width="4" style="331" customWidth="1"/>
    <col min="3354" max="3354" width="7.7109375" style="331" customWidth="1"/>
    <col min="3355" max="3355" width="23.28515625" style="331" customWidth="1"/>
    <col min="3356" max="3356" width="19" style="331" customWidth="1"/>
    <col min="3357" max="3357" width="12.28515625" style="331" customWidth="1"/>
    <col min="3358" max="3586" width="11.28515625" style="331"/>
    <col min="3587" max="3587" width="5.28515625" style="331" customWidth="1"/>
    <col min="3588" max="3588" width="41.28515625" style="331" customWidth="1"/>
    <col min="3589" max="3589" width="10.28515625" style="331" customWidth="1"/>
    <col min="3590" max="3590" width="11.28515625" style="331" customWidth="1"/>
    <col min="3591" max="3591" width="11.85546875" style="331" customWidth="1"/>
    <col min="3592" max="3592" width="14.7109375" style="331" customWidth="1"/>
    <col min="3593" max="3593" width="12.7109375" style="331" customWidth="1"/>
    <col min="3594" max="3595" width="4" style="331" bestFit="1" customWidth="1"/>
    <col min="3596" max="3609" width="4" style="331" customWidth="1"/>
    <col min="3610" max="3610" width="7.7109375" style="331" customWidth="1"/>
    <col min="3611" max="3611" width="23.28515625" style="331" customWidth="1"/>
    <col min="3612" max="3612" width="19" style="331" customWidth="1"/>
    <col min="3613" max="3613" width="12.28515625" style="331" customWidth="1"/>
    <col min="3614" max="3842" width="11.28515625" style="331"/>
    <col min="3843" max="3843" width="5.28515625" style="331" customWidth="1"/>
    <col min="3844" max="3844" width="41.28515625" style="331" customWidth="1"/>
    <col min="3845" max="3845" width="10.28515625" style="331" customWidth="1"/>
    <col min="3846" max="3846" width="11.28515625" style="331" customWidth="1"/>
    <col min="3847" max="3847" width="11.85546875" style="331" customWidth="1"/>
    <col min="3848" max="3848" width="14.7109375" style="331" customWidth="1"/>
    <col min="3849" max="3849" width="12.7109375" style="331" customWidth="1"/>
    <col min="3850" max="3851" width="4" style="331" bestFit="1" customWidth="1"/>
    <col min="3852" max="3865" width="4" style="331" customWidth="1"/>
    <col min="3866" max="3866" width="7.7109375" style="331" customWidth="1"/>
    <col min="3867" max="3867" width="23.28515625" style="331" customWidth="1"/>
    <col min="3868" max="3868" width="19" style="331" customWidth="1"/>
    <col min="3869" max="3869" width="12.28515625" style="331" customWidth="1"/>
    <col min="3870" max="4098" width="11.28515625" style="331"/>
    <col min="4099" max="4099" width="5.28515625" style="331" customWidth="1"/>
    <col min="4100" max="4100" width="41.28515625" style="331" customWidth="1"/>
    <col min="4101" max="4101" width="10.28515625" style="331" customWidth="1"/>
    <col min="4102" max="4102" width="11.28515625" style="331" customWidth="1"/>
    <col min="4103" max="4103" width="11.85546875" style="331" customWidth="1"/>
    <col min="4104" max="4104" width="14.7109375" style="331" customWidth="1"/>
    <col min="4105" max="4105" width="12.7109375" style="331" customWidth="1"/>
    <col min="4106" max="4107" width="4" style="331" bestFit="1" customWidth="1"/>
    <col min="4108" max="4121" width="4" style="331" customWidth="1"/>
    <col min="4122" max="4122" width="7.7109375" style="331" customWidth="1"/>
    <col min="4123" max="4123" width="23.28515625" style="331" customWidth="1"/>
    <col min="4124" max="4124" width="19" style="331" customWidth="1"/>
    <col min="4125" max="4125" width="12.28515625" style="331" customWidth="1"/>
    <col min="4126" max="4354" width="11.28515625" style="331"/>
    <col min="4355" max="4355" width="5.28515625" style="331" customWidth="1"/>
    <col min="4356" max="4356" width="41.28515625" style="331" customWidth="1"/>
    <col min="4357" max="4357" width="10.28515625" style="331" customWidth="1"/>
    <col min="4358" max="4358" width="11.28515625" style="331" customWidth="1"/>
    <col min="4359" max="4359" width="11.85546875" style="331" customWidth="1"/>
    <col min="4360" max="4360" width="14.7109375" style="331" customWidth="1"/>
    <col min="4361" max="4361" width="12.7109375" style="331" customWidth="1"/>
    <col min="4362" max="4363" width="4" style="331" bestFit="1" customWidth="1"/>
    <col min="4364" max="4377" width="4" style="331" customWidth="1"/>
    <col min="4378" max="4378" width="7.7109375" style="331" customWidth="1"/>
    <col min="4379" max="4379" width="23.28515625" style="331" customWidth="1"/>
    <col min="4380" max="4380" width="19" style="331" customWidth="1"/>
    <col min="4381" max="4381" width="12.28515625" style="331" customWidth="1"/>
    <col min="4382" max="4610" width="11.28515625" style="331"/>
    <col min="4611" max="4611" width="5.28515625" style="331" customWidth="1"/>
    <col min="4612" max="4612" width="41.28515625" style="331" customWidth="1"/>
    <col min="4613" max="4613" width="10.28515625" style="331" customWidth="1"/>
    <col min="4614" max="4614" width="11.28515625" style="331" customWidth="1"/>
    <col min="4615" max="4615" width="11.85546875" style="331" customWidth="1"/>
    <col min="4616" max="4616" width="14.7109375" style="331" customWidth="1"/>
    <col min="4617" max="4617" width="12.7109375" style="331" customWidth="1"/>
    <col min="4618" max="4619" width="4" style="331" bestFit="1" customWidth="1"/>
    <col min="4620" max="4633" width="4" style="331" customWidth="1"/>
    <col min="4634" max="4634" width="7.7109375" style="331" customWidth="1"/>
    <col min="4635" max="4635" width="23.28515625" style="331" customWidth="1"/>
    <col min="4636" max="4636" width="19" style="331" customWidth="1"/>
    <col min="4637" max="4637" width="12.28515625" style="331" customWidth="1"/>
    <col min="4638" max="4866" width="11.28515625" style="331"/>
    <col min="4867" max="4867" width="5.28515625" style="331" customWidth="1"/>
    <col min="4868" max="4868" width="41.28515625" style="331" customWidth="1"/>
    <col min="4869" max="4869" width="10.28515625" style="331" customWidth="1"/>
    <col min="4870" max="4870" width="11.28515625" style="331" customWidth="1"/>
    <col min="4871" max="4871" width="11.85546875" style="331" customWidth="1"/>
    <col min="4872" max="4872" width="14.7109375" style="331" customWidth="1"/>
    <col min="4873" max="4873" width="12.7109375" style="331" customWidth="1"/>
    <col min="4874" max="4875" width="4" style="331" bestFit="1" customWidth="1"/>
    <col min="4876" max="4889" width="4" style="331" customWidth="1"/>
    <col min="4890" max="4890" width="7.7109375" style="331" customWidth="1"/>
    <col min="4891" max="4891" width="23.28515625" style="331" customWidth="1"/>
    <col min="4892" max="4892" width="19" style="331" customWidth="1"/>
    <col min="4893" max="4893" width="12.28515625" style="331" customWidth="1"/>
    <col min="4894" max="5122" width="11.28515625" style="331"/>
    <col min="5123" max="5123" width="5.28515625" style="331" customWidth="1"/>
    <col min="5124" max="5124" width="41.28515625" style="331" customWidth="1"/>
    <col min="5125" max="5125" width="10.28515625" style="331" customWidth="1"/>
    <col min="5126" max="5126" width="11.28515625" style="331" customWidth="1"/>
    <col min="5127" max="5127" width="11.85546875" style="331" customWidth="1"/>
    <col min="5128" max="5128" width="14.7109375" style="331" customWidth="1"/>
    <col min="5129" max="5129" width="12.7109375" style="331" customWidth="1"/>
    <col min="5130" max="5131" width="4" style="331" bestFit="1" customWidth="1"/>
    <col min="5132" max="5145" width="4" style="331" customWidth="1"/>
    <col min="5146" max="5146" width="7.7109375" style="331" customWidth="1"/>
    <col min="5147" max="5147" width="23.28515625" style="331" customWidth="1"/>
    <col min="5148" max="5148" width="19" style="331" customWidth="1"/>
    <col min="5149" max="5149" width="12.28515625" style="331" customWidth="1"/>
    <col min="5150" max="5378" width="11.28515625" style="331"/>
    <col min="5379" max="5379" width="5.28515625" style="331" customWidth="1"/>
    <col min="5380" max="5380" width="41.28515625" style="331" customWidth="1"/>
    <col min="5381" max="5381" width="10.28515625" style="331" customWidth="1"/>
    <col min="5382" max="5382" width="11.28515625" style="331" customWidth="1"/>
    <col min="5383" max="5383" width="11.85546875" style="331" customWidth="1"/>
    <col min="5384" max="5384" width="14.7109375" style="331" customWidth="1"/>
    <col min="5385" max="5385" width="12.7109375" style="331" customWidth="1"/>
    <col min="5386" max="5387" width="4" style="331" bestFit="1" customWidth="1"/>
    <col min="5388" max="5401" width="4" style="331" customWidth="1"/>
    <col min="5402" max="5402" width="7.7109375" style="331" customWidth="1"/>
    <col min="5403" max="5403" width="23.28515625" style="331" customWidth="1"/>
    <col min="5404" max="5404" width="19" style="331" customWidth="1"/>
    <col min="5405" max="5405" width="12.28515625" style="331" customWidth="1"/>
    <col min="5406" max="5634" width="11.28515625" style="331"/>
    <col min="5635" max="5635" width="5.28515625" style="331" customWidth="1"/>
    <col min="5636" max="5636" width="41.28515625" style="331" customWidth="1"/>
    <col min="5637" max="5637" width="10.28515625" style="331" customWidth="1"/>
    <col min="5638" max="5638" width="11.28515625" style="331" customWidth="1"/>
    <col min="5639" max="5639" width="11.85546875" style="331" customWidth="1"/>
    <col min="5640" max="5640" width="14.7109375" style="331" customWidth="1"/>
    <col min="5641" max="5641" width="12.7109375" style="331" customWidth="1"/>
    <col min="5642" max="5643" width="4" style="331" bestFit="1" customWidth="1"/>
    <col min="5644" max="5657" width="4" style="331" customWidth="1"/>
    <col min="5658" max="5658" width="7.7109375" style="331" customWidth="1"/>
    <col min="5659" max="5659" width="23.28515625" style="331" customWidth="1"/>
    <col min="5660" max="5660" width="19" style="331" customWidth="1"/>
    <col min="5661" max="5661" width="12.28515625" style="331" customWidth="1"/>
    <col min="5662" max="5890" width="11.28515625" style="331"/>
    <col min="5891" max="5891" width="5.28515625" style="331" customWidth="1"/>
    <col min="5892" max="5892" width="41.28515625" style="331" customWidth="1"/>
    <col min="5893" max="5893" width="10.28515625" style="331" customWidth="1"/>
    <col min="5894" max="5894" width="11.28515625" style="331" customWidth="1"/>
    <col min="5895" max="5895" width="11.85546875" style="331" customWidth="1"/>
    <col min="5896" max="5896" width="14.7109375" style="331" customWidth="1"/>
    <col min="5897" max="5897" width="12.7109375" style="331" customWidth="1"/>
    <col min="5898" max="5899" width="4" style="331" bestFit="1" customWidth="1"/>
    <col min="5900" max="5913" width="4" style="331" customWidth="1"/>
    <col min="5914" max="5914" width="7.7109375" style="331" customWidth="1"/>
    <col min="5915" max="5915" width="23.28515625" style="331" customWidth="1"/>
    <col min="5916" max="5916" width="19" style="331" customWidth="1"/>
    <col min="5917" max="5917" width="12.28515625" style="331" customWidth="1"/>
    <col min="5918" max="6146" width="11.28515625" style="331"/>
    <col min="6147" max="6147" width="5.28515625" style="331" customWidth="1"/>
    <col min="6148" max="6148" width="41.28515625" style="331" customWidth="1"/>
    <col min="6149" max="6149" width="10.28515625" style="331" customWidth="1"/>
    <col min="6150" max="6150" width="11.28515625" style="331" customWidth="1"/>
    <col min="6151" max="6151" width="11.85546875" style="331" customWidth="1"/>
    <col min="6152" max="6152" width="14.7109375" style="331" customWidth="1"/>
    <col min="6153" max="6153" width="12.7109375" style="331" customWidth="1"/>
    <col min="6154" max="6155" width="4" style="331" bestFit="1" customWidth="1"/>
    <col min="6156" max="6169" width="4" style="331" customWidth="1"/>
    <col min="6170" max="6170" width="7.7109375" style="331" customWidth="1"/>
    <col min="6171" max="6171" width="23.28515625" style="331" customWidth="1"/>
    <col min="6172" max="6172" width="19" style="331" customWidth="1"/>
    <col min="6173" max="6173" width="12.28515625" style="331" customWidth="1"/>
    <col min="6174" max="6402" width="11.28515625" style="331"/>
    <col min="6403" max="6403" width="5.28515625" style="331" customWidth="1"/>
    <col min="6404" max="6404" width="41.28515625" style="331" customWidth="1"/>
    <col min="6405" max="6405" width="10.28515625" style="331" customWidth="1"/>
    <col min="6406" max="6406" width="11.28515625" style="331" customWidth="1"/>
    <col min="6407" max="6407" width="11.85546875" style="331" customWidth="1"/>
    <col min="6408" max="6408" width="14.7109375" style="331" customWidth="1"/>
    <col min="6409" max="6409" width="12.7109375" style="331" customWidth="1"/>
    <col min="6410" max="6411" width="4" style="331" bestFit="1" customWidth="1"/>
    <col min="6412" max="6425" width="4" style="331" customWidth="1"/>
    <col min="6426" max="6426" width="7.7109375" style="331" customWidth="1"/>
    <col min="6427" max="6427" width="23.28515625" style="331" customWidth="1"/>
    <col min="6428" max="6428" width="19" style="331" customWidth="1"/>
    <col min="6429" max="6429" width="12.28515625" style="331" customWidth="1"/>
    <col min="6430" max="6658" width="11.28515625" style="331"/>
    <col min="6659" max="6659" width="5.28515625" style="331" customWidth="1"/>
    <col min="6660" max="6660" width="41.28515625" style="331" customWidth="1"/>
    <col min="6661" max="6661" width="10.28515625" style="331" customWidth="1"/>
    <col min="6662" max="6662" width="11.28515625" style="331" customWidth="1"/>
    <col min="6663" max="6663" width="11.85546875" style="331" customWidth="1"/>
    <col min="6664" max="6664" width="14.7109375" style="331" customWidth="1"/>
    <col min="6665" max="6665" width="12.7109375" style="331" customWidth="1"/>
    <col min="6666" max="6667" width="4" style="331" bestFit="1" customWidth="1"/>
    <col min="6668" max="6681" width="4" style="331" customWidth="1"/>
    <col min="6682" max="6682" width="7.7109375" style="331" customWidth="1"/>
    <col min="6683" max="6683" width="23.28515625" style="331" customWidth="1"/>
    <col min="6684" max="6684" width="19" style="331" customWidth="1"/>
    <col min="6685" max="6685" width="12.28515625" style="331" customWidth="1"/>
    <col min="6686" max="6914" width="11.28515625" style="331"/>
    <col min="6915" max="6915" width="5.28515625" style="331" customWidth="1"/>
    <col min="6916" max="6916" width="41.28515625" style="331" customWidth="1"/>
    <col min="6917" max="6917" width="10.28515625" style="331" customWidth="1"/>
    <col min="6918" max="6918" width="11.28515625" style="331" customWidth="1"/>
    <col min="6919" max="6919" width="11.85546875" style="331" customWidth="1"/>
    <col min="6920" max="6920" width="14.7109375" style="331" customWidth="1"/>
    <col min="6921" max="6921" width="12.7109375" style="331" customWidth="1"/>
    <col min="6922" max="6923" width="4" style="331" bestFit="1" customWidth="1"/>
    <col min="6924" max="6937" width="4" style="331" customWidth="1"/>
    <col min="6938" max="6938" width="7.7109375" style="331" customWidth="1"/>
    <col min="6939" max="6939" width="23.28515625" style="331" customWidth="1"/>
    <col min="6940" max="6940" width="19" style="331" customWidth="1"/>
    <col min="6941" max="6941" width="12.28515625" style="331" customWidth="1"/>
    <col min="6942" max="7170" width="11.28515625" style="331"/>
    <col min="7171" max="7171" width="5.28515625" style="331" customWidth="1"/>
    <col min="7172" max="7172" width="41.28515625" style="331" customWidth="1"/>
    <col min="7173" max="7173" width="10.28515625" style="331" customWidth="1"/>
    <col min="7174" max="7174" width="11.28515625" style="331" customWidth="1"/>
    <col min="7175" max="7175" width="11.85546875" style="331" customWidth="1"/>
    <col min="7176" max="7176" width="14.7109375" style="331" customWidth="1"/>
    <col min="7177" max="7177" width="12.7109375" style="331" customWidth="1"/>
    <col min="7178" max="7179" width="4" style="331" bestFit="1" customWidth="1"/>
    <col min="7180" max="7193" width="4" style="331" customWidth="1"/>
    <col min="7194" max="7194" width="7.7109375" style="331" customWidth="1"/>
    <col min="7195" max="7195" width="23.28515625" style="331" customWidth="1"/>
    <col min="7196" max="7196" width="19" style="331" customWidth="1"/>
    <col min="7197" max="7197" width="12.28515625" style="331" customWidth="1"/>
    <col min="7198" max="7426" width="11.28515625" style="331"/>
    <col min="7427" max="7427" width="5.28515625" style="331" customWidth="1"/>
    <col min="7428" max="7428" width="41.28515625" style="331" customWidth="1"/>
    <col min="7429" max="7429" width="10.28515625" style="331" customWidth="1"/>
    <col min="7430" max="7430" width="11.28515625" style="331" customWidth="1"/>
    <col min="7431" max="7431" width="11.85546875" style="331" customWidth="1"/>
    <col min="7432" max="7432" width="14.7109375" style="331" customWidth="1"/>
    <col min="7433" max="7433" width="12.7109375" style="331" customWidth="1"/>
    <col min="7434" max="7435" width="4" style="331" bestFit="1" customWidth="1"/>
    <col min="7436" max="7449" width="4" style="331" customWidth="1"/>
    <col min="7450" max="7450" width="7.7109375" style="331" customWidth="1"/>
    <col min="7451" max="7451" width="23.28515625" style="331" customWidth="1"/>
    <col min="7452" max="7452" width="19" style="331" customWidth="1"/>
    <col min="7453" max="7453" width="12.28515625" style="331" customWidth="1"/>
    <col min="7454" max="7682" width="11.28515625" style="331"/>
    <col min="7683" max="7683" width="5.28515625" style="331" customWidth="1"/>
    <col min="7684" max="7684" width="41.28515625" style="331" customWidth="1"/>
    <col min="7685" max="7685" width="10.28515625" style="331" customWidth="1"/>
    <col min="7686" max="7686" width="11.28515625" style="331" customWidth="1"/>
    <col min="7687" max="7687" width="11.85546875" style="331" customWidth="1"/>
    <col min="7688" max="7688" width="14.7109375" style="331" customWidth="1"/>
    <col min="7689" max="7689" width="12.7109375" style="331" customWidth="1"/>
    <col min="7690" max="7691" width="4" style="331" bestFit="1" customWidth="1"/>
    <col min="7692" max="7705" width="4" style="331" customWidth="1"/>
    <col min="7706" max="7706" width="7.7109375" style="331" customWidth="1"/>
    <col min="7707" max="7707" width="23.28515625" style="331" customWidth="1"/>
    <col min="7708" max="7708" width="19" style="331" customWidth="1"/>
    <col min="7709" max="7709" width="12.28515625" style="331" customWidth="1"/>
    <col min="7710" max="7938" width="11.28515625" style="331"/>
    <col min="7939" max="7939" width="5.28515625" style="331" customWidth="1"/>
    <col min="7940" max="7940" width="41.28515625" style="331" customWidth="1"/>
    <col min="7941" max="7941" width="10.28515625" style="331" customWidth="1"/>
    <col min="7942" max="7942" width="11.28515625" style="331" customWidth="1"/>
    <col min="7943" max="7943" width="11.85546875" style="331" customWidth="1"/>
    <col min="7944" max="7944" width="14.7109375" style="331" customWidth="1"/>
    <col min="7945" max="7945" width="12.7109375" style="331" customWidth="1"/>
    <col min="7946" max="7947" width="4" style="331" bestFit="1" customWidth="1"/>
    <col min="7948" max="7961" width="4" style="331" customWidth="1"/>
    <col min="7962" max="7962" width="7.7109375" style="331" customWidth="1"/>
    <col min="7963" max="7963" width="23.28515625" style="331" customWidth="1"/>
    <col min="7964" max="7964" width="19" style="331" customWidth="1"/>
    <col min="7965" max="7965" width="12.28515625" style="331" customWidth="1"/>
    <col min="7966" max="8194" width="11.28515625" style="331"/>
    <col min="8195" max="8195" width="5.28515625" style="331" customWidth="1"/>
    <col min="8196" max="8196" width="41.28515625" style="331" customWidth="1"/>
    <col min="8197" max="8197" width="10.28515625" style="331" customWidth="1"/>
    <col min="8198" max="8198" width="11.28515625" style="331" customWidth="1"/>
    <col min="8199" max="8199" width="11.85546875" style="331" customWidth="1"/>
    <col min="8200" max="8200" width="14.7109375" style="331" customWidth="1"/>
    <col min="8201" max="8201" width="12.7109375" style="331" customWidth="1"/>
    <col min="8202" max="8203" width="4" style="331" bestFit="1" customWidth="1"/>
    <col min="8204" max="8217" width="4" style="331" customWidth="1"/>
    <col min="8218" max="8218" width="7.7109375" style="331" customWidth="1"/>
    <col min="8219" max="8219" width="23.28515625" style="331" customWidth="1"/>
    <col min="8220" max="8220" width="19" style="331" customWidth="1"/>
    <col min="8221" max="8221" width="12.28515625" style="331" customWidth="1"/>
    <col min="8222" max="8450" width="11.28515625" style="331"/>
    <col min="8451" max="8451" width="5.28515625" style="331" customWidth="1"/>
    <col min="8452" max="8452" width="41.28515625" style="331" customWidth="1"/>
    <col min="8453" max="8453" width="10.28515625" style="331" customWidth="1"/>
    <col min="8454" max="8454" width="11.28515625" style="331" customWidth="1"/>
    <col min="8455" max="8455" width="11.85546875" style="331" customWidth="1"/>
    <col min="8456" max="8456" width="14.7109375" style="331" customWidth="1"/>
    <col min="8457" max="8457" width="12.7109375" style="331" customWidth="1"/>
    <col min="8458" max="8459" width="4" style="331" bestFit="1" customWidth="1"/>
    <col min="8460" max="8473" width="4" style="331" customWidth="1"/>
    <col min="8474" max="8474" width="7.7109375" style="331" customWidth="1"/>
    <col min="8475" max="8475" width="23.28515625" style="331" customWidth="1"/>
    <col min="8476" max="8476" width="19" style="331" customWidth="1"/>
    <col min="8477" max="8477" width="12.28515625" style="331" customWidth="1"/>
    <col min="8478" max="8706" width="11.28515625" style="331"/>
    <col min="8707" max="8707" width="5.28515625" style="331" customWidth="1"/>
    <col min="8708" max="8708" width="41.28515625" style="331" customWidth="1"/>
    <col min="8709" max="8709" width="10.28515625" style="331" customWidth="1"/>
    <col min="8710" max="8710" width="11.28515625" style="331" customWidth="1"/>
    <col min="8711" max="8711" width="11.85546875" style="331" customWidth="1"/>
    <col min="8712" max="8712" width="14.7109375" style="331" customWidth="1"/>
    <col min="8713" max="8713" width="12.7109375" style="331" customWidth="1"/>
    <col min="8714" max="8715" width="4" style="331" bestFit="1" customWidth="1"/>
    <col min="8716" max="8729" width="4" style="331" customWidth="1"/>
    <col min="8730" max="8730" width="7.7109375" style="331" customWidth="1"/>
    <col min="8731" max="8731" width="23.28515625" style="331" customWidth="1"/>
    <col min="8732" max="8732" width="19" style="331" customWidth="1"/>
    <col min="8733" max="8733" width="12.28515625" style="331" customWidth="1"/>
    <col min="8734" max="8962" width="11.28515625" style="331"/>
    <col min="8963" max="8963" width="5.28515625" style="331" customWidth="1"/>
    <col min="8964" max="8964" width="41.28515625" style="331" customWidth="1"/>
    <col min="8965" max="8965" width="10.28515625" style="331" customWidth="1"/>
    <col min="8966" max="8966" width="11.28515625" style="331" customWidth="1"/>
    <col min="8967" max="8967" width="11.85546875" style="331" customWidth="1"/>
    <col min="8968" max="8968" width="14.7109375" style="331" customWidth="1"/>
    <col min="8969" max="8969" width="12.7109375" style="331" customWidth="1"/>
    <col min="8970" max="8971" width="4" style="331" bestFit="1" customWidth="1"/>
    <col min="8972" max="8985" width="4" style="331" customWidth="1"/>
    <col min="8986" max="8986" width="7.7109375" style="331" customWidth="1"/>
    <col min="8987" max="8987" width="23.28515625" style="331" customWidth="1"/>
    <col min="8988" max="8988" width="19" style="331" customWidth="1"/>
    <col min="8989" max="8989" width="12.28515625" style="331" customWidth="1"/>
    <col min="8990" max="9218" width="11.28515625" style="331"/>
    <col min="9219" max="9219" width="5.28515625" style="331" customWidth="1"/>
    <col min="9220" max="9220" width="41.28515625" style="331" customWidth="1"/>
    <col min="9221" max="9221" width="10.28515625" style="331" customWidth="1"/>
    <col min="9222" max="9222" width="11.28515625" style="331" customWidth="1"/>
    <col min="9223" max="9223" width="11.85546875" style="331" customWidth="1"/>
    <col min="9224" max="9224" width="14.7109375" style="331" customWidth="1"/>
    <col min="9225" max="9225" width="12.7109375" style="331" customWidth="1"/>
    <col min="9226" max="9227" width="4" style="331" bestFit="1" customWidth="1"/>
    <col min="9228" max="9241" width="4" style="331" customWidth="1"/>
    <col min="9242" max="9242" width="7.7109375" style="331" customWidth="1"/>
    <col min="9243" max="9243" width="23.28515625" style="331" customWidth="1"/>
    <col min="9244" max="9244" width="19" style="331" customWidth="1"/>
    <col min="9245" max="9245" width="12.28515625" style="331" customWidth="1"/>
    <col min="9246" max="9474" width="11.28515625" style="331"/>
    <col min="9475" max="9475" width="5.28515625" style="331" customWidth="1"/>
    <col min="9476" max="9476" width="41.28515625" style="331" customWidth="1"/>
    <col min="9477" max="9477" width="10.28515625" style="331" customWidth="1"/>
    <col min="9478" max="9478" width="11.28515625" style="331" customWidth="1"/>
    <col min="9479" max="9479" width="11.85546875" style="331" customWidth="1"/>
    <col min="9480" max="9480" width="14.7109375" style="331" customWidth="1"/>
    <col min="9481" max="9481" width="12.7109375" style="331" customWidth="1"/>
    <col min="9482" max="9483" width="4" style="331" bestFit="1" customWidth="1"/>
    <col min="9484" max="9497" width="4" style="331" customWidth="1"/>
    <col min="9498" max="9498" width="7.7109375" style="331" customWidth="1"/>
    <col min="9499" max="9499" width="23.28515625" style="331" customWidth="1"/>
    <col min="9500" max="9500" width="19" style="331" customWidth="1"/>
    <col min="9501" max="9501" width="12.28515625" style="331" customWidth="1"/>
    <col min="9502" max="9730" width="11.28515625" style="331"/>
    <col min="9731" max="9731" width="5.28515625" style="331" customWidth="1"/>
    <col min="9732" max="9732" width="41.28515625" style="331" customWidth="1"/>
    <col min="9733" max="9733" width="10.28515625" style="331" customWidth="1"/>
    <col min="9734" max="9734" width="11.28515625" style="331" customWidth="1"/>
    <col min="9735" max="9735" width="11.85546875" style="331" customWidth="1"/>
    <col min="9736" max="9736" width="14.7109375" style="331" customWidth="1"/>
    <col min="9737" max="9737" width="12.7109375" style="331" customWidth="1"/>
    <col min="9738" max="9739" width="4" style="331" bestFit="1" customWidth="1"/>
    <col min="9740" max="9753" width="4" style="331" customWidth="1"/>
    <col min="9754" max="9754" width="7.7109375" style="331" customWidth="1"/>
    <col min="9755" max="9755" width="23.28515625" style="331" customWidth="1"/>
    <col min="9756" max="9756" width="19" style="331" customWidth="1"/>
    <col min="9757" max="9757" width="12.28515625" style="331" customWidth="1"/>
    <col min="9758" max="9986" width="11.28515625" style="331"/>
    <col min="9987" max="9987" width="5.28515625" style="331" customWidth="1"/>
    <col min="9988" max="9988" width="41.28515625" style="331" customWidth="1"/>
    <col min="9989" max="9989" width="10.28515625" style="331" customWidth="1"/>
    <col min="9990" max="9990" width="11.28515625" style="331" customWidth="1"/>
    <col min="9991" max="9991" width="11.85546875" style="331" customWidth="1"/>
    <col min="9992" max="9992" width="14.7109375" style="331" customWidth="1"/>
    <col min="9993" max="9993" width="12.7109375" style="331" customWidth="1"/>
    <col min="9994" max="9995" width="4" style="331" bestFit="1" customWidth="1"/>
    <col min="9996" max="10009" width="4" style="331" customWidth="1"/>
    <col min="10010" max="10010" width="7.7109375" style="331" customWidth="1"/>
    <col min="10011" max="10011" width="23.28515625" style="331" customWidth="1"/>
    <col min="10012" max="10012" width="19" style="331" customWidth="1"/>
    <col min="10013" max="10013" width="12.28515625" style="331" customWidth="1"/>
    <col min="10014" max="10242" width="11.28515625" style="331"/>
    <col min="10243" max="10243" width="5.28515625" style="331" customWidth="1"/>
    <col min="10244" max="10244" width="41.28515625" style="331" customWidth="1"/>
    <col min="10245" max="10245" width="10.28515625" style="331" customWidth="1"/>
    <col min="10246" max="10246" width="11.28515625" style="331" customWidth="1"/>
    <col min="10247" max="10247" width="11.85546875" style="331" customWidth="1"/>
    <col min="10248" max="10248" width="14.7109375" style="331" customWidth="1"/>
    <col min="10249" max="10249" width="12.7109375" style="331" customWidth="1"/>
    <col min="10250" max="10251" width="4" style="331" bestFit="1" customWidth="1"/>
    <col min="10252" max="10265" width="4" style="331" customWidth="1"/>
    <col min="10266" max="10266" width="7.7109375" style="331" customWidth="1"/>
    <col min="10267" max="10267" width="23.28515625" style="331" customWidth="1"/>
    <col min="10268" max="10268" width="19" style="331" customWidth="1"/>
    <col min="10269" max="10269" width="12.28515625" style="331" customWidth="1"/>
    <col min="10270" max="10498" width="11.28515625" style="331"/>
    <col min="10499" max="10499" width="5.28515625" style="331" customWidth="1"/>
    <col min="10500" max="10500" width="41.28515625" style="331" customWidth="1"/>
    <col min="10501" max="10501" width="10.28515625" style="331" customWidth="1"/>
    <col min="10502" max="10502" width="11.28515625" style="331" customWidth="1"/>
    <col min="10503" max="10503" width="11.85546875" style="331" customWidth="1"/>
    <col min="10504" max="10504" width="14.7109375" style="331" customWidth="1"/>
    <col min="10505" max="10505" width="12.7109375" style="331" customWidth="1"/>
    <col min="10506" max="10507" width="4" style="331" bestFit="1" customWidth="1"/>
    <col min="10508" max="10521" width="4" style="331" customWidth="1"/>
    <col min="10522" max="10522" width="7.7109375" style="331" customWidth="1"/>
    <col min="10523" max="10523" width="23.28515625" style="331" customWidth="1"/>
    <col min="10524" max="10524" width="19" style="331" customWidth="1"/>
    <col min="10525" max="10525" width="12.28515625" style="331" customWidth="1"/>
    <col min="10526" max="10754" width="11.28515625" style="331"/>
    <col min="10755" max="10755" width="5.28515625" style="331" customWidth="1"/>
    <col min="10756" max="10756" width="41.28515625" style="331" customWidth="1"/>
    <col min="10757" max="10757" width="10.28515625" style="331" customWidth="1"/>
    <col min="10758" max="10758" width="11.28515625" style="331" customWidth="1"/>
    <col min="10759" max="10759" width="11.85546875" style="331" customWidth="1"/>
    <col min="10760" max="10760" width="14.7109375" style="331" customWidth="1"/>
    <col min="10761" max="10761" width="12.7109375" style="331" customWidth="1"/>
    <col min="10762" max="10763" width="4" style="331" bestFit="1" customWidth="1"/>
    <col min="10764" max="10777" width="4" style="331" customWidth="1"/>
    <col min="10778" max="10778" width="7.7109375" style="331" customWidth="1"/>
    <col min="10779" max="10779" width="23.28515625" style="331" customWidth="1"/>
    <col min="10780" max="10780" width="19" style="331" customWidth="1"/>
    <col min="10781" max="10781" width="12.28515625" style="331" customWidth="1"/>
    <col min="10782" max="11010" width="11.28515625" style="331"/>
    <col min="11011" max="11011" width="5.28515625" style="331" customWidth="1"/>
    <col min="11012" max="11012" width="41.28515625" style="331" customWidth="1"/>
    <col min="11013" max="11013" width="10.28515625" style="331" customWidth="1"/>
    <col min="11014" max="11014" width="11.28515625" style="331" customWidth="1"/>
    <col min="11015" max="11015" width="11.85546875" style="331" customWidth="1"/>
    <col min="11016" max="11016" width="14.7109375" style="331" customWidth="1"/>
    <col min="11017" max="11017" width="12.7109375" style="331" customWidth="1"/>
    <col min="11018" max="11019" width="4" style="331" bestFit="1" customWidth="1"/>
    <col min="11020" max="11033" width="4" style="331" customWidth="1"/>
    <col min="11034" max="11034" width="7.7109375" style="331" customWidth="1"/>
    <col min="11035" max="11035" width="23.28515625" style="331" customWidth="1"/>
    <col min="11036" max="11036" width="19" style="331" customWidth="1"/>
    <col min="11037" max="11037" width="12.28515625" style="331" customWidth="1"/>
    <col min="11038" max="11266" width="11.28515625" style="331"/>
    <col min="11267" max="11267" width="5.28515625" style="331" customWidth="1"/>
    <col min="11268" max="11268" width="41.28515625" style="331" customWidth="1"/>
    <col min="11269" max="11269" width="10.28515625" style="331" customWidth="1"/>
    <col min="11270" max="11270" width="11.28515625" style="331" customWidth="1"/>
    <col min="11271" max="11271" width="11.85546875" style="331" customWidth="1"/>
    <col min="11272" max="11272" width="14.7109375" style="331" customWidth="1"/>
    <col min="11273" max="11273" width="12.7109375" style="331" customWidth="1"/>
    <col min="11274" max="11275" width="4" style="331" bestFit="1" customWidth="1"/>
    <col min="11276" max="11289" width="4" style="331" customWidth="1"/>
    <col min="11290" max="11290" width="7.7109375" style="331" customWidth="1"/>
    <col min="11291" max="11291" width="23.28515625" style="331" customWidth="1"/>
    <col min="11292" max="11292" width="19" style="331" customWidth="1"/>
    <col min="11293" max="11293" width="12.28515625" style="331" customWidth="1"/>
    <col min="11294" max="11522" width="11.28515625" style="331"/>
    <col min="11523" max="11523" width="5.28515625" style="331" customWidth="1"/>
    <col min="11524" max="11524" width="41.28515625" style="331" customWidth="1"/>
    <col min="11525" max="11525" width="10.28515625" style="331" customWidth="1"/>
    <col min="11526" max="11526" width="11.28515625" style="331" customWidth="1"/>
    <col min="11527" max="11527" width="11.85546875" style="331" customWidth="1"/>
    <col min="11528" max="11528" width="14.7109375" style="331" customWidth="1"/>
    <col min="11529" max="11529" width="12.7109375" style="331" customWidth="1"/>
    <col min="11530" max="11531" width="4" style="331" bestFit="1" customWidth="1"/>
    <col min="11532" max="11545" width="4" style="331" customWidth="1"/>
    <col min="11546" max="11546" width="7.7109375" style="331" customWidth="1"/>
    <col min="11547" max="11547" width="23.28515625" style="331" customWidth="1"/>
    <col min="11548" max="11548" width="19" style="331" customWidth="1"/>
    <col min="11549" max="11549" width="12.28515625" style="331" customWidth="1"/>
    <col min="11550" max="11778" width="11.28515625" style="331"/>
    <col min="11779" max="11779" width="5.28515625" style="331" customWidth="1"/>
    <col min="11780" max="11780" width="41.28515625" style="331" customWidth="1"/>
    <col min="11781" max="11781" width="10.28515625" style="331" customWidth="1"/>
    <col min="11782" max="11782" width="11.28515625" style="331" customWidth="1"/>
    <col min="11783" max="11783" width="11.85546875" style="331" customWidth="1"/>
    <col min="11784" max="11784" width="14.7109375" style="331" customWidth="1"/>
    <col min="11785" max="11785" width="12.7109375" style="331" customWidth="1"/>
    <col min="11786" max="11787" width="4" style="331" bestFit="1" customWidth="1"/>
    <col min="11788" max="11801" width="4" style="331" customWidth="1"/>
    <col min="11802" max="11802" width="7.7109375" style="331" customWidth="1"/>
    <col min="11803" max="11803" width="23.28515625" style="331" customWidth="1"/>
    <col min="11804" max="11804" width="19" style="331" customWidth="1"/>
    <col min="11805" max="11805" width="12.28515625" style="331" customWidth="1"/>
    <col min="11806" max="12034" width="11.28515625" style="331"/>
    <col min="12035" max="12035" width="5.28515625" style="331" customWidth="1"/>
    <col min="12036" max="12036" width="41.28515625" style="331" customWidth="1"/>
    <col min="12037" max="12037" width="10.28515625" style="331" customWidth="1"/>
    <col min="12038" max="12038" width="11.28515625" style="331" customWidth="1"/>
    <col min="12039" max="12039" width="11.85546875" style="331" customWidth="1"/>
    <col min="12040" max="12040" width="14.7109375" style="331" customWidth="1"/>
    <col min="12041" max="12041" width="12.7109375" style="331" customWidth="1"/>
    <col min="12042" max="12043" width="4" style="331" bestFit="1" customWidth="1"/>
    <col min="12044" max="12057" width="4" style="331" customWidth="1"/>
    <col min="12058" max="12058" width="7.7109375" style="331" customWidth="1"/>
    <col min="12059" max="12059" width="23.28515625" style="331" customWidth="1"/>
    <col min="12060" max="12060" width="19" style="331" customWidth="1"/>
    <col min="12061" max="12061" width="12.28515625" style="331" customWidth="1"/>
    <col min="12062" max="12290" width="11.28515625" style="331"/>
    <col min="12291" max="12291" width="5.28515625" style="331" customWidth="1"/>
    <col min="12292" max="12292" width="41.28515625" style="331" customWidth="1"/>
    <col min="12293" max="12293" width="10.28515625" style="331" customWidth="1"/>
    <col min="12294" max="12294" width="11.28515625" style="331" customWidth="1"/>
    <col min="12295" max="12295" width="11.85546875" style="331" customWidth="1"/>
    <col min="12296" max="12296" width="14.7109375" style="331" customWidth="1"/>
    <col min="12297" max="12297" width="12.7109375" style="331" customWidth="1"/>
    <col min="12298" max="12299" width="4" style="331" bestFit="1" customWidth="1"/>
    <col min="12300" max="12313" width="4" style="331" customWidth="1"/>
    <col min="12314" max="12314" width="7.7109375" style="331" customWidth="1"/>
    <col min="12315" max="12315" width="23.28515625" style="331" customWidth="1"/>
    <col min="12316" max="12316" width="19" style="331" customWidth="1"/>
    <col min="12317" max="12317" width="12.28515625" style="331" customWidth="1"/>
    <col min="12318" max="12546" width="11.28515625" style="331"/>
    <col min="12547" max="12547" width="5.28515625" style="331" customWidth="1"/>
    <col min="12548" max="12548" width="41.28515625" style="331" customWidth="1"/>
    <col min="12549" max="12549" width="10.28515625" style="331" customWidth="1"/>
    <col min="12550" max="12550" width="11.28515625" style="331" customWidth="1"/>
    <col min="12551" max="12551" width="11.85546875" style="331" customWidth="1"/>
    <col min="12552" max="12552" width="14.7109375" style="331" customWidth="1"/>
    <col min="12553" max="12553" width="12.7109375" style="331" customWidth="1"/>
    <col min="12554" max="12555" width="4" style="331" bestFit="1" customWidth="1"/>
    <col min="12556" max="12569" width="4" style="331" customWidth="1"/>
    <col min="12570" max="12570" width="7.7109375" style="331" customWidth="1"/>
    <col min="12571" max="12571" width="23.28515625" style="331" customWidth="1"/>
    <col min="12572" max="12572" width="19" style="331" customWidth="1"/>
    <col min="12573" max="12573" width="12.28515625" style="331" customWidth="1"/>
    <col min="12574" max="12802" width="11.28515625" style="331"/>
    <col min="12803" max="12803" width="5.28515625" style="331" customWidth="1"/>
    <col min="12804" max="12804" width="41.28515625" style="331" customWidth="1"/>
    <col min="12805" max="12805" width="10.28515625" style="331" customWidth="1"/>
    <col min="12806" max="12806" width="11.28515625" style="331" customWidth="1"/>
    <col min="12807" max="12807" width="11.85546875" style="331" customWidth="1"/>
    <col min="12808" max="12808" width="14.7109375" style="331" customWidth="1"/>
    <col min="12809" max="12809" width="12.7109375" style="331" customWidth="1"/>
    <col min="12810" max="12811" width="4" style="331" bestFit="1" customWidth="1"/>
    <col min="12812" max="12825" width="4" style="331" customWidth="1"/>
    <col min="12826" max="12826" width="7.7109375" style="331" customWidth="1"/>
    <col min="12827" max="12827" width="23.28515625" style="331" customWidth="1"/>
    <col min="12828" max="12828" width="19" style="331" customWidth="1"/>
    <col min="12829" max="12829" width="12.28515625" style="331" customWidth="1"/>
    <col min="12830" max="13058" width="11.28515625" style="331"/>
    <col min="13059" max="13059" width="5.28515625" style="331" customWidth="1"/>
    <col min="13060" max="13060" width="41.28515625" style="331" customWidth="1"/>
    <col min="13061" max="13061" width="10.28515625" style="331" customWidth="1"/>
    <col min="13062" max="13062" width="11.28515625" style="331" customWidth="1"/>
    <col min="13063" max="13063" width="11.85546875" style="331" customWidth="1"/>
    <col min="13064" max="13064" width="14.7109375" style="331" customWidth="1"/>
    <col min="13065" max="13065" width="12.7109375" style="331" customWidth="1"/>
    <col min="13066" max="13067" width="4" style="331" bestFit="1" customWidth="1"/>
    <col min="13068" max="13081" width="4" style="331" customWidth="1"/>
    <col min="13082" max="13082" width="7.7109375" style="331" customWidth="1"/>
    <col min="13083" max="13083" width="23.28515625" style="331" customWidth="1"/>
    <col min="13084" max="13084" width="19" style="331" customWidth="1"/>
    <col min="13085" max="13085" width="12.28515625" style="331" customWidth="1"/>
    <col min="13086" max="13314" width="11.28515625" style="331"/>
    <col min="13315" max="13315" width="5.28515625" style="331" customWidth="1"/>
    <col min="13316" max="13316" width="41.28515625" style="331" customWidth="1"/>
    <col min="13317" max="13317" width="10.28515625" style="331" customWidth="1"/>
    <col min="13318" max="13318" width="11.28515625" style="331" customWidth="1"/>
    <col min="13319" max="13319" width="11.85546875" style="331" customWidth="1"/>
    <col min="13320" max="13320" width="14.7109375" style="331" customWidth="1"/>
    <col min="13321" max="13321" width="12.7109375" style="331" customWidth="1"/>
    <col min="13322" max="13323" width="4" style="331" bestFit="1" customWidth="1"/>
    <col min="13324" max="13337" width="4" style="331" customWidth="1"/>
    <col min="13338" max="13338" width="7.7109375" style="331" customWidth="1"/>
    <col min="13339" max="13339" width="23.28515625" style="331" customWidth="1"/>
    <col min="13340" max="13340" width="19" style="331" customWidth="1"/>
    <col min="13341" max="13341" width="12.28515625" style="331" customWidth="1"/>
    <col min="13342" max="13570" width="11.28515625" style="331"/>
    <col min="13571" max="13571" width="5.28515625" style="331" customWidth="1"/>
    <col min="13572" max="13572" width="41.28515625" style="331" customWidth="1"/>
    <col min="13573" max="13573" width="10.28515625" style="331" customWidth="1"/>
    <col min="13574" max="13574" width="11.28515625" style="331" customWidth="1"/>
    <col min="13575" max="13575" width="11.85546875" style="331" customWidth="1"/>
    <col min="13576" max="13576" width="14.7109375" style="331" customWidth="1"/>
    <col min="13577" max="13577" width="12.7109375" style="331" customWidth="1"/>
    <col min="13578" max="13579" width="4" style="331" bestFit="1" customWidth="1"/>
    <col min="13580" max="13593" width="4" style="331" customWidth="1"/>
    <col min="13594" max="13594" width="7.7109375" style="331" customWidth="1"/>
    <col min="13595" max="13595" width="23.28515625" style="331" customWidth="1"/>
    <col min="13596" max="13596" width="19" style="331" customWidth="1"/>
    <col min="13597" max="13597" width="12.28515625" style="331" customWidth="1"/>
    <col min="13598" max="13826" width="11.28515625" style="331"/>
    <col min="13827" max="13827" width="5.28515625" style="331" customWidth="1"/>
    <col min="13828" max="13828" width="41.28515625" style="331" customWidth="1"/>
    <col min="13829" max="13829" width="10.28515625" style="331" customWidth="1"/>
    <col min="13830" max="13830" width="11.28515625" style="331" customWidth="1"/>
    <col min="13831" max="13831" width="11.85546875" style="331" customWidth="1"/>
    <col min="13832" max="13832" width="14.7109375" style="331" customWidth="1"/>
    <col min="13833" max="13833" width="12.7109375" style="331" customWidth="1"/>
    <col min="13834" max="13835" width="4" style="331" bestFit="1" customWidth="1"/>
    <col min="13836" max="13849" width="4" style="331" customWidth="1"/>
    <col min="13850" max="13850" width="7.7109375" style="331" customWidth="1"/>
    <col min="13851" max="13851" width="23.28515625" style="331" customWidth="1"/>
    <col min="13852" max="13852" width="19" style="331" customWidth="1"/>
    <col min="13853" max="13853" width="12.28515625" style="331" customWidth="1"/>
    <col min="13854" max="14082" width="11.28515625" style="331"/>
    <col min="14083" max="14083" width="5.28515625" style="331" customWidth="1"/>
    <col min="14084" max="14084" width="41.28515625" style="331" customWidth="1"/>
    <col min="14085" max="14085" width="10.28515625" style="331" customWidth="1"/>
    <col min="14086" max="14086" width="11.28515625" style="331" customWidth="1"/>
    <col min="14087" max="14087" width="11.85546875" style="331" customWidth="1"/>
    <col min="14088" max="14088" width="14.7109375" style="331" customWidth="1"/>
    <col min="14089" max="14089" width="12.7109375" style="331" customWidth="1"/>
    <col min="14090" max="14091" width="4" style="331" bestFit="1" customWidth="1"/>
    <col min="14092" max="14105" width="4" style="331" customWidth="1"/>
    <col min="14106" max="14106" width="7.7109375" style="331" customWidth="1"/>
    <col min="14107" max="14107" width="23.28515625" style="331" customWidth="1"/>
    <col min="14108" max="14108" width="19" style="331" customWidth="1"/>
    <col min="14109" max="14109" width="12.28515625" style="331" customWidth="1"/>
    <col min="14110" max="14338" width="11.28515625" style="331"/>
    <col min="14339" max="14339" width="5.28515625" style="331" customWidth="1"/>
    <col min="14340" max="14340" width="41.28515625" style="331" customWidth="1"/>
    <col min="14341" max="14341" width="10.28515625" style="331" customWidth="1"/>
    <col min="14342" max="14342" width="11.28515625" style="331" customWidth="1"/>
    <col min="14343" max="14343" width="11.85546875" style="331" customWidth="1"/>
    <col min="14344" max="14344" width="14.7109375" style="331" customWidth="1"/>
    <col min="14345" max="14345" width="12.7109375" style="331" customWidth="1"/>
    <col min="14346" max="14347" width="4" style="331" bestFit="1" customWidth="1"/>
    <col min="14348" max="14361" width="4" style="331" customWidth="1"/>
    <col min="14362" max="14362" width="7.7109375" style="331" customWidth="1"/>
    <col min="14363" max="14363" width="23.28515625" style="331" customWidth="1"/>
    <col min="14364" max="14364" width="19" style="331" customWidth="1"/>
    <col min="14365" max="14365" width="12.28515625" style="331" customWidth="1"/>
    <col min="14366" max="14594" width="11.28515625" style="331"/>
    <col min="14595" max="14595" width="5.28515625" style="331" customWidth="1"/>
    <col min="14596" max="14596" width="41.28515625" style="331" customWidth="1"/>
    <col min="14597" max="14597" width="10.28515625" style="331" customWidth="1"/>
    <col min="14598" max="14598" width="11.28515625" style="331" customWidth="1"/>
    <col min="14599" max="14599" width="11.85546875" style="331" customWidth="1"/>
    <col min="14600" max="14600" width="14.7109375" style="331" customWidth="1"/>
    <col min="14601" max="14601" width="12.7109375" style="331" customWidth="1"/>
    <col min="14602" max="14603" width="4" style="331" bestFit="1" customWidth="1"/>
    <col min="14604" max="14617" width="4" style="331" customWidth="1"/>
    <col min="14618" max="14618" width="7.7109375" style="331" customWidth="1"/>
    <col min="14619" max="14619" width="23.28515625" style="331" customWidth="1"/>
    <col min="14620" max="14620" width="19" style="331" customWidth="1"/>
    <col min="14621" max="14621" width="12.28515625" style="331" customWidth="1"/>
    <col min="14622" max="14850" width="11.28515625" style="331"/>
    <col min="14851" max="14851" width="5.28515625" style="331" customWidth="1"/>
    <col min="14852" max="14852" width="41.28515625" style="331" customWidth="1"/>
    <col min="14853" max="14853" width="10.28515625" style="331" customWidth="1"/>
    <col min="14854" max="14854" width="11.28515625" style="331" customWidth="1"/>
    <col min="14855" max="14855" width="11.85546875" style="331" customWidth="1"/>
    <col min="14856" max="14856" width="14.7109375" style="331" customWidth="1"/>
    <col min="14857" max="14857" width="12.7109375" style="331" customWidth="1"/>
    <col min="14858" max="14859" width="4" style="331" bestFit="1" customWidth="1"/>
    <col min="14860" max="14873" width="4" style="331" customWidth="1"/>
    <col min="14874" max="14874" width="7.7109375" style="331" customWidth="1"/>
    <col min="14875" max="14875" width="23.28515625" style="331" customWidth="1"/>
    <col min="14876" max="14876" width="19" style="331" customWidth="1"/>
    <col min="14877" max="14877" width="12.28515625" style="331" customWidth="1"/>
    <col min="14878" max="15106" width="11.28515625" style="331"/>
    <col min="15107" max="15107" width="5.28515625" style="331" customWidth="1"/>
    <col min="15108" max="15108" width="41.28515625" style="331" customWidth="1"/>
    <col min="15109" max="15109" width="10.28515625" style="331" customWidth="1"/>
    <col min="15110" max="15110" width="11.28515625" style="331" customWidth="1"/>
    <col min="15111" max="15111" width="11.85546875" style="331" customWidth="1"/>
    <col min="15112" max="15112" width="14.7109375" style="331" customWidth="1"/>
    <col min="15113" max="15113" width="12.7109375" style="331" customWidth="1"/>
    <col min="15114" max="15115" width="4" style="331" bestFit="1" customWidth="1"/>
    <col min="15116" max="15129" width="4" style="331" customWidth="1"/>
    <col min="15130" max="15130" width="7.7109375" style="331" customWidth="1"/>
    <col min="15131" max="15131" width="23.28515625" style="331" customWidth="1"/>
    <col min="15132" max="15132" width="19" style="331" customWidth="1"/>
    <col min="15133" max="15133" width="12.28515625" style="331" customWidth="1"/>
    <col min="15134" max="15362" width="11.28515625" style="331"/>
    <col min="15363" max="15363" width="5.28515625" style="331" customWidth="1"/>
    <col min="15364" max="15364" width="41.28515625" style="331" customWidth="1"/>
    <col min="15365" max="15365" width="10.28515625" style="331" customWidth="1"/>
    <col min="15366" max="15366" width="11.28515625" style="331" customWidth="1"/>
    <col min="15367" max="15367" width="11.85546875" style="331" customWidth="1"/>
    <col min="15368" max="15368" width="14.7109375" style="331" customWidth="1"/>
    <col min="15369" max="15369" width="12.7109375" style="331" customWidth="1"/>
    <col min="15370" max="15371" width="4" style="331" bestFit="1" customWidth="1"/>
    <col min="15372" max="15385" width="4" style="331" customWidth="1"/>
    <col min="15386" max="15386" width="7.7109375" style="331" customWidth="1"/>
    <col min="15387" max="15387" width="23.28515625" style="331" customWidth="1"/>
    <col min="15388" max="15388" width="19" style="331" customWidth="1"/>
    <col min="15389" max="15389" width="12.28515625" style="331" customWidth="1"/>
    <col min="15390" max="15618" width="11.28515625" style="331"/>
    <col min="15619" max="15619" width="5.28515625" style="331" customWidth="1"/>
    <col min="15620" max="15620" width="41.28515625" style="331" customWidth="1"/>
    <col min="15621" max="15621" width="10.28515625" style="331" customWidth="1"/>
    <col min="15622" max="15622" width="11.28515625" style="331" customWidth="1"/>
    <col min="15623" max="15623" width="11.85546875" style="331" customWidth="1"/>
    <col min="15624" max="15624" width="14.7109375" style="331" customWidth="1"/>
    <col min="15625" max="15625" width="12.7109375" style="331" customWidth="1"/>
    <col min="15626" max="15627" width="4" style="331" bestFit="1" customWidth="1"/>
    <col min="15628" max="15641" width="4" style="331" customWidth="1"/>
    <col min="15642" max="15642" width="7.7109375" style="331" customWidth="1"/>
    <col min="15643" max="15643" width="23.28515625" style="331" customWidth="1"/>
    <col min="15644" max="15644" width="19" style="331" customWidth="1"/>
    <col min="15645" max="15645" width="12.28515625" style="331" customWidth="1"/>
    <col min="15646" max="15874" width="11.28515625" style="331"/>
    <col min="15875" max="15875" width="5.28515625" style="331" customWidth="1"/>
    <col min="15876" max="15876" width="41.28515625" style="331" customWidth="1"/>
    <col min="15877" max="15877" width="10.28515625" style="331" customWidth="1"/>
    <col min="15878" max="15878" width="11.28515625" style="331" customWidth="1"/>
    <col min="15879" max="15879" width="11.85546875" style="331" customWidth="1"/>
    <col min="15880" max="15880" width="14.7109375" style="331" customWidth="1"/>
    <col min="15881" max="15881" width="12.7109375" style="331" customWidth="1"/>
    <col min="15882" max="15883" width="4" style="331" bestFit="1" customWidth="1"/>
    <col min="15884" max="15897" width="4" style="331" customWidth="1"/>
    <col min="15898" max="15898" width="7.7109375" style="331" customWidth="1"/>
    <col min="15899" max="15899" width="23.28515625" style="331" customWidth="1"/>
    <col min="15900" max="15900" width="19" style="331" customWidth="1"/>
    <col min="15901" max="15901" width="12.28515625" style="331" customWidth="1"/>
    <col min="15902" max="16130" width="11.28515625" style="331"/>
    <col min="16131" max="16131" width="5.28515625" style="331" customWidth="1"/>
    <col min="16132" max="16132" width="41.28515625" style="331" customWidth="1"/>
    <col min="16133" max="16133" width="10.28515625" style="331" customWidth="1"/>
    <col min="16134" max="16134" width="11.28515625" style="331" customWidth="1"/>
    <col min="16135" max="16135" width="11.85546875" style="331" customWidth="1"/>
    <col min="16136" max="16136" width="14.7109375" style="331" customWidth="1"/>
    <col min="16137" max="16137" width="12.7109375" style="331" customWidth="1"/>
    <col min="16138" max="16139" width="4" style="331" bestFit="1" customWidth="1"/>
    <col min="16140" max="16153" width="4" style="331" customWidth="1"/>
    <col min="16154" max="16154" width="7.7109375" style="331" customWidth="1"/>
    <col min="16155" max="16155" width="23.28515625" style="331" customWidth="1"/>
    <col min="16156" max="16156" width="19" style="331" customWidth="1"/>
    <col min="16157" max="16157" width="12.28515625" style="331" customWidth="1"/>
    <col min="16158" max="16384" width="11.28515625" style="331"/>
  </cols>
  <sheetData>
    <row r="1" spans="1:32" ht="30" x14ac:dyDescent="0.4">
      <c r="A1" s="329"/>
      <c r="B1" s="330"/>
      <c r="C1" s="1095" t="s">
        <v>253</v>
      </c>
      <c r="D1" s="1095"/>
      <c r="E1" s="1095"/>
      <c r="F1" s="1095"/>
      <c r="G1" s="1095"/>
      <c r="H1" s="1095"/>
      <c r="I1" s="1095"/>
      <c r="J1" s="1095"/>
      <c r="K1" s="1095"/>
      <c r="L1" s="1095"/>
      <c r="M1" s="1095"/>
      <c r="N1" s="1095"/>
      <c r="O1" s="1095"/>
      <c r="P1" s="1095"/>
      <c r="Q1" s="1095"/>
      <c r="R1" s="1095"/>
      <c r="S1" s="1095"/>
      <c r="T1" s="1095"/>
      <c r="U1" s="1095"/>
      <c r="V1" s="330"/>
      <c r="W1" s="395"/>
    </row>
    <row r="2" spans="1:32" x14ac:dyDescent="0.2">
      <c r="A2" s="332"/>
      <c r="C2" s="1096" t="s">
        <v>254</v>
      </c>
      <c r="D2" s="1096"/>
      <c r="E2" s="1096"/>
      <c r="F2" s="1096"/>
      <c r="G2" s="1096"/>
      <c r="H2" s="1096"/>
      <c r="I2" s="1096"/>
      <c r="J2" s="1096"/>
      <c r="K2" s="1096"/>
      <c r="L2" s="1096"/>
      <c r="M2" s="1096"/>
      <c r="N2" s="1096"/>
      <c r="O2" s="1096"/>
      <c r="P2" s="1096"/>
      <c r="Q2" s="1096"/>
      <c r="R2" s="1096"/>
      <c r="S2" s="1096"/>
      <c r="T2" s="1096"/>
      <c r="U2" s="1096"/>
      <c r="W2" s="396"/>
    </row>
    <row r="3" spans="1:32" ht="69" customHeight="1" thickBot="1" x14ac:dyDescent="0.25">
      <c r="A3" s="334"/>
      <c r="B3" s="335"/>
      <c r="C3" s="1097" t="s">
        <v>255</v>
      </c>
      <c r="D3" s="1097"/>
      <c r="E3" s="1097"/>
      <c r="F3" s="1097"/>
      <c r="G3" s="1097"/>
      <c r="H3" s="1097"/>
      <c r="I3" s="1097"/>
      <c r="J3" s="1097"/>
      <c r="K3" s="1097"/>
      <c r="L3" s="1097"/>
      <c r="M3" s="1097"/>
      <c r="N3" s="1097"/>
      <c r="O3" s="1097"/>
      <c r="P3" s="1097"/>
      <c r="Q3" s="1097"/>
      <c r="R3" s="1097"/>
      <c r="S3" s="1097"/>
      <c r="T3" s="1097"/>
      <c r="U3" s="1097"/>
      <c r="V3" s="335"/>
      <c r="W3" s="397"/>
      <c r="AB3" s="361"/>
    </row>
    <row r="4" spans="1:32" x14ac:dyDescent="0.2">
      <c r="A4" s="1098" t="s">
        <v>256</v>
      </c>
      <c r="B4" s="1098" t="s">
        <v>257</v>
      </c>
      <c r="C4" s="1098" t="s">
        <v>27</v>
      </c>
      <c r="D4" s="1098" t="s">
        <v>258</v>
      </c>
      <c r="E4" s="1099" t="s">
        <v>259</v>
      </c>
      <c r="F4" s="1098" t="s">
        <v>17</v>
      </c>
      <c r="G4" s="1084" t="s">
        <v>260</v>
      </c>
      <c r="H4" s="1098" t="s">
        <v>261</v>
      </c>
      <c r="I4" s="1098"/>
      <c r="J4" s="1098"/>
      <c r="K4" s="1098"/>
      <c r="L4" s="1098"/>
      <c r="M4" s="1098"/>
      <c r="N4" s="1098"/>
      <c r="O4" s="1098"/>
      <c r="P4" s="1098"/>
      <c r="Q4" s="1098"/>
      <c r="R4" s="1098"/>
      <c r="S4" s="1098"/>
      <c r="T4" s="1098"/>
      <c r="U4" s="1098"/>
      <c r="V4" s="1098"/>
      <c r="W4" s="1084" t="s">
        <v>2</v>
      </c>
      <c r="X4" s="414"/>
      <c r="Y4" s="414"/>
      <c r="Z4" s="414"/>
      <c r="AA4" s="414"/>
    </row>
    <row r="5" spans="1:32" ht="35.25" customHeight="1" x14ac:dyDescent="0.2">
      <c r="A5" s="1068"/>
      <c r="B5" s="1068"/>
      <c r="C5" s="1068"/>
      <c r="D5" s="1068"/>
      <c r="E5" s="1094"/>
      <c r="F5" s="1068"/>
      <c r="G5" s="1070"/>
      <c r="H5" s="336">
        <v>1</v>
      </c>
      <c r="I5" s="336">
        <v>2</v>
      </c>
      <c r="J5" s="336">
        <v>3</v>
      </c>
      <c r="K5" s="336">
        <v>4</v>
      </c>
      <c r="L5" s="336">
        <v>5</v>
      </c>
      <c r="M5" s="336">
        <v>6</v>
      </c>
      <c r="N5" s="336">
        <v>7</v>
      </c>
      <c r="O5" s="336">
        <v>8</v>
      </c>
      <c r="P5" s="336">
        <v>9</v>
      </c>
      <c r="Q5" s="336">
        <v>10</v>
      </c>
      <c r="R5" s="336">
        <v>11</v>
      </c>
      <c r="S5" s="336">
        <v>12</v>
      </c>
      <c r="T5" s="336">
        <v>13</v>
      </c>
      <c r="U5" s="336">
        <v>14</v>
      </c>
      <c r="V5" s="336" t="s">
        <v>262</v>
      </c>
      <c r="W5" s="1070"/>
      <c r="X5" s="414"/>
      <c r="Y5" s="414"/>
      <c r="Z5" s="414"/>
      <c r="AA5" s="414"/>
      <c r="AF5" s="360">
        <v>8730000</v>
      </c>
    </row>
    <row r="6" spans="1:32" ht="14.25" customHeight="1" x14ac:dyDescent="0.2">
      <c r="A6" s="337" t="s">
        <v>263</v>
      </c>
      <c r="B6" s="1085" t="s">
        <v>264</v>
      </c>
      <c r="C6" s="1085"/>
      <c r="D6" s="1085"/>
      <c r="E6" s="1085"/>
      <c r="F6" s="1085"/>
      <c r="G6" s="1085"/>
      <c r="H6" s="1085"/>
      <c r="I6" s="1085"/>
      <c r="J6" s="1085"/>
      <c r="K6" s="1085"/>
      <c r="L6" s="1085"/>
      <c r="M6" s="1085"/>
      <c r="N6" s="1085"/>
      <c r="O6" s="1085"/>
      <c r="P6" s="1085"/>
      <c r="Q6" s="1085"/>
      <c r="R6" s="1085"/>
      <c r="S6" s="1085"/>
      <c r="T6" s="1085"/>
      <c r="U6" s="1085"/>
      <c r="V6" s="1085"/>
      <c r="W6" s="1085"/>
      <c r="X6" s="415"/>
      <c r="Y6" s="415"/>
      <c r="Z6" s="415"/>
      <c r="AA6" s="415"/>
      <c r="AF6" s="360">
        <v>4.02E-2</v>
      </c>
    </row>
    <row r="7" spans="1:32" x14ac:dyDescent="0.2">
      <c r="A7" s="338">
        <v>1</v>
      </c>
      <c r="B7" s="339" t="s">
        <v>265</v>
      </c>
      <c r="C7" s="339"/>
      <c r="D7" s="339"/>
      <c r="E7" s="339"/>
      <c r="F7" s="339"/>
      <c r="G7" s="398"/>
      <c r="H7" s="339"/>
      <c r="I7" s="339"/>
      <c r="J7" s="339"/>
      <c r="K7" s="339"/>
      <c r="L7" s="339"/>
      <c r="M7" s="339"/>
      <c r="N7" s="339"/>
      <c r="O7" s="339"/>
      <c r="P7" s="339"/>
      <c r="Q7" s="339"/>
      <c r="R7" s="339"/>
      <c r="S7" s="339"/>
      <c r="T7" s="339"/>
      <c r="U7" s="339"/>
      <c r="V7" s="339"/>
      <c r="W7" s="398"/>
      <c r="X7" s="416"/>
      <c r="Y7" s="416"/>
      <c r="Z7" s="416"/>
      <c r="AA7" s="416"/>
      <c r="AF7" s="360">
        <f>+AF5*(1+AF6)</f>
        <v>9080946</v>
      </c>
    </row>
    <row r="8" spans="1:32" ht="33.75" customHeight="1" x14ac:dyDescent="0.2">
      <c r="A8" s="340" t="s">
        <v>266</v>
      </c>
      <c r="B8" s="341" t="s">
        <v>267</v>
      </c>
      <c r="C8" s="342">
        <v>1</v>
      </c>
      <c r="D8" s="343" t="s">
        <v>268</v>
      </c>
      <c r="E8" s="344">
        <f>G8/F8</f>
        <v>5043017.5063197585</v>
      </c>
      <c r="F8" s="345">
        <v>2.1</v>
      </c>
      <c r="G8" s="409">
        <f>W8/V8</f>
        <v>10590336.763271494</v>
      </c>
      <c r="H8" s="346">
        <v>0.5</v>
      </c>
      <c r="I8" s="346">
        <v>0.5</v>
      </c>
      <c r="J8" s="346">
        <v>0.5</v>
      </c>
      <c r="K8" s="346">
        <v>0.5</v>
      </c>
      <c r="L8" s="346">
        <v>0.5</v>
      </c>
      <c r="M8" s="346">
        <v>0.5</v>
      </c>
      <c r="N8" s="346">
        <v>0.5</v>
      </c>
      <c r="O8" s="346">
        <v>0.5</v>
      </c>
      <c r="P8" s="346">
        <v>0.5</v>
      </c>
      <c r="Q8" s="346">
        <v>0.5</v>
      </c>
      <c r="R8" s="346">
        <v>0.5</v>
      </c>
      <c r="S8" s="346">
        <v>0.5</v>
      </c>
      <c r="T8" s="346">
        <v>0.5</v>
      </c>
      <c r="U8" s="346">
        <v>0.5</v>
      </c>
      <c r="V8" s="347">
        <f>SUM(H8:U8)</f>
        <v>7</v>
      </c>
      <c r="W8" s="399">
        <f>W9</f>
        <v>74132357.342900455</v>
      </c>
      <c r="X8" s="417">
        <v>74132357.342900455</v>
      </c>
      <c r="Y8" s="417"/>
      <c r="Z8" s="417"/>
      <c r="AA8" s="417"/>
    </row>
    <row r="9" spans="1:32" x14ac:dyDescent="0.2">
      <c r="A9" s="1086" t="s">
        <v>269</v>
      </c>
      <c r="B9" s="1086"/>
      <c r="C9" s="1086"/>
      <c r="D9" s="1086"/>
      <c r="E9" s="1086"/>
      <c r="F9" s="1086"/>
      <c r="G9" s="1086"/>
      <c r="H9" s="1086"/>
      <c r="I9" s="1086"/>
      <c r="J9" s="1086"/>
      <c r="K9" s="1086"/>
      <c r="L9" s="1086"/>
      <c r="M9" s="1086"/>
      <c r="N9" s="1086"/>
      <c r="O9" s="1086"/>
      <c r="P9" s="1086"/>
      <c r="Q9" s="1086"/>
      <c r="R9" s="1086"/>
      <c r="S9" s="1086"/>
      <c r="T9" s="1086"/>
      <c r="U9" s="1086"/>
      <c r="V9" s="1086"/>
      <c r="W9" s="400">
        <f>73294200+Z15</f>
        <v>74132357.342900455</v>
      </c>
      <c r="X9" s="418">
        <v>74132357.342900455</v>
      </c>
      <c r="Y9" s="418"/>
      <c r="Z9" s="418"/>
      <c r="AA9" s="418"/>
    </row>
    <row r="10" spans="1:32" x14ac:dyDescent="0.2">
      <c r="A10" s="338">
        <v>2</v>
      </c>
      <c r="B10" s="348" t="s">
        <v>270</v>
      </c>
      <c r="C10" s="339"/>
      <c r="D10" s="339"/>
      <c r="E10" s="339"/>
      <c r="F10" s="339"/>
      <c r="G10" s="398"/>
      <c r="H10" s="339"/>
      <c r="I10" s="339"/>
      <c r="J10" s="339"/>
      <c r="K10" s="339"/>
      <c r="L10" s="339"/>
      <c r="M10" s="339"/>
      <c r="N10" s="339"/>
      <c r="O10" s="339"/>
      <c r="P10" s="339"/>
      <c r="Q10" s="339"/>
      <c r="R10" s="339"/>
      <c r="S10" s="339"/>
      <c r="T10" s="339"/>
      <c r="U10" s="339"/>
      <c r="V10" s="339"/>
      <c r="W10" s="398"/>
      <c r="X10" s="416"/>
      <c r="Y10" s="416"/>
      <c r="Z10" s="416"/>
      <c r="AA10" s="416"/>
    </row>
    <row r="11" spans="1:32" ht="24" customHeight="1" x14ac:dyDescent="0.2">
      <c r="A11" s="340" t="s">
        <v>271</v>
      </c>
      <c r="B11" s="341" t="s">
        <v>272</v>
      </c>
      <c r="C11" s="342">
        <v>1</v>
      </c>
      <c r="D11" s="343" t="s">
        <v>273</v>
      </c>
      <c r="E11" s="344">
        <f>G11/F11</f>
        <v>2593514.5885997987</v>
      </c>
      <c r="F11" s="342">
        <f>F8</f>
        <v>2.1</v>
      </c>
      <c r="G11" s="399">
        <f>W11/V11</f>
        <v>5446380.6360595776</v>
      </c>
      <c r="H11" s="344">
        <v>0.6</v>
      </c>
      <c r="I11" s="344">
        <v>0.6</v>
      </c>
      <c r="J11" s="344">
        <v>0.6</v>
      </c>
      <c r="K11" s="344">
        <v>0.6</v>
      </c>
      <c r="L11" s="344">
        <v>0.6</v>
      </c>
      <c r="M11" s="344">
        <v>0.6</v>
      </c>
      <c r="N11" s="344">
        <v>0.6</v>
      </c>
      <c r="O11" s="344">
        <v>0.6</v>
      </c>
      <c r="P11" s="344">
        <v>0.6</v>
      </c>
      <c r="Q11" s="344">
        <v>0.6</v>
      </c>
      <c r="R11" s="344">
        <v>0.6</v>
      </c>
      <c r="S11" s="344">
        <v>0.6</v>
      </c>
      <c r="T11" s="344">
        <v>0.6</v>
      </c>
      <c r="U11" s="344">
        <v>0.6</v>
      </c>
      <c r="V11" s="347">
        <f>SUM(H11:U11)</f>
        <v>8.3999999999999986</v>
      </c>
      <c r="W11" s="399">
        <f>W12</f>
        <v>45749597.342900448</v>
      </c>
      <c r="X11" s="417">
        <v>45749597.342900448</v>
      </c>
      <c r="Y11" s="417"/>
      <c r="Z11" s="417"/>
      <c r="AA11" s="417"/>
    </row>
    <row r="12" spans="1:32" x14ac:dyDescent="0.2">
      <c r="A12" s="1087" t="s">
        <v>274</v>
      </c>
      <c r="B12" s="1088"/>
      <c r="C12" s="1088"/>
      <c r="D12" s="1088"/>
      <c r="E12" s="1088"/>
      <c r="F12" s="1088"/>
      <c r="G12" s="1088"/>
      <c r="H12" s="1088"/>
      <c r="I12" s="1088"/>
      <c r="J12" s="1088"/>
      <c r="K12" s="1088"/>
      <c r="L12" s="1088"/>
      <c r="M12" s="1088"/>
      <c r="N12" s="1088"/>
      <c r="O12" s="1088"/>
      <c r="P12" s="1088"/>
      <c r="Q12" s="1088"/>
      <c r="R12" s="1088"/>
      <c r="S12" s="1088"/>
      <c r="T12" s="1088"/>
      <c r="U12" s="1088"/>
      <c r="V12" s="1089"/>
      <c r="W12" s="400">
        <f>44911440+Z15</f>
        <v>45749597.342900448</v>
      </c>
      <c r="X12" s="418">
        <v>45749597.342900448</v>
      </c>
      <c r="Y12" s="418"/>
      <c r="Z12" s="418"/>
      <c r="AA12" s="418"/>
    </row>
    <row r="13" spans="1:32" ht="24" customHeight="1" x14ac:dyDescent="0.2">
      <c r="A13" s="338">
        <v>3</v>
      </c>
      <c r="B13" s="348" t="s">
        <v>275</v>
      </c>
      <c r="C13" s="342"/>
      <c r="D13" s="342"/>
      <c r="E13" s="344"/>
      <c r="F13" s="342"/>
      <c r="G13" s="399"/>
      <c r="H13" s="344"/>
      <c r="I13" s="344"/>
      <c r="J13" s="344"/>
      <c r="K13" s="344"/>
      <c r="L13" s="344"/>
      <c r="M13" s="344"/>
      <c r="N13" s="344"/>
      <c r="O13" s="344"/>
      <c r="P13" s="344"/>
      <c r="Q13" s="344"/>
      <c r="R13" s="344"/>
      <c r="S13" s="344"/>
      <c r="T13" s="344"/>
      <c r="U13" s="344"/>
      <c r="V13" s="347"/>
      <c r="W13" s="399"/>
      <c r="X13" s="417"/>
      <c r="Y13" s="417"/>
      <c r="Z13" s="417"/>
      <c r="AA13" s="417"/>
    </row>
    <row r="14" spans="1:32" ht="24" customHeight="1" x14ac:dyDescent="0.2">
      <c r="A14" s="340">
        <v>3.1</v>
      </c>
      <c r="B14" s="341" t="s">
        <v>276</v>
      </c>
      <c r="C14" s="342">
        <v>1</v>
      </c>
      <c r="D14" s="343" t="s">
        <v>277</v>
      </c>
      <c r="E14" s="344">
        <f>G14/F14</f>
        <v>3133271.8828996974</v>
      </c>
      <c r="F14" s="342">
        <v>2.1</v>
      </c>
      <c r="G14" s="399">
        <f>W14/V14</f>
        <v>6579870.954089365</v>
      </c>
      <c r="H14" s="344">
        <v>0.2</v>
      </c>
      <c r="I14" s="344">
        <v>0.2</v>
      </c>
      <c r="J14" s="344">
        <v>0.2</v>
      </c>
      <c r="K14" s="344">
        <v>0.2</v>
      </c>
      <c r="L14" s="344">
        <v>0.2</v>
      </c>
      <c r="M14" s="344">
        <v>0.2</v>
      </c>
      <c r="N14" s="344">
        <v>0.2</v>
      </c>
      <c r="O14" s="344">
        <v>0.2</v>
      </c>
      <c r="P14" s="344">
        <v>0.2</v>
      </c>
      <c r="Q14" s="344">
        <v>0.2</v>
      </c>
      <c r="R14" s="344">
        <v>0.2</v>
      </c>
      <c r="S14" s="344">
        <v>0.2</v>
      </c>
      <c r="T14" s="344">
        <v>0.2</v>
      </c>
      <c r="U14" s="344">
        <v>0.2</v>
      </c>
      <c r="V14" s="347">
        <f>SUM(H14:U14)</f>
        <v>2.8000000000000003</v>
      </c>
      <c r="W14" s="399">
        <f>18004560+Z14</f>
        <v>18423638.671450224</v>
      </c>
      <c r="X14" s="417">
        <v>18423638.671450224</v>
      </c>
      <c r="Y14" s="417"/>
      <c r="Z14" s="417">
        <f>Z15/2</f>
        <v>419078.671450225</v>
      </c>
      <c r="AA14" s="417"/>
    </row>
    <row r="15" spans="1:32" ht="24" customHeight="1" x14ac:dyDescent="0.2">
      <c r="A15" s="340">
        <v>3.2</v>
      </c>
      <c r="B15" s="341" t="s">
        <v>278</v>
      </c>
      <c r="C15" s="342">
        <v>1</v>
      </c>
      <c r="D15" s="343" t="s">
        <v>273</v>
      </c>
      <c r="E15" s="344">
        <f>G15/F15</f>
        <v>2388271.8828996979</v>
      </c>
      <c r="F15" s="342">
        <v>2.1</v>
      </c>
      <c r="G15" s="399">
        <f>W15/V15</f>
        <v>5015370.9540893659</v>
      </c>
      <c r="H15" s="344">
        <v>0.2</v>
      </c>
      <c r="I15" s="344">
        <v>0.2</v>
      </c>
      <c r="J15" s="344">
        <v>0.2</v>
      </c>
      <c r="K15" s="344">
        <v>0.2</v>
      </c>
      <c r="L15" s="344">
        <v>0.2</v>
      </c>
      <c r="M15" s="344">
        <v>0.2</v>
      </c>
      <c r="N15" s="344">
        <v>0.2</v>
      </c>
      <c r="O15" s="344">
        <v>0.2</v>
      </c>
      <c r="P15" s="344">
        <v>0.2</v>
      </c>
      <c r="Q15" s="344">
        <v>0.2</v>
      </c>
      <c r="R15" s="344">
        <v>0.2</v>
      </c>
      <c r="S15" s="344">
        <v>0.2</v>
      </c>
      <c r="T15" s="344">
        <v>0.2</v>
      </c>
      <c r="U15" s="344">
        <v>0.2</v>
      </c>
      <c r="V15" s="347">
        <f>SUM(H15:U15)</f>
        <v>2.8000000000000003</v>
      </c>
      <c r="W15" s="399">
        <f>13623960+Z14</f>
        <v>14043038.671450226</v>
      </c>
      <c r="X15" s="417">
        <v>14043038.671450226</v>
      </c>
      <c r="Y15" s="417"/>
      <c r="Z15" s="417">
        <f>Z19/3</f>
        <v>838157.34290044999</v>
      </c>
      <c r="AA15" s="417"/>
    </row>
    <row r="16" spans="1:32" x14ac:dyDescent="0.2">
      <c r="A16" s="1087" t="s">
        <v>274</v>
      </c>
      <c r="B16" s="1088"/>
      <c r="C16" s="1088"/>
      <c r="D16" s="1088"/>
      <c r="E16" s="1088"/>
      <c r="F16" s="1088"/>
      <c r="G16" s="1088"/>
      <c r="H16" s="1088"/>
      <c r="I16" s="1088"/>
      <c r="J16" s="1088"/>
      <c r="K16" s="1088"/>
      <c r="L16" s="1088"/>
      <c r="M16" s="1088"/>
      <c r="N16" s="1088"/>
      <c r="O16" s="1088"/>
      <c r="P16" s="1088"/>
      <c r="Q16" s="1088"/>
      <c r="R16" s="1088"/>
      <c r="S16" s="1088"/>
      <c r="T16" s="1088"/>
      <c r="U16" s="1088"/>
      <c r="V16" s="1089"/>
      <c r="W16" s="400">
        <f>31628520+Z15</f>
        <v>32466677.342900451</v>
      </c>
      <c r="X16" s="418">
        <v>32466677.342900451</v>
      </c>
      <c r="Y16" s="418"/>
      <c r="Z16" s="418">
        <v>149834160</v>
      </c>
      <c r="AA16" s="418"/>
    </row>
    <row r="17" spans="1:32" ht="12.75" customHeight="1" x14ac:dyDescent="0.2">
      <c r="A17" s="1091"/>
      <c r="B17" s="1092"/>
      <c r="C17" s="1092"/>
      <c r="D17" s="1092"/>
      <c r="E17" s="1092"/>
      <c r="F17" s="1092"/>
      <c r="G17" s="1092"/>
      <c r="H17" s="1092"/>
      <c r="I17" s="1092"/>
      <c r="J17" s="1092"/>
      <c r="K17" s="1092"/>
      <c r="L17" s="1092"/>
      <c r="M17" s="1092"/>
      <c r="N17" s="1092"/>
      <c r="O17" s="1092"/>
      <c r="P17" s="1092"/>
      <c r="Q17" s="1092"/>
      <c r="R17" s="1092"/>
      <c r="S17" s="1092"/>
      <c r="T17" s="1092"/>
      <c r="U17" s="1092"/>
      <c r="V17" s="1092"/>
      <c r="W17" s="1093"/>
      <c r="X17" s="419"/>
      <c r="Y17" s="419"/>
      <c r="Z17" s="419"/>
      <c r="AA17" s="419"/>
    </row>
    <row r="18" spans="1:32" ht="15.75" x14ac:dyDescent="0.2">
      <c r="A18" s="1080" t="s">
        <v>279</v>
      </c>
      <c r="B18" s="1081"/>
      <c r="C18" s="1081"/>
      <c r="D18" s="1081"/>
      <c r="E18" s="1081"/>
      <c r="F18" s="1081"/>
      <c r="G18" s="1081"/>
      <c r="H18" s="1081"/>
      <c r="I18" s="1081"/>
      <c r="J18" s="1081"/>
      <c r="K18" s="1081"/>
      <c r="L18" s="1081"/>
      <c r="M18" s="1081"/>
      <c r="N18" s="1081"/>
      <c r="O18" s="1081"/>
      <c r="P18" s="1081"/>
      <c r="Q18" s="1081"/>
      <c r="R18" s="1081"/>
      <c r="S18" s="1081"/>
      <c r="T18" s="1081"/>
      <c r="U18" s="1081"/>
      <c r="V18" s="1082"/>
      <c r="W18" s="401">
        <f>Z16+Z19</f>
        <v>152348632.02870136</v>
      </c>
      <c r="X18" s="420">
        <v>152348632.02870136</v>
      </c>
      <c r="Y18" s="420"/>
      <c r="Z18" s="420">
        <v>5028944.0574027002</v>
      </c>
      <c r="AA18" s="420">
        <f>W9+W12+W16</f>
        <v>152348632.02870136</v>
      </c>
    </row>
    <row r="19" spans="1:32" ht="14.25" customHeight="1" x14ac:dyDescent="0.2">
      <c r="A19" s="1090"/>
      <c r="B19" s="1090"/>
      <c r="C19" s="1090"/>
      <c r="D19" s="1090"/>
      <c r="E19" s="1090"/>
      <c r="F19" s="1090"/>
      <c r="G19" s="1090"/>
      <c r="H19" s="1090"/>
      <c r="I19" s="1090"/>
      <c r="J19" s="1090"/>
      <c r="K19" s="1090"/>
      <c r="L19" s="1090"/>
      <c r="M19" s="1090"/>
      <c r="N19" s="1090"/>
      <c r="O19" s="1090"/>
      <c r="P19" s="1090"/>
      <c r="Q19" s="1090"/>
      <c r="R19" s="1090"/>
      <c r="S19" s="1090"/>
      <c r="T19" s="1090"/>
      <c r="U19" s="1090"/>
      <c r="V19" s="1090"/>
      <c r="W19" s="1090"/>
      <c r="X19" s="421"/>
      <c r="Y19" s="421"/>
      <c r="Z19" s="422">
        <f>Z18/2</f>
        <v>2514472.0287013501</v>
      </c>
      <c r="AA19" s="422"/>
    </row>
    <row r="20" spans="1:32" x14ac:dyDescent="0.2">
      <c r="A20" s="1068" t="s">
        <v>256</v>
      </c>
      <c r="B20" s="1068" t="s">
        <v>257</v>
      </c>
      <c r="C20" s="1068" t="s">
        <v>27</v>
      </c>
      <c r="D20" s="1068" t="s">
        <v>258</v>
      </c>
      <c r="E20" s="1094" t="str">
        <f>+E4</f>
        <v xml:space="preserve">COSTO MES </v>
      </c>
      <c r="F20" s="1068" t="str">
        <f>+F4</f>
        <v>FACTOR MULTIPLICADOR</v>
      </c>
      <c r="G20" s="1070" t="str">
        <f>+G4</f>
        <v xml:space="preserve">COSTO TOTAL MENSUAL </v>
      </c>
      <c r="H20" s="1068" t="s">
        <v>261</v>
      </c>
      <c r="I20" s="1068"/>
      <c r="J20" s="1068"/>
      <c r="K20" s="1068"/>
      <c r="L20" s="1068"/>
      <c r="M20" s="1068"/>
      <c r="N20" s="1068"/>
      <c r="O20" s="1068"/>
      <c r="P20" s="1068"/>
      <c r="Q20" s="1068"/>
      <c r="R20" s="1068"/>
      <c r="S20" s="1068"/>
      <c r="T20" s="1068"/>
      <c r="U20" s="1068"/>
      <c r="V20" s="1068"/>
      <c r="W20" s="402" t="s">
        <v>280</v>
      </c>
      <c r="X20" s="414"/>
      <c r="Y20" s="414"/>
      <c r="Z20" s="414"/>
      <c r="AA20" s="414"/>
    </row>
    <row r="21" spans="1:32" ht="31.5" customHeight="1" x14ac:dyDescent="0.2">
      <c r="A21" s="1068"/>
      <c r="B21" s="1068"/>
      <c r="C21" s="1068"/>
      <c r="D21" s="1068"/>
      <c r="E21" s="1094"/>
      <c r="F21" s="1068"/>
      <c r="G21" s="1070"/>
      <c r="H21" s="336">
        <v>1</v>
      </c>
      <c r="I21" s="336">
        <v>2</v>
      </c>
      <c r="J21" s="336">
        <v>3</v>
      </c>
      <c r="K21" s="336">
        <v>4</v>
      </c>
      <c r="L21" s="336">
        <v>5</v>
      </c>
      <c r="M21" s="336">
        <v>6</v>
      </c>
      <c r="N21" s="336">
        <v>7</v>
      </c>
      <c r="O21" s="336">
        <f t="shared" ref="O21:U21" si="0">N21+1</f>
        <v>8</v>
      </c>
      <c r="P21" s="336">
        <f t="shared" si="0"/>
        <v>9</v>
      </c>
      <c r="Q21" s="336">
        <f t="shared" si="0"/>
        <v>10</v>
      </c>
      <c r="R21" s="336">
        <f t="shared" si="0"/>
        <v>11</v>
      </c>
      <c r="S21" s="336">
        <f t="shared" si="0"/>
        <v>12</v>
      </c>
      <c r="T21" s="336">
        <f t="shared" si="0"/>
        <v>13</v>
      </c>
      <c r="U21" s="336">
        <f t="shared" si="0"/>
        <v>14</v>
      </c>
      <c r="V21" s="336" t="s">
        <v>262</v>
      </c>
      <c r="W21" s="402" t="s">
        <v>281</v>
      </c>
      <c r="X21" s="414"/>
      <c r="Y21" s="414"/>
      <c r="Z21" s="414"/>
      <c r="AA21" s="414"/>
    </row>
    <row r="22" spans="1:32" ht="15" customHeight="1" x14ac:dyDescent="0.2">
      <c r="A22" s="337" t="s">
        <v>282</v>
      </c>
      <c r="B22" s="1071" t="s">
        <v>283</v>
      </c>
      <c r="C22" s="1072"/>
      <c r="D22" s="1072"/>
      <c r="E22" s="1072"/>
      <c r="F22" s="1072"/>
      <c r="G22" s="1072"/>
      <c r="H22" s="1072"/>
      <c r="I22" s="1072"/>
      <c r="J22" s="1072"/>
      <c r="K22" s="1072"/>
      <c r="L22" s="1072"/>
      <c r="M22" s="1072"/>
      <c r="N22" s="1072"/>
      <c r="O22" s="1072"/>
      <c r="P22" s="1072"/>
      <c r="Q22" s="1072"/>
      <c r="R22" s="1072"/>
      <c r="S22" s="1072"/>
      <c r="T22" s="1072"/>
      <c r="U22" s="1072"/>
      <c r="V22" s="1072"/>
      <c r="W22" s="1073"/>
      <c r="X22" s="415"/>
      <c r="Y22" s="415"/>
      <c r="Z22" s="415"/>
      <c r="AA22" s="415"/>
    </row>
    <row r="23" spans="1:32" ht="17.25" customHeight="1" x14ac:dyDescent="0.2">
      <c r="A23" s="340" t="s">
        <v>284</v>
      </c>
      <c r="B23" s="349" t="s">
        <v>285</v>
      </c>
      <c r="C23" s="342">
        <v>1</v>
      </c>
      <c r="D23" s="342" t="s">
        <v>286</v>
      </c>
      <c r="E23" s="344">
        <f>G23/F23</f>
        <v>1544763.1297398186</v>
      </c>
      <c r="F23" s="345">
        <f>F11</f>
        <v>2.1</v>
      </c>
      <c r="G23" s="410">
        <f>W23/V23</f>
        <v>3244002.5724536194</v>
      </c>
      <c r="H23" s="346">
        <v>0.5</v>
      </c>
      <c r="I23" s="346">
        <v>0.5</v>
      </c>
      <c r="J23" s="346">
        <v>0.5</v>
      </c>
      <c r="K23" s="346">
        <v>0.5</v>
      </c>
      <c r="L23" s="346">
        <v>0.5</v>
      </c>
      <c r="M23" s="346">
        <v>0.5</v>
      </c>
      <c r="N23" s="346">
        <v>0.5</v>
      </c>
      <c r="O23" s="346">
        <v>0.5</v>
      </c>
      <c r="P23" s="346">
        <v>0.5</v>
      </c>
      <c r="Q23" s="346">
        <v>0.5</v>
      </c>
      <c r="R23" s="346">
        <v>0.5</v>
      </c>
      <c r="S23" s="346">
        <v>0.5</v>
      </c>
      <c r="T23" s="346">
        <v>0.5</v>
      </c>
      <c r="U23" s="346">
        <v>0.5</v>
      </c>
      <c r="V23" s="347">
        <f>SUM(H23:U23)</f>
        <v>7</v>
      </c>
      <c r="W23" s="403">
        <f>22079400+Z26</f>
        <v>22708018.007175338</v>
      </c>
      <c r="X23" s="423">
        <v>22708018.007175338</v>
      </c>
      <c r="Y23" s="423"/>
      <c r="Z23" s="423"/>
      <c r="AA23" s="423"/>
    </row>
    <row r="24" spans="1:32" ht="16.5" customHeight="1" x14ac:dyDescent="0.2">
      <c r="A24" s="340" t="s">
        <v>287</v>
      </c>
      <c r="B24" s="349" t="s">
        <v>288</v>
      </c>
      <c r="C24" s="342">
        <v>2</v>
      </c>
      <c r="D24" s="342" t="s">
        <v>286</v>
      </c>
      <c r="E24" s="344">
        <f>G24/F24</f>
        <v>1541912.2544238309</v>
      </c>
      <c r="F24" s="345">
        <f>F11</f>
        <v>2.1</v>
      </c>
      <c r="G24" s="410">
        <f>W24/V24</f>
        <v>3238015.7342900452</v>
      </c>
      <c r="H24" s="346">
        <v>1</v>
      </c>
      <c r="I24" s="346">
        <v>1</v>
      </c>
      <c r="J24" s="346">
        <v>1</v>
      </c>
      <c r="K24" s="346">
        <v>1</v>
      </c>
      <c r="L24" s="346">
        <v>1</v>
      </c>
      <c r="M24" s="346">
        <v>1</v>
      </c>
      <c r="N24" s="346">
        <v>1</v>
      </c>
      <c r="O24" s="346">
        <v>0.5</v>
      </c>
      <c r="P24" s="346">
        <v>0</v>
      </c>
      <c r="Q24" s="346">
        <v>0</v>
      </c>
      <c r="R24" s="346">
        <v>0</v>
      </c>
      <c r="S24" s="346">
        <v>0</v>
      </c>
      <c r="T24" s="346">
        <v>0</v>
      </c>
      <c r="U24" s="346">
        <v>0</v>
      </c>
      <c r="V24" s="347">
        <f>SUM(H24:U24)</f>
        <v>7.5</v>
      </c>
      <c r="W24" s="403">
        <f>23656500+Z26</f>
        <v>24285118.007175338</v>
      </c>
      <c r="X24" s="423">
        <v>24285118.007175338</v>
      </c>
      <c r="Y24" s="423"/>
      <c r="Z24" s="423"/>
      <c r="AA24" s="423"/>
      <c r="AB24" s="360">
        <f>G24*H24</f>
        <v>3238015.7342900452</v>
      </c>
      <c r="AC24" s="360">
        <f>G24*I24</f>
        <v>3238015.7342900452</v>
      </c>
      <c r="AD24" s="360">
        <f>G24*K24</f>
        <v>3238015.7342900452</v>
      </c>
      <c r="AE24" s="360" t="e">
        <f>G24*#REF!</f>
        <v>#REF!</v>
      </c>
      <c r="AF24" s="362" t="e">
        <f>AE24+AD24+AC24+AB24</f>
        <v>#REF!</v>
      </c>
    </row>
    <row r="25" spans="1:32" ht="16.5" customHeight="1" x14ac:dyDescent="0.2">
      <c r="A25" s="340" t="s">
        <v>289</v>
      </c>
      <c r="B25" s="349" t="s">
        <v>290</v>
      </c>
      <c r="C25" s="342">
        <v>1</v>
      </c>
      <c r="D25" s="342" t="s">
        <v>291</v>
      </c>
      <c r="E25" s="344">
        <f>G25/F25</f>
        <v>1980526.2594796377</v>
      </c>
      <c r="F25" s="345">
        <v>2.1</v>
      </c>
      <c r="G25" s="410">
        <f>W25/V25</f>
        <v>4159105.1449072394</v>
      </c>
      <c r="H25" s="346">
        <v>0.25</v>
      </c>
      <c r="I25" s="346">
        <v>0.25</v>
      </c>
      <c r="J25" s="346">
        <v>0.25</v>
      </c>
      <c r="K25" s="346">
        <v>0.25</v>
      </c>
      <c r="L25" s="346">
        <v>0.25</v>
      </c>
      <c r="M25" s="346">
        <v>0.25</v>
      </c>
      <c r="N25" s="346">
        <v>0.25</v>
      </c>
      <c r="O25" s="346">
        <v>0.25</v>
      </c>
      <c r="P25" s="346">
        <v>0.25</v>
      </c>
      <c r="Q25" s="346">
        <v>0.25</v>
      </c>
      <c r="R25" s="346">
        <v>0.25</v>
      </c>
      <c r="S25" s="346">
        <v>0.25</v>
      </c>
      <c r="T25" s="346">
        <v>0.25</v>
      </c>
      <c r="U25" s="346">
        <v>0.25</v>
      </c>
      <c r="V25" s="347">
        <f>SUM(H25:U25)</f>
        <v>3.5</v>
      </c>
      <c r="W25" s="403">
        <f>13928250+Z26</f>
        <v>14556868.007175338</v>
      </c>
      <c r="X25" s="423">
        <v>14556868.007175338</v>
      </c>
      <c r="Y25" s="423"/>
      <c r="Z25" s="423"/>
      <c r="AA25" s="423"/>
      <c r="AF25" s="362"/>
    </row>
    <row r="26" spans="1:32" ht="20.25" customHeight="1" x14ac:dyDescent="0.2">
      <c r="A26" s="340" t="s">
        <v>292</v>
      </c>
      <c r="B26" s="349" t="s">
        <v>293</v>
      </c>
      <c r="C26" s="342">
        <v>2</v>
      </c>
      <c r="D26" s="342" t="s">
        <v>286</v>
      </c>
      <c r="E26" s="344">
        <f>G26/F26</f>
        <v>3043912.2544238311</v>
      </c>
      <c r="F26" s="345">
        <f>F24</f>
        <v>2.1</v>
      </c>
      <c r="G26" s="410">
        <f>W26/V26</f>
        <v>6392215.7342900457</v>
      </c>
      <c r="H26" s="346">
        <v>1</v>
      </c>
      <c r="I26" s="346">
        <v>1</v>
      </c>
      <c r="J26" s="346">
        <v>1</v>
      </c>
      <c r="K26" s="346">
        <v>1</v>
      </c>
      <c r="L26" s="346">
        <v>1</v>
      </c>
      <c r="M26" s="346">
        <v>1</v>
      </c>
      <c r="N26" s="346">
        <v>1</v>
      </c>
      <c r="O26" s="346">
        <v>0.5</v>
      </c>
      <c r="P26" s="346">
        <v>0</v>
      </c>
      <c r="Q26" s="346">
        <v>0</v>
      </c>
      <c r="R26" s="346">
        <v>0</v>
      </c>
      <c r="S26" s="346">
        <v>0</v>
      </c>
      <c r="T26" s="346">
        <v>0</v>
      </c>
      <c r="U26" s="346">
        <v>0</v>
      </c>
      <c r="V26" s="347">
        <f>SUM(H26:U26)</f>
        <v>7.5</v>
      </c>
      <c r="W26" s="403">
        <f>47313000+Z26</f>
        <v>47941618.007175341</v>
      </c>
      <c r="X26" s="423">
        <v>47941618.007175341</v>
      </c>
      <c r="Y26" s="423"/>
      <c r="Z26" s="423">
        <f>Z19/4</f>
        <v>628618.00717533752</v>
      </c>
      <c r="AA26" s="423"/>
      <c r="AB26" s="360">
        <f>(G26*H26)*2</f>
        <v>12784431.468580091</v>
      </c>
      <c r="AC26" s="360">
        <f>G26*I26</f>
        <v>6392215.7342900457</v>
      </c>
      <c r="AD26" s="360">
        <f>G26*K26</f>
        <v>6392215.7342900457</v>
      </c>
      <c r="AE26" s="360" t="e">
        <f>G26*#REF!</f>
        <v>#REF!</v>
      </c>
      <c r="AF26" s="362" t="e">
        <f>AE26+AD26+AC26+AB26</f>
        <v>#REF!</v>
      </c>
    </row>
    <row r="27" spans="1:32" x14ac:dyDescent="0.2">
      <c r="A27" s="1074" t="s">
        <v>294</v>
      </c>
      <c r="B27" s="1075"/>
      <c r="C27" s="1075"/>
      <c r="D27" s="1075"/>
      <c r="E27" s="1075"/>
      <c r="F27" s="1075"/>
      <c r="G27" s="1075"/>
      <c r="H27" s="1075"/>
      <c r="I27" s="1075"/>
      <c r="J27" s="1075"/>
      <c r="K27" s="1075"/>
      <c r="L27" s="1075"/>
      <c r="M27" s="1075"/>
      <c r="N27" s="1075"/>
      <c r="O27" s="1075"/>
      <c r="P27" s="1075"/>
      <c r="Q27" s="1075"/>
      <c r="R27" s="1075"/>
      <c r="S27" s="1075"/>
      <c r="T27" s="1075"/>
      <c r="U27" s="1075"/>
      <c r="V27" s="1076"/>
      <c r="W27" s="404">
        <f>Z27+Z19</f>
        <v>109491622.02870135</v>
      </c>
      <c r="X27" s="424">
        <v>109491622.02870135</v>
      </c>
      <c r="Y27" s="424"/>
      <c r="Z27" s="424">
        <v>106977150</v>
      </c>
      <c r="AA27" s="424">
        <f>W23+W24+W25+W26</f>
        <v>109491622.02870135</v>
      </c>
    </row>
    <row r="28" spans="1:32" ht="10.5" customHeight="1" x14ac:dyDescent="0.2">
      <c r="A28" s="1077"/>
      <c r="B28" s="1078"/>
      <c r="C28" s="1078"/>
      <c r="D28" s="1078"/>
      <c r="E28" s="1078"/>
      <c r="F28" s="1078"/>
      <c r="G28" s="1078"/>
      <c r="H28" s="1078"/>
      <c r="I28" s="1078"/>
      <c r="J28" s="1078"/>
      <c r="K28" s="1078"/>
      <c r="L28" s="1078"/>
      <c r="M28" s="1078"/>
      <c r="N28" s="1078"/>
      <c r="O28" s="1078"/>
      <c r="P28" s="1078"/>
      <c r="Q28" s="1078"/>
      <c r="R28" s="1078"/>
      <c r="S28" s="1078"/>
      <c r="T28" s="1078"/>
      <c r="U28" s="1078"/>
      <c r="V28" s="1078"/>
      <c r="W28" s="1079"/>
      <c r="X28" s="421"/>
      <c r="Y28" s="425">
        <f>Y29/2</f>
        <v>1986164.2499998957</v>
      </c>
      <c r="Z28" s="425">
        <f>W29-Z29</f>
        <v>9001272.5574025214</v>
      </c>
      <c r="AA28" s="421"/>
    </row>
    <row r="29" spans="1:32" ht="15.75" x14ac:dyDescent="0.2">
      <c r="A29" s="1080" t="s">
        <v>295</v>
      </c>
      <c r="B29" s="1081"/>
      <c r="C29" s="1081"/>
      <c r="D29" s="1081"/>
      <c r="E29" s="1081"/>
      <c r="F29" s="1081"/>
      <c r="G29" s="1081"/>
      <c r="H29" s="1081"/>
      <c r="I29" s="1081"/>
      <c r="J29" s="1081"/>
      <c r="K29" s="1081"/>
      <c r="L29" s="1081"/>
      <c r="M29" s="1081"/>
      <c r="N29" s="1081"/>
      <c r="O29" s="1081"/>
      <c r="P29" s="1081"/>
      <c r="Q29" s="1081"/>
      <c r="R29" s="1081"/>
      <c r="S29" s="1081"/>
      <c r="T29" s="1081"/>
      <c r="U29" s="1081"/>
      <c r="V29" s="1082"/>
      <c r="W29" s="405">
        <f>X29+Y39</f>
        <v>265812582.55740252</v>
      </c>
      <c r="X29" s="426">
        <v>261840254.05740273</v>
      </c>
      <c r="Y29" s="426">
        <f>W29-X29</f>
        <v>3972328.4999997914</v>
      </c>
      <c r="Z29" s="426">
        <v>256811310</v>
      </c>
      <c r="AA29" s="426">
        <v>261840254.0574027</v>
      </c>
    </row>
    <row r="30" spans="1:32" ht="13.5" customHeight="1" x14ac:dyDescent="0.2">
      <c r="A30" s="1090"/>
      <c r="B30" s="1090"/>
      <c r="C30" s="1090"/>
      <c r="D30" s="1090"/>
      <c r="E30" s="1090"/>
      <c r="F30" s="1090"/>
      <c r="G30" s="1090"/>
      <c r="H30" s="1090"/>
      <c r="I30" s="1090"/>
      <c r="J30" s="1090"/>
      <c r="K30" s="1090"/>
      <c r="L30" s="1090"/>
      <c r="M30" s="1090"/>
      <c r="N30" s="1090"/>
      <c r="O30" s="1090"/>
      <c r="P30" s="1090"/>
      <c r="Q30" s="1090"/>
      <c r="R30" s="1090"/>
      <c r="S30" s="1090"/>
      <c r="T30" s="1090"/>
      <c r="U30" s="1090"/>
      <c r="V30" s="1090"/>
      <c r="W30" s="1090"/>
      <c r="X30" s="421"/>
      <c r="Y30" s="421"/>
      <c r="Z30" s="421"/>
      <c r="AA30" s="421"/>
    </row>
    <row r="31" spans="1:32" ht="24" hidden="1" customHeight="1" x14ac:dyDescent="0.2">
      <c r="A31" s="1083"/>
      <c r="B31" s="1083"/>
      <c r="C31" s="1083"/>
      <c r="D31" s="1083"/>
      <c r="E31" s="1083"/>
      <c r="F31" s="1083"/>
      <c r="G31" s="1083"/>
      <c r="H31" s="1083"/>
      <c r="I31" s="1083"/>
      <c r="J31" s="1083"/>
      <c r="K31" s="1083"/>
      <c r="L31" s="1083"/>
      <c r="M31" s="1083"/>
      <c r="N31" s="1083"/>
      <c r="O31" s="1083"/>
      <c r="P31" s="1083"/>
      <c r="Q31" s="1083"/>
      <c r="R31" s="1083"/>
      <c r="S31" s="1083"/>
      <c r="T31" s="1083"/>
      <c r="U31" s="1083"/>
      <c r="V31" s="1083"/>
      <c r="W31" s="1083"/>
      <c r="X31" s="421"/>
      <c r="Y31" s="421"/>
      <c r="Z31" s="421"/>
      <c r="AA31" s="421"/>
    </row>
    <row r="32" spans="1:32" ht="17.25" customHeight="1" x14ac:dyDescent="0.2">
      <c r="A32" s="1065" t="s">
        <v>296</v>
      </c>
      <c r="B32" s="1066"/>
      <c r="C32" s="1066"/>
      <c r="D32" s="1066"/>
      <c r="E32" s="1066"/>
      <c r="F32" s="1066"/>
      <c r="G32" s="1066"/>
      <c r="H32" s="1066"/>
      <c r="I32" s="1066"/>
      <c r="J32" s="1066"/>
      <c r="K32" s="1066"/>
      <c r="L32" s="1066"/>
      <c r="M32" s="1066"/>
      <c r="N32" s="1066"/>
      <c r="O32" s="1066"/>
      <c r="P32" s="1066"/>
      <c r="Q32" s="1066"/>
      <c r="R32" s="1066"/>
      <c r="S32" s="1066"/>
      <c r="T32" s="1066"/>
      <c r="U32" s="1066"/>
      <c r="V32" s="1066"/>
      <c r="W32" s="1067"/>
      <c r="X32" s="427"/>
      <c r="Y32" s="427"/>
      <c r="Z32" s="427"/>
      <c r="AA32" s="427"/>
    </row>
    <row r="33" spans="1:32" x14ac:dyDescent="0.2">
      <c r="A33" s="1068" t="s">
        <v>53</v>
      </c>
      <c r="B33" s="1068" t="s">
        <v>257</v>
      </c>
      <c r="C33" s="1068" t="s">
        <v>27</v>
      </c>
      <c r="D33" s="1068" t="s">
        <v>0</v>
      </c>
      <c r="E33" s="1069"/>
      <c r="F33" s="1068"/>
      <c r="G33" s="1070" t="s">
        <v>297</v>
      </c>
      <c r="H33" s="1068" t="s">
        <v>261</v>
      </c>
      <c r="I33" s="1068"/>
      <c r="J33" s="1068"/>
      <c r="K33" s="1068"/>
      <c r="L33" s="1068"/>
      <c r="M33" s="1068"/>
      <c r="N33" s="1068"/>
      <c r="O33" s="1068"/>
      <c r="P33" s="1068"/>
      <c r="Q33" s="1068"/>
      <c r="R33" s="1068"/>
      <c r="S33" s="1068"/>
      <c r="T33" s="1068"/>
      <c r="U33" s="1068"/>
      <c r="V33" s="1068"/>
      <c r="W33" s="402" t="s">
        <v>280</v>
      </c>
      <c r="X33" s="414"/>
      <c r="Y33" s="414">
        <f>W29+W41</f>
        <v>310338190.11480498</v>
      </c>
      <c r="Z33" s="414"/>
      <c r="AA33" s="414"/>
      <c r="AB33" s="363">
        <f>W29+W41</f>
        <v>310338190.11480498</v>
      </c>
    </row>
    <row r="34" spans="1:32" ht="24" x14ac:dyDescent="0.2">
      <c r="A34" s="1068"/>
      <c r="B34" s="1068"/>
      <c r="C34" s="1068"/>
      <c r="D34" s="1068"/>
      <c r="E34" s="1069"/>
      <c r="F34" s="1068"/>
      <c r="G34" s="1070"/>
      <c r="H34" s="336">
        <v>1</v>
      </c>
      <c r="I34" s="336">
        <v>2</v>
      </c>
      <c r="J34" s="336">
        <v>3</v>
      </c>
      <c r="K34" s="336">
        <v>4</v>
      </c>
      <c r="L34" s="336">
        <v>5</v>
      </c>
      <c r="M34" s="336">
        <v>6</v>
      </c>
      <c r="N34" s="336">
        <f>M34+1</f>
        <v>7</v>
      </c>
      <c r="O34" s="336">
        <f t="shared" ref="O34:U34" si="1">N34+1</f>
        <v>8</v>
      </c>
      <c r="P34" s="336">
        <f t="shared" si="1"/>
        <v>9</v>
      </c>
      <c r="Q34" s="336">
        <f t="shared" si="1"/>
        <v>10</v>
      </c>
      <c r="R34" s="336">
        <f t="shared" si="1"/>
        <v>11</v>
      </c>
      <c r="S34" s="336">
        <f t="shared" si="1"/>
        <v>12</v>
      </c>
      <c r="T34" s="336">
        <f t="shared" si="1"/>
        <v>13</v>
      </c>
      <c r="U34" s="336">
        <f t="shared" si="1"/>
        <v>14</v>
      </c>
      <c r="V34" s="336" t="s">
        <v>262</v>
      </c>
      <c r="W34" s="402" t="s">
        <v>281</v>
      </c>
      <c r="X34" s="414"/>
      <c r="Y34" s="414"/>
      <c r="Z34" s="414"/>
      <c r="AA34" s="414"/>
    </row>
    <row r="35" spans="1:32" ht="14.25" customHeight="1" x14ac:dyDescent="0.2">
      <c r="A35" s="337" t="s">
        <v>298</v>
      </c>
      <c r="B35" s="350" t="s">
        <v>299</v>
      </c>
      <c r="C35" s="351"/>
      <c r="D35" s="351"/>
      <c r="E35" s="352"/>
      <c r="F35" s="351"/>
      <c r="G35" s="411"/>
      <c r="H35" s="348"/>
      <c r="I35" s="348"/>
      <c r="J35" s="348"/>
      <c r="K35" s="348"/>
      <c r="L35" s="348"/>
      <c r="M35" s="348"/>
      <c r="N35" s="348"/>
      <c r="O35" s="348"/>
      <c r="P35" s="348"/>
      <c r="Q35" s="348"/>
      <c r="R35" s="348"/>
      <c r="S35" s="348"/>
      <c r="T35" s="348"/>
      <c r="U35" s="348"/>
      <c r="V35" s="351"/>
      <c r="W35" s="406"/>
      <c r="X35" s="428"/>
      <c r="Y35" s="428"/>
      <c r="Z35" s="428"/>
      <c r="AA35" s="428"/>
    </row>
    <row r="36" spans="1:32" ht="22.5" customHeight="1" x14ac:dyDescent="0.2">
      <c r="A36" s="340" t="s">
        <v>300</v>
      </c>
      <c r="B36" s="353" t="s">
        <v>301</v>
      </c>
      <c r="C36" s="343">
        <v>1</v>
      </c>
      <c r="D36" s="343" t="s">
        <v>302</v>
      </c>
      <c r="E36" s="354"/>
      <c r="F36" s="355"/>
      <c r="G36" s="412">
        <f>W36/V36</f>
        <v>2086702.0154834026</v>
      </c>
      <c r="H36" s="346">
        <v>1</v>
      </c>
      <c r="I36" s="346">
        <v>1</v>
      </c>
      <c r="J36" s="346">
        <v>1</v>
      </c>
      <c r="K36" s="346">
        <v>1</v>
      </c>
      <c r="L36" s="346">
        <v>1</v>
      </c>
      <c r="M36" s="346">
        <v>1</v>
      </c>
      <c r="N36" s="346">
        <v>1</v>
      </c>
      <c r="O36" s="346">
        <v>1</v>
      </c>
      <c r="P36" s="346">
        <v>1</v>
      </c>
      <c r="Q36" s="346">
        <v>0</v>
      </c>
      <c r="R36" s="346">
        <v>0</v>
      </c>
      <c r="S36" s="346">
        <v>0</v>
      </c>
      <c r="T36" s="346">
        <v>0</v>
      </c>
      <c r="U36" s="346">
        <v>0</v>
      </c>
      <c r="V36" s="343">
        <v>9</v>
      </c>
      <c r="W36" s="403">
        <f>16530000+Z45</f>
        <v>18780318.139350623</v>
      </c>
      <c r="X36" s="423">
        <v>18780318.139350623</v>
      </c>
      <c r="Y36" s="423">
        <f>W36+W37+W38+W39</f>
        <v>44525607.557402492</v>
      </c>
      <c r="Z36" s="423"/>
      <c r="AA36" s="423"/>
    </row>
    <row r="37" spans="1:32" ht="36" customHeight="1" x14ac:dyDescent="0.2">
      <c r="A37" s="340" t="s">
        <v>303</v>
      </c>
      <c r="B37" s="353" t="s">
        <v>304</v>
      </c>
      <c r="C37" s="343">
        <v>1</v>
      </c>
      <c r="D37" s="343" t="s">
        <v>302</v>
      </c>
      <c r="E37" s="354"/>
      <c r="F37" s="355"/>
      <c r="G37" s="412">
        <f>W37/V37</f>
        <v>510737.0099536159</v>
      </c>
      <c r="H37" s="346">
        <v>1</v>
      </c>
      <c r="I37" s="346">
        <v>1</v>
      </c>
      <c r="J37" s="346">
        <v>1</v>
      </c>
      <c r="K37" s="346">
        <v>1</v>
      </c>
      <c r="L37" s="346">
        <v>1</v>
      </c>
      <c r="M37" s="346">
        <v>1</v>
      </c>
      <c r="N37" s="346">
        <v>1</v>
      </c>
      <c r="O37" s="346">
        <v>1</v>
      </c>
      <c r="P37" s="346">
        <v>1</v>
      </c>
      <c r="Q37" s="346">
        <v>1</v>
      </c>
      <c r="R37" s="346">
        <v>1</v>
      </c>
      <c r="S37" s="346">
        <v>1</v>
      </c>
      <c r="T37" s="346">
        <v>1</v>
      </c>
      <c r="U37" s="346">
        <v>1</v>
      </c>
      <c r="V37" s="343">
        <f>SUM(H37:U37)</f>
        <v>14</v>
      </c>
      <c r="W37" s="403">
        <f>4900000+Z45</f>
        <v>7150318.1393506229</v>
      </c>
      <c r="X37" s="423">
        <v>7150318.1393506229</v>
      </c>
      <c r="Y37" s="423"/>
      <c r="Z37" s="423"/>
      <c r="AA37" s="423"/>
    </row>
    <row r="38" spans="1:32" ht="20.25" customHeight="1" x14ac:dyDescent="0.2">
      <c r="A38" s="340" t="s">
        <v>305</v>
      </c>
      <c r="B38" s="353" t="s">
        <v>306</v>
      </c>
      <c r="C38" s="343">
        <v>1</v>
      </c>
      <c r="D38" s="343" t="s">
        <v>302</v>
      </c>
      <c r="E38" s="354"/>
      <c r="F38" s="355"/>
      <c r="G38" s="412">
        <f>W38/V38</f>
        <v>990737.00995361595</v>
      </c>
      <c r="H38" s="346">
        <v>1</v>
      </c>
      <c r="I38" s="346">
        <v>1</v>
      </c>
      <c r="J38" s="346">
        <v>1</v>
      </c>
      <c r="K38" s="346">
        <v>1</v>
      </c>
      <c r="L38" s="346">
        <v>1</v>
      </c>
      <c r="M38" s="346">
        <v>1</v>
      </c>
      <c r="N38" s="346">
        <v>1</v>
      </c>
      <c r="O38" s="346">
        <v>1</v>
      </c>
      <c r="P38" s="346">
        <v>1</v>
      </c>
      <c r="Q38" s="346">
        <v>1</v>
      </c>
      <c r="R38" s="346">
        <v>1</v>
      </c>
      <c r="S38" s="346">
        <v>1</v>
      </c>
      <c r="T38" s="346">
        <v>1</v>
      </c>
      <c r="U38" s="346">
        <v>1</v>
      </c>
      <c r="V38" s="343">
        <f>SUM(H38:U38)</f>
        <v>14</v>
      </c>
      <c r="W38" s="403">
        <f>11620000+Z45</f>
        <v>13870318.139350623</v>
      </c>
      <c r="X38" s="423">
        <v>13870318.139350623</v>
      </c>
      <c r="Y38" s="423">
        <f>Y39/4</f>
        <v>993082.12499994785</v>
      </c>
      <c r="Z38" s="423">
        <v>35524334.999999993</v>
      </c>
      <c r="AA38" s="423"/>
      <c r="AB38" s="360">
        <f>G38*H38</f>
        <v>990737.00995361595</v>
      </c>
      <c r="AC38" s="360">
        <f>G38*I38</f>
        <v>990737.00995361595</v>
      </c>
      <c r="AD38" s="360">
        <f>G38*K38</f>
        <v>990737.00995361595</v>
      </c>
      <c r="AE38" s="360" t="e">
        <f>G38*#REF!</f>
        <v>#REF!</v>
      </c>
      <c r="AF38" s="362" t="e">
        <f>AE38+AD38+AC38+AB38</f>
        <v>#REF!</v>
      </c>
    </row>
    <row r="39" spans="1:32" ht="31.5" customHeight="1" x14ac:dyDescent="0.2">
      <c r="A39" s="340" t="s">
        <v>305</v>
      </c>
      <c r="B39" s="357" t="s">
        <v>307</v>
      </c>
      <c r="C39" s="343">
        <v>2</v>
      </c>
      <c r="D39" s="355" t="s">
        <v>302</v>
      </c>
      <c r="E39" s="355"/>
      <c r="F39" s="356"/>
      <c r="G39" s="409">
        <f>W39/V39</f>
        <v>337475.22423933021</v>
      </c>
      <c r="H39" s="346">
        <v>1</v>
      </c>
      <c r="I39" s="346">
        <v>1</v>
      </c>
      <c r="J39" s="346">
        <v>1</v>
      </c>
      <c r="K39" s="346">
        <v>1</v>
      </c>
      <c r="L39" s="346">
        <v>1</v>
      </c>
      <c r="M39" s="346">
        <v>1</v>
      </c>
      <c r="N39" s="346">
        <v>1</v>
      </c>
      <c r="O39" s="346">
        <v>1</v>
      </c>
      <c r="P39" s="346">
        <v>1</v>
      </c>
      <c r="Q39" s="346">
        <v>1</v>
      </c>
      <c r="R39" s="346">
        <v>1</v>
      </c>
      <c r="S39" s="346">
        <v>1</v>
      </c>
      <c r="T39" s="346">
        <v>1</v>
      </c>
      <c r="U39" s="346">
        <v>1</v>
      </c>
      <c r="V39" s="343">
        <f>SUM(H39:U39)</f>
        <v>14</v>
      </c>
      <c r="W39" s="403">
        <f>2474335+Z45</f>
        <v>4724653.1393506229</v>
      </c>
      <c r="X39" s="423">
        <v>4724653.1393506229</v>
      </c>
      <c r="Y39" s="423">
        <f>Y40/2</f>
        <v>3972328.4999997914</v>
      </c>
      <c r="Z39" s="423">
        <f>W41+Z44</f>
        <v>53526880.114804976</v>
      </c>
      <c r="AA39" s="423">
        <f>W41+W29</f>
        <v>310338190.11480498</v>
      </c>
      <c r="AB39" s="360">
        <f>G39*H39</f>
        <v>337475.22423933021</v>
      </c>
      <c r="AC39" s="360">
        <f>G39*I39</f>
        <v>337475.22423933021</v>
      </c>
      <c r="AD39" s="360">
        <f>G39*K39</f>
        <v>337475.22423933021</v>
      </c>
      <c r="AE39" s="360" t="e">
        <f>G39*#REF!</f>
        <v>#REF!</v>
      </c>
      <c r="AF39" s="362" t="e">
        <f>AE39+AD39+AC39+AB39</f>
        <v>#REF!</v>
      </c>
    </row>
    <row r="40" spans="1:32" x14ac:dyDescent="0.2">
      <c r="A40" s="340"/>
      <c r="B40" s="353"/>
      <c r="C40" s="343"/>
      <c r="D40" s="343"/>
      <c r="E40" s="354"/>
      <c r="F40" s="355"/>
      <c r="G40" s="412"/>
      <c r="H40" s="346"/>
      <c r="I40" s="346"/>
      <c r="J40" s="346"/>
      <c r="K40" s="346"/>
      <c r="L40" s="346"/>
      <c r="M40" s="346"/>
      <c r="N40" s="346"/>
      <c r="O40" s="346"/>
      <c r="P40" s="346"/>
      <c r="Q40" s="346"/>
      <c r="R40" s="346"/>
      <c r="S40" s="346"/>
      <c r="T40" s="346"/>
      <c r="U40" s="346"/>
      <c r="V40" s="343"/>
      <c r="W40" s="403"/>
      <c r="X40" s="423"/>
      <c r="Y40" s="423">
        <f>W43-Y41</f>
        <v>7944656.9999995828</v>
      </c>
      <c r="Z40" s="423">
        <f>W36+W37+W38+W39</f>
        <v>44525607.557402492</v>
      </c>
      <c r="AA40" s="423"/>
    </row>
    <row r="41" spans="1:32" ht="21" customHeight="1" x14ac:dyDescent="0.2">
      <c r="A41" s="1056" t="s">
        <v>308</v>
      </c>
      <c r="B41" s="1057"/>
      <c r="C41" s="1057"/>
      <c r="D41" s="1057"/>
      <c r="E41" s="1057"/>
      <c r="F41" s="1057"/>
      <c r="G41" s="1057"/>
      <c r="H41" s="1057"/>
      <c r="I41" s="1057"/>
      <c r="J41" s="1057"/>
      <c r="K41" s="1057"/>
      <c r="L41" s="1057"/>
      <c r="M41" s="1057"/>
      <c r="N41" s="1057"/>
      <c r="O41" s="1057"/>
      <c r="P41" s="1057"/>
      <c r="Q41" s="1057"/>
      <c r="R41" s="1057"/>
      <c r="S41" s="1057"/>
      <c r="T41" s="1057"/>
      <c r="U41" s="1057"/>
      <c r="V41" s="1058"/>
      <c r="W41" s="407">
        <f>X41+Y39</f>
        <v>44525607.557402484</v>
      </c>
      <c r="X41" s="429">
        <v>40553279.057402693</v>
      </c>
      <c r="Y41" s="429">
        <f>X29+X41</f>
        <v>302393533.1148054</v>
      </c>
      <c r="Z41" s="429">
        <f>Z29+Z38</f>
        <v>292335645</v>
      </c>
      <c r="AA41" s="429"/>
      <c r="AB41" s="363">
        <v>1030250000</v>
      </c>
      <c r="AC41" s="360">
        <f>AB41*0.07</f>
        <v>72117500</v>
      </c>
    </row>
    <row r="43" spans="1:32" ht="15" x14ac:dyDescent="0.2">
      <c r="A43" s="1056" t="s">
        <v>24</v>
      </c>
      <c r="B43" s="1057"/>
      <c r="C43" s="1057"/>
      <c r="D43" s="1057"/>
      <c r="E43" s="1057"/>
      <c r="F43" s="1057"/>
      <c r="G43" s="1057"/>
      <c r="H43" s="1057"/>
      <c r="I43" s="1057"/>
      <c r="J43" s="1057"/>
      <c r="K43" s="1057"/>
      <c r="L43" s="1057"/>
      <c r="M43" s="1057"/>
      <c r="N43" s="1057"/>
      <c r="O43" s="1057"/>
      <c r="P43" s="1057"/>
      <c r="Q43" s="1057"/>
      <c r="R43" s="1057"/>
      <c r="S43" s="1057"/>
      <c r="T43" s="1057"/>
      <c r="U43" s="1057"/>
      <c r="V43" s="1058"/>
      <c r="W43" s="407">
        <f>AA43</f>
        <v>310338190.11480498</v>
      </c>
      <c r="X43" s="429"/>
      <c r="Y43" s="429"/>
      <c r="Z43" s="429">
        <f>W43-Z41</f>
        <v>18002545.114804983</v>
      </c>
      <c r="AA43" s="429">
        <v>310338190.11480498</v>
      </c>
      <c r="AB43" s="360">
        <v>425420956</v>
      </c>
    </row>
    <row r="44" spans="1:32" ht="15" x14ac:dyDescent="0.2">
      <c r="A44" s="1059" t="s">
        <v>45</v>
      </c>
      <c r="B44" s="1060"/>
      <c r="C44" s="1060"/>
      <c r="D44" s="1060"/>
      <c r="E44" s="1060"/>
      <c r="F44" s="1060"/>
      <c r="G44" s="1060"/>
      <c r="H44" s="1060"/>
      <c r="I44" s="1060"/>
      <c r="J44" s="1060"/>
      <c r="K44" s="1060"/>
      <c r="L44" s="1060"/>
      <c r="M44" s="1060"/>
      <c r="N44" s="1060"/>
      <c r="O44" s="1060"/>
      <c r="P44" s="1060"/>
      <c r="Q44" s="1060"/>
      <c r="R44" s="1060"/>
      <c r="S44" s="1060"/>
      <c r="T44" s="1060"/>
      <c r="U44" s="1060"/>
      <c r="V44" s="1061"/>
      <c r="W44" s="394">
        <f>W43*16%</f>
        <v>49654110.418368801</v>
      </c>
      <c r="X44" s="430"/>
      <c r="Y44" s="430"/>
      <c r="Z44" s="430">
        <f>Z43/2</f>
        <v>9001272.5574024916</v>
      </c>
      <c r="AA44" s="430"/>
      <c r="AB44" s="360">
        <v>68067352.959999993</v>
      </c>
    </row>
    <row r="45" spans="1:32" ht="15" x14ac:dyDescent="0.2">
      <c r="A45" s="1059" t="s">
        <v>309</v>
      </c>
      <c r="B45" s="1060"/>
      <c r="C45" s="1060"/>
      <c r="D45" s="1060"/>
      <c r="E45" s="1060"/>
      <c r="F45" s="1060"/>
      <c r="G45" s="1060"/>
      <c r="H45" s="1060"/>
      <c r="I45" s="1060"/>
      <c r="J45" s="1060"/>
      <c r="K45" s="1060"/>
      <c r="L45" s="1060"/>
      <c r="M45" s="1060"/>
      <c r="N45" s="1060"/>
      <c r="O45" s="1060"/>
      <c r="P45" s="1060"/>
      <c r="Q45" s="1060"/>
      <c r="R45" s="1060"/>
      <c r="S45" s="1060"/>
      <c r="T45" s="1060"/>
      <c r="U45" s="1060"/>
      <c r="V45" s="1061"/>
      <c r="W45" s="394">
        <f>W43+W44</f>
        <v>359992300.5331738</v>
      </c>
      <c r="X45" s="430"/>
      <c r="Y45" s="430">
        <f>W41+W29</f>
        <v>310338190.11480498</v>
      </c>
      <c r="Z45" s="430">
        <f>Z44/4</f>
        <v>2250318.1393506229</v>
      </c>
      <c r="AA45" s="430">
        <f>AA43*16%</f>
        <v>49654110.418368801</v>
      </c>
      <c r="AB45" s="431">
        <v>359992301.32714927</v>
      </c>
      <c r="AC45" s="432">
        <f>AB45*16%</f>
        <v>57598768.212343886</v>
      </c>
      <c r="AD45" s="360">
        <v>589500</v>
      </c>
    </row>
    <row r="46" spans="1:32" ht="54" customHeight="1" x14ac:dyDescent="0.2">
      <c r="A46" s="1062"/>
      <c r="B46" s="1063"/>
      <c r="C46" s="1063"/>
      <c r="D46" s="1063"/>
      <c r="E46" s="1063"/>
      <c r="F46" s="1063"/>
      <c r="G46" s="1063"/>
      <c r="H46" s="1063"/>
      <c r="I46" s="1063"/>
      <c r="J46" s="1063"/>
      <c r="K46" s="1063"/>
      <c r="L46" s="1063"/>
      <c r="M46" s="1063"/>
      <c r="N46" s="1063"/>
      <c r="O46" s="1063"/>
      <c r="P46" s="1063"/>
      <c r="Q46" s="1063"/>
      <c r="R46" s="1063"/>
      <c r="S46" s="1063"/>
      <c r="T46" s="1063"/>
      <c r="U46" s="1063"/>
      <c r="V46" s="1063"/>
      <c r="W46" s="1064"/>
      <c r="X46" s="433"/>
      <c r="Y46" s="433"/>
      <c r="Z46" s="433"/>
      <c r="AA46" s="430">
        <f>AA43+AA45</f>
        <v>359992300.5331738</v>
      </c>
      <c r="AB46" s="363">
        <v>92993671</v>
      </c>
      <c r="AD46" s="360">
        <f>+W45/AD45</f>
        <v>610.6739618883355</v>
      </c>
    </row>
    <row r="47" spans="1:32" x14ac:dyDescent="0.2">
      <c r="AA47" s="413">
        <f>AA46+W44</f>
        <v>409646410.95154262</v>
      </c>
      <c r="AC47" s="362"/>
    </row>
    <row r="48" spans="1:32" ht="26.25" customHeight="1" x14ac:dyDescent="0.2"/>
    <row r="49" spans="2:28" ht="15" x14ac:dyDescent="0.2">
      <c r="B49" s="358"/>
      <c r="AB49" s="364">
        <v>377415225</v>
      </c>
    </row>
    <row r="50" spans="2:28" ht="18" customHeight="1" x14ac:dyDescent="0.2">
      <c r="B50" s="359"/>
      <c r="AB50" s="362">
        <f>AB49-W45</f>
        <v>17422924.4668262</v>
      </c>
    </row>
    <row r="51" spans="2:28" x14ac:dyDescent="0.2">
      <c r="B51" s="333" t="s">
        <v>47</v>
      </c>
    </row>
    <row r="52" spans="2:28" x14ac:dyDescent="0.2">
      <c r="B52" s="333" t="s">
        <v>47</v>
      </c>
    </row>
    <row r="56" spans="2:28" x14ac:dyDescent="0.2">
      <c r="G56" s="413">
        <f>3219*0.06</f>
        <v>193.14</v>
      </c>
    </row>
  </sheetData>
  <mergeCells count="47">
    <mergeCell ref="A16:V16"/>
    <mergeCell ref="C1:U1"/>
    <mergeCell ref="C2:U2"/>
    <mergeCell ref="C3:U3"/>
    <mergeCell ref="A4:A5"/>
    <mergeCell ref="B4:B5"/>
    <mergeCell ref="C4:C5"/>
    <mergeCell ref="D4:D5"/>
    <mergeCell ref="E4:E5"/>
    <mergeCell ref="F4:F5"/>
    <mergeCell ref="G4:G5"/>
    <mergeCell ref="H4:V4"/>
    <mergeCell ref="W4:W5"/>
    <mergeCell ref="B6:W6"/>
    <mergeCell ref="A9:V9"/>
    <mergeCell ref="A12:V12"/>
    <mergeCell ref="A30:W30"/>
    <mergeCell ref="A17:W17"/>
    <mergeCell ref="A18:V18"/>
    <mergeCell ref="A19:W19"/>
    <mergeCell ref="A20:A21"/>
    <mergeCell ref="B20:B21"/>
    <mergeCell ref="C20:C21"/>
    <mergeCell ref="D20:D21"/>
    <mergeCell ref="E20:E21"/>
    <mergeCell ref="F20:F21"/>
    <mergeCell ref="G20:G21"/>
    <mergeCell ref="H20:V20"/>
    <mergeCell ref="B22:W22"/>
    <mergeCell ref="A27:V27"/>
    <mergeCell ref="A28:W28"/>
    <mergeCell ref="A29:V29"/>
    <mergeCell ref="A31:W31"/>
    <mergeCell ref="A32:W32"/>
    <mergeCell ref="A33:A34"/>
    <mergeCell ref="B33:B34"/>
    <mergeCell ref="C33:C34"/>
    <mergeCell ref="D33:D34"/>
    <mergeCell ref="E33:E34"/>
    <mergeCell ref="F33:F34"/>
    <mergeCell ref="G33:G34"/>
    <mergeCell ref="H33:V33"/>
    <mergeCell ref="A41:V41"/>
    <mergeCell ref="A43:V43"/>
    <mergeCell ref="A44:V44"/>
    <mergeCell ref="A45:V45"/>
    <mergeCell ref="A46:W46"/>
  </mergeCells>
  <printOptions horizontalCentered="1"/>
  <pageMargins left="0.70866141732283461" right="0.70866141732283461" top="0.74803149606299213" bottom="0.74803149606299213" header="0.31496062992125984" footer="0.31496062992125984"/>
  <pageSetup scale="6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249977111117893"/>
    <pageSetUpPr fitToPage="1"/>
  </sheetPr>
  <dimension ref="A1:S48"/>
  <sheetViews>
    <sheetView topLeftCell="C1" zoomScale="60" zoomScaleNormal="60" workbookViewId="0">
      <selection activeCell="L15" sqref="L15"/>
    </sheetView>
  </sheetViews>
  <sheetFormatPr baseColWidth="10" defaultColWidth="91.28515625" defaultRowHeight="13.5" x14ac:dyDescent="0.25"/>
  <cols>
    <col min="1" max="1" width="18.42578125" style="434" customWidth="1"/>
    <col min="2" max="2" width="21.85546875" style="434" customWidth="1"/>
    <col min="3" max="3" width="34.28515625" style="434" customWidth="1"/>
    <col min="4" max="4" width="19.28515625" style="434" customWidth="1"/>
    <col min="5" max="5" width="28.7109375" style="434" customWidth="1"/>
    <col min="6" max="6" width="9.28515625" style="434" customWidth="1"/>
    <col min="7" max="7" width="4" style="434" customWidth="1"/>
    <col min="8" max="8" width="58.42578125" style="434" customWidth="1"/>
    <col min="9" max="16" width="15.7109375" style="434" customWidth="1"/>
    <col min="17" max="17" width="26" style="434" customWidth="1"/>
    <col min="18" max="18" width="40.28515625" style="434" customWidth="1"/>
    <col min="19" max="16384" width="91.28515625" style="434"/>
  </cols>
  <sheetData>
    <row r="1" spans="1:19" ht="31.15" customHeight="1" x14ac:dyDescent="0.25">
      <c r="A1" s="1125" t="s">
        <v>322</v>
      </c>
      <c r="B1" s="1125"/>
      <c r="C1" s="1125"/>
      <c r="D1" s="1125"/>
      <c r="E1" s="1125"/>
      <c r="F1" s="1125"/>
      <c r="G1" s="1125"/>
      <c r="H1" s="1125"/>
      <c r="I1" s="1125"/>
      <c r="J1" s="1125"/>
      <c r="K1" s="1125"/>
      <c r="L1" s="1125"/>
      <c r="M1" s="1125"/>
      <c r="N1" s="1125"/>
      <c r="O1" s="1125"/>
      <c r="P1" s="1125"/>
      <c r="Q1" s="1125"/>
    </row>
    <row r="2" spans="1:19" ht="25.5" customHeight="1" x14ac:dyDescent="0.25">
      <c r="A2" s="1125" t="s">
        <v>326</v>
      </c>
      <c r="B2" s="1125"/>
      <c r="C2" s="1125"/>
      <c r="D2" s="1125"/>
      <c r="E2" s="1125"/>
      <c r="F2" s="1125"/>
      <c r="G2" s="1125"/>
      <c r="H2" s="1125"/>
      <c r="I2" s="1125"/>
      <c r="J2" s="1125"/>
      <c r="K2" s="1125"/>
      <c r="L2" s="1125"/>
      <c r="M2" s="1125"/>
      <c r="N2" s="1125"/>
      <c r="O2" s="1125"/>
      <c r="P2" s="1125"/>
      <c r="Q2" s="1125"/>
    </row>
    <row r="3" spans="1:19" ht="66" customHeight="1" thickBot="1" x14ac:dyDescent="0.3"/>
    <row r="4" spans="1:19" ht="48.6" customHeight="1" thickBot="1" x14ac:dyDescent="0.3">
      <c r="A4" s="435" t="s">
        <v>221</v>
      </c>
      <c r="B4" s="436" t="s">
        <v>223</v>
      </c>
      <c r="C4" s="436" t="s">
        <v>224</v>
      </c>
      <c r="D4" s="436" t="s">
        <v>329</v>
      </c>
      <c r="E4" s="436" t="s">
        <v>227</v>
      </c>
      <c r="F4" s="436" t="s">
        <v>228</v>
      </c>
      <c r="G4" s="1135" t="s">
        <v>236</v>
      </c>
      <c r="H4" s="1136"/>
      <c r="I4" s="436" t="s">
        <v>183</v>
      </c>
      <c r="J4" s="436" t="s">
        <v>135</v>
      </c>
      <c r="K4" s="436" t="s">
        <v>136</v>
      </c>
      <c r="L4" s="436" t="s">
        <v>137</v>
      </c>
      <c r="M4" s="436" t="s">
        <v>179</v>
      </c>
      <c r="N4" s="436" t="s">
        <v>181</v>
      </c>
      <c r="O4" s="436" t="s">
        <v>138</v>
      </c>
      <c r="P4" s="436" t="s">
        <v>6</v>
      </c>
      <c r="Q4" s="437" t="s">
        <v>180</v>
      </c>
    </row>
    <row r="5" spans="1:19" ht="48.6" customHeight="1" x14ac:dyDescent="0.25">
      <c r="A5" s="1146" t="s">
        <v>326</v>
      </c>
      <c r="B5" s="1109" t="s">
        <v>328</v>
      </c>
      <c r="C5" s="1106" t="s">
        <v>348</v>
      </c>
      <c r="D5" s="1126" t="s">
        <v>330</v>
      </c>
      <c r="E5" s="1137" t="s">
        <v>230</v>
      </c>
      <c r="F5" s="1140">
        <v>1</v>
      </c>
      <c r="G5" s="438">
        <v>1</v>
      </c>
      <c r="H5" s="438" t="s">
        <v>343</v>
      </c>
      <c r="I5" s="1129">
        <v>3</v>
      </c>
      <c r="J5" s="456" t="e">
        <f>#REF!+#REF!*I5</f>
        <v>#REF!</v>
      </c>
      <c r="K5" s="456" t="e">
        <f>#REF!*I5</f>
        <v>#REF!</v>
      </c>
      <c r="L5" s="456" t="e">
        <f>#REF!*37</f>
        <v>#REF!</v>
      </c>
      <c r="M5" s="456"/>
      <c r="N5" s="456"/>
      <c r="O5" s="456" t="e">
        <f>#REF!+#REF!</f>
        <v>#REF!</v>
      </c>
      <c r="P5" s="457" t="e">
        <f>SUM(J5:O5)</f>
        <v>#REF!</v>
      </c>
      <c r="Q5" s="1143" t="e">
        <f>P5+P6+P7+P8</f>
        <v>#REF!</v>
      </c>
    </row>
    <row r="6" spans="1:19" ht="48.6" customHeight="1" x14ac:dyDescent="0.25">
      <c r="A6" s="1147"/>
      <c r="B6" s="1110"/>
      <c r="C6" s="1107"/>
      <c r="D6" s="1127"/>
      <c r="E6" s="1138"/>
      <c r="F6" s="1141"/>
      <c r="G6" s="439">
        <v>2</v>
      </c>
      <c r="H6" s="439" t="s">
        <v>331</v>
      </c>
      <c r="I6" s="1130"/>
      <c r="J6" s="458" t="e">
        <f>#REF!+#REF!*I5</f>
        <v>#REF!</v>
      </c>
      <c r="K6" s="458" t="e">
        <f>#REF!*I5</f>
        <v>#REF!</v>
      </c>
      <c r="L6" s="458"/>
      <c r="M6" s="458"/>
      <c r="N6" s="458"/>
      <c r="O6" s="458" t="e">
        <f>#REF!</f>
        <v>#REF!</v>
      </c>
      <c r="P6" s="459" t="e">
        <f t="shared" ref="P6:P8" si="0">SUM(J6:O6)</f>
        <v>#REF!</v>
      </c>
      <c r="Q6" s="1144"/>
    </row>
    <row r="7" spans="1:19" ht="48.6" customHeight="1" x14ac:dyDescent="0.25">
      <c r="A7" s="1147"/>
      <c r="B7" s="1110"/>
      <c r="C7" s="1107"/>
      <c r="D7" s="1127"/>
      <c r="E7" s="1138"/>
      <c r="F7" s="1141"/>
      <c r="G7" s="439">
        <v>3</v>
      </c>
      <c r="H7" s="439" t="s">
        <v>332</v>
      </c>
      <c r="I7" s="1130"/>
      <c r="J7" s="458" t="e">
        <f>#REF!+#REF!*I5</f>
        <v>#REF!</v>
      </c>
      <c r="K7" s="458" t="e">
        <f>#REF!</f>
        <v>#REF!</v>
      </c>
      <c r="L7" s="458"/>
      <c r="M7" s="458"/>
      <c r="N7" s="458"/>
      <c r="O7" s="458"/>
      <c r="P7" s="459" t="e">
        <f t="shared" si="0"/>
        <v>#REF!</v>
      </c>
      <c r="Q7" s="1144"/>
    </row>
    <row r="8" spans="1:19" ht="48.6" customHeight="1" thickBot="1" x14ac:dyDescent="0.3">
      <c r="A8" s="1147"/>
      <c r="B8" s="1110"/>
      <c r="C8" s="1107"/>
      <c r="D8" s="1128"/>
      <c r="E8" s="1139"/>
      <c r="F8" s="1142"/>
      <c r="G8" s="440">
        <v>4</v>
      </c>
      <c r="H8" s="440" t="s">
        <v>333</v>
      </c>
      <c r="I8" s="1131"/>
      <c r="J8" s="460" t="e">
        <f>#REF!</f>
        <v>#REF!</v>
      </c>
      <c r="K8" s="460"/>
      <c r="L8" s="460"/>
      <c r="M8" s="460" t="e">
        <f>#REF!+#REF!</f>
        <v>#REF!</v>
      </c>
      <c r="N8" s="460"/>
      <c r="O8" s="460"/>
      <c r="P8" s="461" t="e">
        <f t="shared" si="0"/>
        <v>#REF!</v>
      </c>
      <c r="Q8" s="1145"/>
    </row>
    <row r="9" spans="1:19" ht="69.95" customHeight="1" x14ac:dyDescent="0.25">
      <c r="A9" s="1147"/>
      <c r="B9" s="1110"/>
      <c r="C9" s="1107"/>
      <c r="D9" s="1126" t="s">
        <v>338</v>
      </c>
      <c r="E9" s="1137" t="s">
        <v>230</v>
      </c>
      <c r="F9" s="1140">
        <v>1</v>
      </c>
      <c r="G9" s="438">
        <v>1</v>
      </c>
      <c r="H9" s="438" t="s">
        <v>334</v>
      </c>
      <c r="I9" s="1129">
        <v>8</v>
      </c>
      <c r="J9" s="456" t="e">
        <f>#REF!+#REF!+#REF!+#REF!+#REF!+#REF!+#REF!+#REF!+#REF!+#REF!+#REF!*I9</f>
        <v>#REF!</v>
      </c>
      <c r="K9" s="456" t="e">
        <f>#REF!*I9</f>
        <v>#REF!</v>
      </c>
      <c r="L9" s="456" t="e">
        <f>#REF!*37</f>
        <v>#REF!</v>
      </c>
      <c r="M9" s="456"/>
      <c r="N9" s="456"/>
      <c r="O9" s="456" t="e">
        <f>#REF!+#REF!</f>
        <v>#REF!</v>
      </c>
      <c r="P9" s="457" t="e">
        <f>SUM(J9:O9)</f>
        <v>#REF!</v>
      </c>
      <c r="Q9" s="1132" t="e">
        <f>P9+P10+P11</f>
        <v>#REF!</v>
      </c>
    </row>
    <row r="10" spans="1:19" ht="69.95" customHeight="1" x14ac:dyDescent="0.25">
      <c r="A10" s="1147"/>
      <c r="B10" s="1110"/>
      <c r="C10" s="1107"/>
      <c r="D10" s="1127"/>
      <c r="E10" s="1138"/>
      <c r="F10" s="1141"/>
      <c r="G10" s="439">
        <v>2</v>
      </c>
      <c r="H10" s="439" t="s">
        <v>335</v>
      </c>
      <c r="I10" s="1130"/>
      <c r="J10" s="458" t="e">
        <f>#REF!*I9</f>
        <v>#REF!</v>
      </c>
      <c r="K10" s="458"/>
      <c r="L10" s="458"/>
      <c r="M10" s="458"/>
      <c r="N10" s="458" t="e">
        <f>#REF!</f>
        <v>#REF!</v>
      </c>
      <c r="O10" s="458"/>
      <c r="P10" s="474" t="e">
        <f t="shared" ref="P10:P11" si="1">SUM(J10:O10)</f>
        <v>#REF!</v>
      </c>
      <c r="Q10" s="1133"/>
      <c r="R10" s="441">
        <v>2559991201.4161897</v>
      </c>
    </row>
    <row r="11" spans="1:19" ht="69.95" customHeight="1" thickBot="1" x14ac:dyDescent="0.3">
      <c r="A11" s="1147"/>
      <c r="B11" s="1110"/>
      <c r="C11" s="1107"/>
      <c r="D11" s="1128"/>
      <c r="E11" s="1139"/>
      <c r="F11" s="1142"/>
      <c r="G11" s="440">
        <v>3</v>
      </c>
      <c r="H11" s="440" t="s">
        <v>336</v>
      </c>
      <c r="I11" s="1131"/>
      <c r="J11" s="460" t="e">
        <f>#REF!*I9*2</f>
        <v>#REF!</v>
      </c>
      <c r="K11" s="460" t="e">
        <f>#REF!*I9</f>
        <v>#REF!</v>
      </c>
      <c r="L11" s="460"/>
      <c r="M11" s="460"/>
      <c r="N11" s="460"/>
      <c r="O11" s="460" t="e">
        <f>#REF!+#REF!</f>
        <v>#REF!</v>
      </c>
      <c r="P11" s="475" t="e">
        <f t="shared" si="1"/>
        <v>#REF!</v>
      </c>
      <c r="Q11" s="1134"/>
    </row>
    <row r="12" spans="1:19" ht="69.95" customHeight="1" x14ac:dyDescent="0.25">
      <c r="A12" s="1147"/>
      <c r="B12" s="1110"/>
      <c r="C12" s="1107"/>
      <c r="D12" s="1119" t="s">
        <v>337</v>
      </c>
      <c r="E12" s="1117" t="s">
        <v>230</v>
      </c>
      <c r="F12" s="1121">
        <v>1</v>
      </c>
      <c r="G12" s="442">
        <v>1</v>
      </c>
      <c r="H12" s="442" t="s">
        <v>346</v>
      </c>
      <c r="I12" s="1123">
        <v>6</v>
      </c>
      <c r="J12" s="462" t="e">
        <f>#REF!+#REF!+#REF!+#REF!+#REF!+#REF!+#REF!+#REF!+#REF!+#REF!+#REF!+#REF!+#REF!+#REF!+#REF!*I12</f>
        <v>#REF!</v>
      </c>
      <c r="K12" s="462" t="e">
        <f>#REF!+#REF!*I12</f>
        <v>#REF!</v>
      </c>
      <c r="L12" s="462" t="e">
        <f>#REF!*37</f>
        <v>#REF!</v>
      </c>
      <c r="M12" s="462"/>
      <c r="N12" s="462"/>
      <c r="O12" s="462" t="e">
        <f>#REF!+#REF!</f>
        <v>#REF!</v>
      </c>
      <c r="P12" s="459" t="e">
        <f>SUM(J12:O12)</f>
        <v>#REF!</v>
      </c>
      <c r="Q12" s="1112" t="e">
        <f>P12+P13</f>
        <v>#REF!</v>
      </c>
      <c r="S12" s="434" t="s">
        <v>327</v>
      </c>
    </row>
    <row r="13" spans="1:19" ht="69.95" customHeight="1" thickBot="1" x14ac:dyDescent="0.3">
      <c r="A13" s="1147"/>
      <c r="B13" s="1110"/>
      <c r="C13" s="1107"/>
      <c r="D13" s="1120"/>
      <c r="E13" s="1118"/>
      <c r="F13" s="1122"/>
      <c r="G13" s="443">
        <v>2</v>
      </c>
      <c r="H13" s="443" t="s">
        <v>340</v>
      </c>
      <c r="I13" s="1124"/>
      <c r="J13" s="463" t="e">
        <f>#REF!*I12*2</f>
        <v>#REF!</v>
      </c>
      <c r="K13" s="463" t="e">
        <f>#REF!*I12</f>
        <v>#REF!</v>
      </c>
      <c r="L13" s="463"/>
      <c r="M13" s="463"/>
      <c r="N13" s="463"/>
      <c r="O13" s="463" t="e">
        <f>#REF!+#REF!</f>
        <v>#REF!</v>
      </c>
      <c r="P13" s="476" t="e">
        <f t="shared" ref="P13:P15" si="2">SUM(J13:O13)</f>
        <v>#REF!</v>
      </c>
      <c r="Q13" s="1113"/>
    </row>
    <row r="14" spans="1:19" ht="192.6" customHeight="1" thickBot="1" x14ac:dyDescent="0.3">
      <c r="A14" s="1147"/>
      <c r="B14" s="1110"/>
      <c r="C14" s="1108"/>
      <c r="D14" s="444" t="s">
        <v>339</v>
      </c>
      <c r="E14" s="445" t="s">
        <v>230</v>
      </c>
      <c r="F14" s="446">
        <v>1</v>
      </c>
      <c r="G14" s="447">
        <v>1</v>
      </c>
      <c r="H14" s="447" t="s">
        <v>341</v>
      </c>
      <c r="I14" s="464">
        <v>2</v>
      </c>
      <c r="J14" s="465" t="e">
        <f>#REF!+#REF!+#REF!*I14</f>
        <v>#REF!</v>
      </c>
      <c r="K14" s="465"/>
      <c r="L14" s="465"/>
      <c r="M14" s="465"/>
      <c r="N14" s="465"/>
      <c r="O14" s="465" t="e">
        <f>#REF!</f>
        <v>#REF!</v>
      </c>
      <c r="P14" s="477" t="e">
        <f t="shared" si="2"/>
        <v>#REF!</v>
      </c>
      <c r="Q14" s="466" t="e">
        <f>P14</f>
        <v>#REF!</v>
      </c>
    </row>
    <row r="15" spans="1:19" ht="187.15" customHeight="1" thickBot="1" x14ac:dyDescent="0.3">
      <c r="A15" s="1148"/>
      <c r="B15" s="1111"/>
      <c r="C15" s="453" t="s">
        <v>349</v>
      </c>
      <c r="D15" s="454" t="s">
        <v>350</v>
      </c>
      <c r="E15" s="455" t="s">
        <v>342</v>
      </c>
      <c r="F15" s="455">
        <v>12</v>
      </c>
      <c r="G15" s="455">
        <v>1</v>
      </c>
      <c r="H15" s="455" t="s">
        <v>350</v>
      </c>
      <c r="I15" s="467">
        <v>4</v>
      </c>
      <c r="J15" s="468" t="e">
        <f>#REF!+#REF!*I15</f>
        <v>#REF!</v>
      </c>
      <c r="K15" s="468" t="e">
        <f>#REF!*I15</f>
        <v>#REF!</v>
      </c>
      <c r="L15" s="468" t="e">
        <f>#REF!*37</f>
        <v>#REF!</v>
      </c>
      <c r="M15" s="468"/>
      <c r="N15" s="468"/>
      <c r="O15" s="468" t="e">
        <f>#REF!+#REF!+#REF!</f>
        <v>#REF!</v>
      </c>
      <c r="P15" s="478" t="e">
        <f t="shared" si="2"/>
        <v>#REF!</v>
      </c>
      <c r="Q15" s="469" t="e">
        <f>P15</f>
        <v>#REF!</v>
      </c>
    </row>
    <row r="16" spans="1:19" ht="30" customHeight="1" x14ac:dyDescent="0.25">
      <c r="A16" s="448"/>
      <c r="B16" s="449"/>
      <c r="E16" s="450"/>
      <c r="F16" s="450"/>
      <c r="G16" s="450"/>
      <c r="H16" s="450"/>
      <c r="I16" s="470"/>
      <c r="J16" s="1114" t="s">
        <v>323</v>
      </c>
      <c r="K16" s="1115"/>
      <c r="L16" s="1115"/>
      <c r="M16" s="1115"/>
      <c r="N16" s="1115"/>
      <c r="O16" s="1115"/>
      <c r="P16" s="1116"/>
      <c r="Q16" s="471" t="e">
        <f>SUM(Q5:Q15)</f>
        <v>#REF!</v>
      </c>
      <c r="R16" s="451"/>
    </row>
    <row r="17" spans="1:18" ht="30" customHeight="1" x14ac:dyDescent="0.25">
      <c r="A17" s="448"/>
      <c r="B17" s="449"/>
      <c r="E17" s="450"/>
      <c r="F17" s="450"/>
      <c r="G17" s="450"/>
      <c r="H17" s="450"/>
      <c r="I17" s="470"/>
      <c r="J17" s="1100" t="s">
        <v>325</v>
      </c>
      <c r="K17" s="1101"/>
      <c r="L17" s="1101"/>
      <c r="M17" s="1101"/>
      <c r="N17" s="1101"/>
      <c r="O17" s="1101"/>
      <c r="P17" s="1102"/>
      <c r="Q17" s="472" t="e">
        <f>Q16*19%</f>
        <v>#REF!</v>
      </c>
      <c r="R17" s="451"/>
    </row>
    <row r="18" spans="1:18" ht="30" customHeight="1" x14ac:dyDescent="0.25">
      <c r="A18" s="448"/>
      <c r="B18" s="449"/>
      <c r="E18" s="450"/>
      <c r="F18" s="450"/>
      <c r="G18" s="450"/>
      <c r="H18" s="450"/>
      <c r="I18" s="470"/>
      <c r="J18" s="1100" t="s">
        <v>324</v>
      </c>
      <c r="K18" s="1101"/>
      <c r="L18" s="1101"/>
      <c r="M18" s="1101"/>
      <c r="N18" s="1101"/>
      <c r="O18" s="1101"/>
      <c r="P18" s="1102"/>
      <c r="Q18" s="472" t="e">
        <f>Q16+Q17</f>
        <v>#REF!</v>
      </c>
      <c r="R18" s="451"/>
    </row>
    <row r="19" spans="1:18" ht="30" customHeight="1" x14ac:dyDescent="0.25">
      <c r="A19" s="448"/>
      <c r="B19" s="449"/>
      <c r="E19" s="450"/>
      <c r="F19" s="450"/>
      <c r="G19" s="450"/>
      <c r="H19" s="450"/>
      <c r="I19" s="470"/>
      <c r="J19" s="1100" t="s">
        <v>252</v>
      </c>
      <c r="K19" s="1101"/>
      <c r="L19" s="1101"/>
      <c r="M19" s="1101"/>
      <c r="N19" s="1101"/>
      <c r="O19" s="1101"/>
      <c r="P19" s="1102"/>
      <c r="Q19" s="472" t="e">
        <f>Q18*7%</f>
        <v>#REF!</v>
      </c>
    </row>
    <row r="20" spans="1:18" ht="30" customHeight="1" thickBot="1" x14ac:dyDescent="0.3">
      <c r="A20" s="448"/>
      <c r="B20" s="449"/>
      <c r="E20" s="450"/>
      <c r="F20" s="450"/>
      <c r="G20" s="450"/>
      <c r="H20" s="450"/>
      <c r="I20" s="470"/>
      <c r="J20" s="1103" t="s">
        <v>319</v>
      </c>
      <c r="K20" s="1104"/>
      <c r="L20" s="1104"/>
      <c r="M20" s="1104"/>
      <c r="N20" s="1104"/>
      <c r="O20" s="1104"/>
      <c r="P20" s="1105"/>
      <c r="Q20" s="473" t="e">
        <f>Q18+Q19</f>
        <v>#REF!</v>
      </c>
    </row>
    <row r="21" spans="1:18" ht="69.95" customHeight="1" x14ac:dyDescent="0.25">
      <c r="A21" s="448"/>
    </row>
    <row r="22" spans="1:18" ht="69.95" customHeight="1" x14ac:dyDescent="0.25">
      <c r="A22" s="448"/>
    </row>
    <row r="23" spans="1:18" ht="30" customHeight="1" x14ac:dyDescent="0.25">
      <c r="A23" s="448"/>
    </row>
    <row r="24" spans="1:18" ht="57.6" customHeight="1" x14ac:dyDescent="0.25">
      <c r="A24" s="448"/>
    </row>
    <row r="25" spans="1:18" ht="14.45" customHeight="1" x14ac:dyDescent="0.25">
      <c r="A25" s="448"/>
    </row>
    <row r="26" spans="1:18" ht="14.45" customHeight="1" x14ac:dyDescent="0.25">
      <c r="A26" s="448"/>
    </row>
    <row r="27" spans="1:18" ht="18" customHeight="1" x14ac:dyDescent="0.25">
      <c r="A27" s="448"/>
    </row>
    <row r="28" spans="1:18" ht="14.45" customHeight="1" x14ac:dyDescent="0.25">
      <c r="A28" s="448"/>
    </row>
    <row r="29" spans="1:18" ht="14.45" customHeight="1" x14ac:dyDescent="0.25">
      <c r="A29" s="448"/>
    </row>
    <row r="30" spans="1:18" ht="14.45" customHeight="1" x14ac:dyDescent="0.25">
      <c r="A30" s="448"/>
    </row>
    <row r="31" spans="1:18" ht="14.45" customHeight="1" x14ac:dyDescent="0.25">
      <c r="A31" s="448"/>
    </row>
    <row r="32" spans="1:18" ht="14.45" customHeight="1" x14ac:dyDescent="0.25">
      <c r="A32" s="448"/>
    </row>
    <row r="33" spans="1:1" ht="14.45" customHeight="1" x14ac:dyDescent="0.25">
      <c r="A33" s="448"/>
    </row>
    <row r="34" spans="1:1" ht="31.15" customHeight="1" x14ac:dyDescent="0.25">
      <c r="A34" s="448"/>
    </row>
    <row r="35" spans="1:1" ht="34.9" customHeight="1" x14ac:dyDescent="0.25">
      <c r="A35" s="448"/>
    </row>
    <row r="36" spans="1:1" ht="28.9" customHeight="1" x14ac:dyDescent="0.25"/>
    <row r="37" spans="1:1" ht="25.5" customHeight="1" x14ac:dyDescent="0.25"/>
    <row r="38" spans="1:1" ht="26.25" customHeight="1" x14ac:dyDescent="0.25"/>
    <row r="39" spans="1:1" ht="22.5" customHeight="1" x14ac:dyDescent="0.25"/>
    <row r="46" spans="1:1" x14ac:dyDescent="0.25">
      <c r="A46" s="452"/>
    </row>
    <row r="47" spans="1:1" x14ac:dyDescent="0.25">
      <c r="A47" s="452"/>
    </row>
    <row r="48" spans="1:1" x14ac:dyDescent="0.25">
      <c r="A48" s="452"/>
    </row>
  </sheetData>
  <mergeCells count="26">
    <mergeCell ref="A1:Q1"/>
    <mergeCell ref="A2:Q2"/>
    <mergeCell ref="D9:D11"/>
    <mergeCell ref="I9:I11"/>
    <mergeCell ref="Q9:Q11"/>
    <mergeCell ref="G4:H4"/>
    <mergeCell ref="I5:I8"/>
    <mergeCell ref="E9:E11"/>
    <mergeCell ref="F9:F11"/>
    <mergeCell ref="E5:E8"/>
    <mergeCell ref="F5:F8"/>
    <mergeCell ref="D5:D8"/>
    <mergeCell ref="Q5:Q8"/>
    <mergeCell ref="A5:A15"/>
    <mergeCell ref="J19:P19"/>
    <mergeCell ref="J20:P20"/>
    <mergeCell ref="C5:C14"/>
    <mergeCell ref="B5:B15"/>
    <mergeCell ref="Q12:Q13"/>
    <mergeCell ref="J16:P16"/>
    <mergeCell ref="J17:P17"/>
    <mergeCell ref="J18:P18"/>
    <mergeCell ref="E12:E13"/>
    <mergeCell ref="D12:D13"/>
    <mergeCell ref="F12:F13"/>
    <mergeCell ref="I12:I13"/>
  </mergeCells>
  <printOptions horizontalCentered="1" verticalCentered="1"/>
  <pageMargins left="0.23622047244094491" right="0.23622047244094491" top="0.39370078740157483" bottom="0.43307086614173229" header="0.31496062992125984" footer="0.31496062992125984"/>
  <pageSetup paperSize="5" scale="36"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249977111117893"/>
    <pageSetUpPr fitToPage="1"/>
  </sheetPr>
  <dimension ref="A1:Y52"/>
  <sheetViews>
    <sheetView topLeftCell="A4" zoomScale="60" zoomScaleNormal="60" workbookViewId="0">
      <selection activeCell="E13" sqref="E13"/>
    </sheetView>
  </sheetViews>
  <sheetFormatPr baseColWidth="10" defaultColWidth="91.28515625" defaultRowHeight="13.5" x14ac:dyDescent="0.25"/>
  <cols>
    <col min="1" max="1" width="18.42578125" style="434" customWidth="1"/>
    <col min="2" max="2" width="21.85546875" style="434" customWidth="1"/>
    <col min="3" max="3" width="34.28515625" style="434" customWidth="1"/>
    <col min="4" max="4" width="27" style="434" customWidth="1"/>
    <col min="5" max="5" width="72.85546875" style="434" bestFit="1" customWidth="1"/>
    <col min="6" max="6" width="16.42578125" style="434" customWidth="1"/>
    <col min="7" max="7" width="9.28515625" style="434" customWidth="1"/>
    <col min="8" max="14" width="15.7109375" style="434" customWidth="1"/>
    <col min="15" max="15" width="26" style="434" customWidth="1"/>
    <col min="16" max="16" width="40.28515625" style="434" customWidth="1"/>
    <col min="17" max="17" width="24.5703125" style="434" bestFit="1" customWidth="1"/>
    <col min="18" max="19" width="9" style="434" bestFit="1" customWidth="1"/>
    <col min="20" max="20" width="9.28515625" style="434" bestFit="1" customWidth="1"/>
    <col min="21" max="21" width="10.85546875" style="434" bestFit="1" customWidth="1"/>
    <col min="22" max="22" width="9.5703125" style="434" bestFit="1" customWidth="1"/>
    <col min="23" max="23" width="10.85546875" style="434" bestFit="1" customWidth="1"/>
    <col min="24" max="24" width="11.28515625" style="434" bestFit="1" customWidth="1"/>
    <col min="25" max="16384" width="91.28515625" style="434"/>
  </cols>
  <sheetData>
    <row r="1" spans="1:25" ht="31.15" customHeight="1" x14ac:dyDescent="0.25">
      <c r="A1" s="1125" t="s">
        <v>322</v>
      </c>
      <c r="B1" s="1125"/>
      <c r="C1" s="1125"/>
      <c r="D1" s="1125"/>
      <c r="E1" s="1125"/>
      <c r="F1" s="1125"/>
      <c r="G1" s="1125"/>
      <c r="H1" s="1125"/>
      <c r="I1" s="1125"/>
      <c r="J1" s="1125"/>
      <c r="K1" s="1125"/>
      <c r="L1" s="1125"/>
      <c r="M1" s="1125"/>
      <c r="N1" s="1125"/>
      <c r="O1" s="1125"/>
      <c r="Q1" s="441"/>
      <c r="R1" s="441"/>
      <c r="S1" s="441"/>
      <c r="T1" s="441"/>
      <c r="U1" s="441"/>
      <c r="V1" s="441"/>
      <c r="W1" s="441"/>
      <c r="X1" s="441"/>
    </row>
    <row r="2" spans="1:25" ht="25.5" customHeight="1" x14ac:dyDescent="0.25">
      <c r="A2" s="1125" t="s">
        <v>326</v>
      </c>
      <c r="B2" s="1125"/>
      <c r="C2" s="1125"/>
      <c r="D2" s="1125"/>
      <c r="E2" s="1125"/>
      <c r="F2" s="1125"/>
      <c r="G2" s="1125"/>
      <c r="H2" s="1125"/>
      <c r="I2" s="1125"/>
      <c r="J2" s="1125"/>
      <c r="K2" s="1125"/>
      <c r="L2" s="1125"/>
      <c r="M2" s="1125"/>
      <c r="N2" s="1125"/>
      <c r="O2" s="1125"/>
      <c r="Q2" s="441"/>
      <c r="R2" s="441"/>
      <c r="S2" s="441"/>
      <c r="T2" s="441"/>
      <c r="U2" s="441"/>
      <c r="V2" s="441"/>
      <c r="W2" s="441"/>
      <c r="X2" s="441"/>
    </row>
    <row r="3" spans="1:25" ht="66" customHeight="1" thickBot="1" x14ac:dyDescent="0.3">
      <c r="Q3" s="441"/>
      <c r="R3" s="441"/>
      <c r="S3" s="441"/>
      <c r="T3" s="441"/>
      <c r="U3" s="441"/>
      <c r="V3" s="441"/>
      <c r="W3" s="441"/>
      <c r="X3" s="441"/>
    </row>
    <row r="4" spans="1:25" ht="48.6" customHeight="1" thickBot="1" x14ac:dyDescent="0.3">
      <c r="A4" s="490" t="s">
        <v>221</v>
      </c>
      <c r="B4" s="491" t="s">
        <v>223</v>
      </c>
      <c r="C4" s="491" t="s">
        <v>224</v>
      </c>
      <c r="D4" s="491" t="s">
        <v>329</v>
      </c>
      <c r="E4" s="491" t="s">
        <v>353</v>
      </c>
      <c r="F4" s="491" t="s">
        <v>227</v>
      </c>
      <c r="G4" s="491" t="s">
        <v>228</v>
      </c>
      <c r="H4" s="491" t="s">
        <v>183</v>
      </c>
      <c r="I4" s="491" t="s">
        <v>135</v>
      </c>
      <c r="J4" s="491" t="s">
        <v>136</v>
      </c>
      <c r="K4" s="491" t="s">
        <v>137</v>
      </c>
      <c r="L4" s="491" t="s">
        <v>179</v>
      </c>
      <c r="M4" s="491" t="s">
        <v>181</v>
      </c>
      <c r="N4" s="491" t="s">
        <v>138</v>
      </c>
      <c r="O4" s="492" t="s">
        <v>180</v>
      </c>
      <c r="Q4" s="441"/>
      <c r="R4" s="441"/>
      <c r="S4" s="441"/>
      <c r="T4" s="441"/>
      <c r="U4" s="441"/>
      <c r="V4" s="441"/>
      <c r="W4" s="441"/>
      <c r="X4" s="441"/>
    </row>
    <row r="5" spans="1:25" ht="60" customHeight="1" x14ac:dyDescent="0.25">
      <c r="A5" s="1176" t="s">
        <v>326</v>
      </c>
      <c r="B5" s="1179" t="s">
        <v>392</v>
      </c>
      <c r="C5" s="1182" t="s">
        <v>391</v>
      </c>
      <c r="D5" s="1185" t="s">
        <v>352</v>
      </c>
      <c r="E5" s="483" t="s">
        <v>354</v>
      </c>
      <c r="F5" s="1185" t="s">
        <v>230</v>
      </c>
      <c r="G5" s="1185">
        <v>1</v>
      </c>
      <c r="H5" s="1129">
        <v>3</v>
      </c>
      <c r="I5" s="1158">
        <f>Q5+Q6+Q7+Q8</f>
        <v>71500000</v>
      </c>
      <c r="J5" s="1158">
        <f>R5+R6+R7</f>
        <v>11550000.000000002</v>
      </c>
      <c r="K5" s="1158">
        <f>S5</f>
        <v>12950000</v>
      </c>
      <c r="L5" s="1158">
        <f>T8</f>
        <v>86000000</v>
      </c>
      <c r="M5" s="1158"/>
      <c r="N5" s="1158">
        <f>V5+V6</f>
        <v>78000000</v>
      </c>
      <c r="O5" s="1132">
        <f>I5+J5+K5+L5+M5+N5</f>
        <v>260000000</v>
      </c>
      <c r="Q5" s="441">
        <v>23100000.000000004</v>
      </c>
      <c r="R5" s="489">
        <v>4950000.0000000009</v>
      </c>
      <c r="S5" s="489">
        <v>12950000</v>
      </c>
      <c r="T5" s="489"/>
      <c r="U5" s="489"/>
      <c r="V5" s="489">
        <v>43000000</v>
      </c>
      <c r="W5" s="489">
        <v>84000000</v>
      </c>
      <c r="X5" s="489">
        <v>260000000</v>
      </c>
      <c r="Y5" s="482"/>
    </row>
    <row r="6" spans="1:25" ht="60" customHeight="1" x14ac:dyDescent="0.25">
      <c r="A6" s="1177"/>
      <c r="B6" s="1180"/>
      <c r="C6" s="1183"/>
      <c r="D6" s="1160"/>
      <c r="E6" s="484" t="s">
        <v>355</v>
      </c>
      <c r="F6" s="1160"/>
      <c r="G6" s="1160"/>
      <c r="H6" s="1130"/>
      <c r="I6" s="1153"/>
      <c r="J6" s="1153"/>
      <c r="K6" s="1153"/>
      <c r="L6" s="1153"/>
      <c r="M6" s="1153"/>
      <c r="N6" s="1153"/>
      <c r="O6" s="1133"/>
      <c r="Q6" s="441">
        <v>19800000</v>
      </c>
      <c r="R6" s="489">
        <v>4950000.0000000009</v>
      </c>
      <c r="S6" s="489"/>
      <c r="T6" s="489"/>
      <c r="U6" s="489"/>
      <c r="V6" s="489">
        <v>35000000</v>
      </c>
      <c r="W6" s="489">
        <v>59750000</v>
      </c>
      <c r="X6" s="489"/>
      <c r="Y6" s="482"/>
    </row>
    <row r="7" spans="1:25" ht="60" customHeight="1" x14ac:dyDescent="0.25">
      <c r="A7" s="1177"/>
      <c r="B7" s="1180"/>
      <c r="C7" s="1183"/>
      <c r="D7" s="1160"/>
      <c r="E7" s="484" t="s">
        <v>356</v>
      </c>
      <c r="F7" s="1160"/>
      <c r="G7" s="1160"/>
      <c r="H7" s="1130"/>
      <c r="I7" s="1153"/>
      <c r="J7" s="1153"/>
      <c r="K7" s="1153"/>
      <c r="L7" s="1153"/>
      <c r="M7" s="1153"/>
      <c r="N7" s="1153"/>
      <c r="O7" s="1133"/>
      <c r="Q7" s="441">
        <v>20900000</v>
      </c>
      <c r="R7" s="489">
        <v>1650000.0000000002</v>
      </c>
      <c r="S7" s="489"/>
      <c r="T7" s="489"/>
      <c r="U7" s="489"/>
      <c r="V7" s="489"/>
      <c r="W7" s="489">
        <v>22550000</v>
      </c>
      <c r="X7" s="489"/>
      <c r="Y7" s="482"/>
    </row>
    <row r="8" spans="1:25" ht="60" customHeight="1" x14ac:dyDescent="0.25">
      <c r="A8" s="1177"/>
      <c r="B8" s="1180"/>
      <c r="C8" s="1183"/>
      <c r="D8" s="1160"/>
      <c r="E8" s="484" t="s">
        <v>357</v>
      </c>
      <c r="F8" s="1160"/>
      <c r="G8" s="1160"/>
      <c r="H8" s="1130"/>
      <c r="I8" s="1159"/>
      <c r="J8" s="1159"/>
      <c r="K8" s="1159"/>
      <c r="L8" s="1159"/>
      <c r="M8" s="1159"/>
      <c r="N8" s="1159"/>
      <c r="O8" s="1133"/>
      <c r="Q8" s="441">
        <v>7700000.0000000009</v>
      </c>
      <c r="R8" s="489"/>
      <c r="S8" s="489"/>
      <c r="T8" s="489">
        <v>86000000</v>
      </c>
      <c r="U8" s="489"/>
      <c r="V8" s="489"/>
      <c r="W8" s="489">
        <v>93700000</v>
      </c>
      <c r="X8" s="489"/>
      <c r="Y8" s="482"/>
    </row>
    <row r="9" spans="1:25" ht="60" customHeight="1" x14ac:dyDescent="0.25">
      <c r="A9" s="1177"/>
      <c r="B9" s="1180"/>
      <c r="C9" s="1183"/>
      <c r="D9" s="1160" t="s">
        <v>358</v>
      </c>
      <c r="E9" s="484" t="s">
        <v>359</v>
      </c>
      <c r="F9" s="1160" t="s">
        <v>230</v>
      </c>
      <c r="G9" s="1160">
        <v>1</v>
      </c>
      <c r="H9" s="1130">
        <v>8</v>
      </c>
      <c r="I9" s="1152">
        <f>Q9+Q10+Q11</f>
        <v>231275000</v>
      </c>
      <c r="J9" s="1152">
        <f>R9+R11</f>
        <v>29200000</v>
      </c>
      <c r="K9" s="1152">
        <f>S9</f>
        <v>12950000</v>
      </c>
      <c r="L9" s="1152"/>
      <c r="M9" s="1152">
        <f>U10</f>
        <v>2559991201.4161892</v>
      </c>
      <c r="N9" s="1152">
        <f>V9+V11</f>
        <v>94000000</v>
      </c>
      <c r="O9" s="1133">
        <f>I9+J9+K9+L9+M9+N9</f>
        <v>2927416201.4161892</v>
      </c>
      <c r="Q9" s="441">
        <v>86075000</v>
      </c>
      <c r="R9" s="489">
        <v>13200000.000000002</v>
      </c>
      <c r="S9" s="489">
        <v>12950000</v>
      </c>
      <c r="T9" s="489"/>
      <c r="U9" s="489"/>
      <c r="V9" s="489">
        <v>51000000</v>
      </c>
      <c r="W9" s="489">
        <v>163225000</v>
      </c>
      <c r="X9" s="489">
        <v>2927416201.4161892</v>
      </c>
      <c r="Y9" s="482"/>
    </row>
    <row r="10" spans="1:25" ht="60" customHeight="1" x14ac:dyDescent="0.25">
      <c r="A10" s="1177"/>
      <c r="B10" s="1180"/>
      <c r="C10" s="1183"/>
      <c r="D10" s="1160"/>
      <c r="E10" s="484" t="s">
        <v>360</v>
      </c>
      <c r="F10" s="1160"/>
      <c r="G10" s="1160"/>
      <c r="H10" s="1130"/>
      <c r="I10" s="1153"/>
      <c r="J10" s="1153"/>
      <c r="K10" s="1153"/>
      <c r="L10" s="1153"/>
      <c r="M10" s="1153"/>
      <c r="N10" s="1153"/>
      <c r="O10" s="1133"/>
      <c r="P10" s="441">
        <v>2559991201.4161897</v>
      </c>
      <c r="Q10" s="441">
        <v>39600000</v>
      </c>
      <c r="R10" s="489"/>
      <c r="S10" s="489"/>
      <c r="T10" s="489"/>
      <c r="U10" s="489">
        <v>2559991201.4161892</v>
      </c>
      <c r="V10" s="489"/>
      <c r="W10" s="489">
        <v>2599591201.4161892</v>
      </c>
      <c r="X10" s="489"/>
      <c r="Y10" s="482"/>
    </row>
    <row r="11" spans="1:25" ht="60" customHeight="1" x14ac:dyDescent="0.25">
      <c r="A11" s="1177"/>
      <c r="B11" s="1180"/>
      <c r="C11" s="1183"/>
      <c r="D11" s="1160"/>
      <c r="E11" s="484" t="s">
        <v>361</v>
      </c>
      <c r="F11" s="1160"/>
      <c r="G11" s="1160"/>
      <c r="H11" s="1130"/>
      <c r="I11" s="1159"/>
      <c r="J11" s="1159"/>
      <c r="K11" s="1159"/>
      <c r="L11" s="1159"/>
      <c r="M11" s="1159"/>
      <c r="N11" s="1159"/>
      <c r="O11" s="1133"/>
      <c r="Q11" s="441">
        <v>105600000.00000001</v>
      </c>
      <c r="R11" s="489">
        <v>16000000</v>
      </c>
      <c r="S11" s="489"/>
      <c r="T11" s="489"/>
      <c r="U11" s="489"/>
      <c r="V11" s="489">
        <v>43000000</v>
      </c>
      <c r="W11" s="489">
        <v>164600000</v>
      </c>
      <c r="X11" s="489"/>
      <c r="Y11" s="482"/>
    </row>
    <row r="12" spans="1:25" ht="60" customHeight="1" x14ac:dyDescent="0.25">
      <c r="A12" s="1177"/>
      <c r="B12" s="1180"/>
      <c r="C12" s="1183"/>
      <c r="D12" s="1160" t="s">
        <v>362</v>
      </c>
      <c r="E12" s="484" t="s">
        <v>363</v>
      </c>
      <c r="F12" s="1168" t="s">
        <v>230</v>
      </c>
      <c r="G12" s="1168">
        <v>1</v>
      </c>
      <c r="H12" s="1124">
        <v>6</v>
      </c>
      <c r="I12" s="1152">
        <f>Q12+Q15+Q16</f>
        <v>212300000</v>
      </c>
      <c r="J12" s="1152">
        <f>R12+R15</f>
        <v>21075000</v>
      </c>
      <c r="K12" s="1152">
        <f>S12</f>
        <v>12950000</v>
      </c>
      <c r="L12" s="1152"/>
      <c r="M12" s="1152"/>
      <c r="N12" s="1152">
        <f>V12+V15+V16</f>
        <v>129000000</v>
      </c>
      <c r="O12" s="1113">
        <f>I12+J12+K12+L12+M12+N12</f>
        <v>375325000</v>
      </c>
      <c r="Q12" s="441">
        <v>108350000</v>
      </c>
      <c r="R12" s="489">
        <v>9075000</v>
      </c>
      <c r="S12" s="489">
        <v>12950000</v>
      </c>
      <c r="T12" s="489"/>
      <c r="U12" s="489"/>
      <c r="V12" s="489">
        <v>51000000</v>
      </c>
      <c r="W12" s="489">
        <v>181375000</v>
      </c>
      <c r="X12" s="489">
        <v>315575000</v>
      </c>
      <c r="Y12" s="482"/>
    </row>
    <row r="13" spans="1:25" ht="60" customHeight="1" x14ac:dyDescent="0.25">
      <c r="A13" s="1177"/>
      <c r="B13" s="1180"/>
      <c r="C13" s="1183"/>
      <c r="D13" s="1160"/>
      <c r="E13" s="484" t="s">
        <v>364</v>
      </c>
      <c r="F13" s="1169"/>
      <c r="G13" s="1169"/>
      <c r="H13" s="1171"/>
      <c r="I13" s="1153"/>
      <c r="J13" s="1153"/>
      <c r="K13" s="1153"/>
      <c r="L13" s="1153"/>
      <c r="M13" s="1153"/>
      <c r="N13" s="1153"/>
      <c r="O13" s="1144"/>
      <c r="Q13" s="441"/>
      <c r="R13" s="489"/>
      <c r="S13" s="489"/>
      <c r="T13" s="489"/>
      <c r="U13" s="489"/>
      <c r="V13" s="489"/>
      <c r="W13" s="489"/>
      <c r="X13" s="489"/>
      <c r="Y13" s="482"/>
    </row>
    <row r="14" spans="1:25" ht="60" customHeight="1" x14ac:dyDescent="0.25">
      <c r="A14" s="1177"/>
      <c r="B14" s="1180"/>
      <c r="C14" s="1183"/>
      <c r="D14" s="1160"/>
      <c r="E14" s="484" t="s">
        <v>365</v>
      </c>
      <c r="F14" s="1169"/>
      <c r="G14" s="1169"/>
      <c r="H14" s="1171"/>
      <c r="I14" s="1153"/>
      <c r="J14" s="1153"/>
      <c r="K14" s="1153"/>
      <c r="L14" s="1153"/>
      <c r="M14" s="1153"/>
      <c r="N14" s="1153"/>
      <c r="O14" s="1144"/>
      <c r="Q14" s="441"/>
      <c r="R14" s="489"/>
      <c r="S14" s="489"/>
      <c r="T14" s="489"/>
      <c r="U14" s="489"/>
      <c r="V14" s="489"/>
      <c r="W14" s="489"/>
      <c r="X14" s="489"/>
      <c r="Y14" s="482"/>
    </row>
    <row r="15" spans="1:25" ht="60" customHeight="1" x14ac:dyDescent="0.25">
      <c r="A15" s="1177"/>
      <c r="B15" s="1180"/>
      <c r="C15" s="1183"/>
      <c r="D15" s="1160"/>
      <c r="E15" s="484" t="s">
        <v>366</v>
      </c>
      <c r="F15" s="1169"/>
      <c r="G15" s="1169"/>
      <c r="H15" s="1171"/>
      <c r="I15" s="1153"/>
      <c r="J15" s="1153"/>
      <c r="K15" s="1153"/>
      <c r="L15" s="1153"/>
      <c r="M15" s="1153"/>
      <c r="N15" s="1153"/>
      <c r="O15" s="1144"/>
      <c r="Q15" s="441">
        <v>79200000.000000015</v>
      </c>
      <c r="R15" s="489">
        <v>12000000</v>
      </c>
      <c r="S15" s="489"/>
      <c r="T15" s="489"/>
      <c r="U15" s="489"/>
      <c r="V15" s="489">
        <v>43000000</v>
      </c>
      <c r="W15" s="489">
        <v>134200000.00000001</v>
      </c>
      <c r="X15" s="489"/>
      <c r="Y15" s="482"/>
    </row>
    <row r="16" spans="1:25" ht="60" customHeight="1" thickBot="1" x14ac:dyDescent="0.3">
      <c r="A16" s="1177"/>
      <c r="B16" s="1180"/>
      <c r="C16" s="1184"/>
      <c r="D16" s="1161"/>
      <c r="E16" s="485" t="s">
        <v>367</v>
      </c>
      <c r="F16" s="1170"/>
      <c r="G16" s="1170"/>
      <c r="H16" s="1172"/>
      <c r="I16" s="1154"/>
      <c r="J16" s="1154"/>
      <c r="K16" s="1154"/>
      <c r="L16" s="1154"/>
      <c r="M16" s="1154"/>
      <c r="N16" s="1154"/>
      <c r="O16" s="1145"/>
      <c r="Q16" s="441">
        <v>24750000</v>
      </c>
      <c r="R16" s="489"/>
      <c r="S16" s="489"/>
      <c r="T16" s="489"/>
      <c r="U16" s="489"/>
      <c r="V16" s="489">
        <v>35000000</v>
      </c>
      <c r="W16" s="489">
        <v>59750000</v>
      </c>
      <c r="X16" s="489">
        <v>59750000</v>
      </c>
      <c r="Y16" s="482"/>
    </row>
    <row r="17" spans="1:25" ht="60" customHeight="1" x14ac:dyDescent="0.25">
      <c r="A17" s="1177"/>
      <c r="B17" s="1180"/>
      <c r="C17" s="1162" t="s">
        <v>351</v>
      </c>
      <c r="D17" s="1165" t="s">
        <v>368</v>
      </c>
      <c r="E17" s="486" t="s">
        <v>369</v>
      </c>
      <c r="F17" s="480" t="s">
        <v>373</v>
      </c>
      <c r="G17" s="480">
        <v>12</v>
      </c>
      <c r="H17" s="1173">
        <v>6</v>
      </c>
      <c r="I17" s="1155">
        <f>Q19</f>
        <v>31350000.000000004</v>
      </c>
      <c r="J17" s="1155">
        <f>R19</f>
        <v>6600000.0000000009</v>
      </c>
      <c r="K17" s="1155">
        <f>S19</f>
        <v>12950000</v>
      </c>
      <c r="L17" s="1155"/>
      <c r="M17" s="1155"/>
      <c r="N17" s="1155">
        <f>V19</f>
        <v>102100000</v>
      </c>
      <c r="O17" s="1149">
        <f>I17+J17+K17+L17+M17+N17</f>
        <v>153000000</v>
      </c>
      <c r="Q17" s="441"/>
      <c r="R17" s="489"/>
      <c r="S17" s="489"/>
      <c r="T17" s="489"/>
      <c r="U17" s="489"/>
      <c r="V17" s="489"/>
      <c r="W17" s="489"/>
      <c r="X17" s="489"/>
      <c r="Y17" s="482"/>
    </row>
    <row r="18" spans="1:25" ht="60" customHeight="1" x14ac:dyDescent="0.25">
      <c r="A18" s="1177"/>
      <c r="B18" s="1180"/>
      <c r="C18" s="1163"/>
      <c r="D18" s="1166"/>
      <c r="E18" s="487" t="s">
        <v>370</v>
      </c>
      <c r="F18" s="479" t="s">
        <v>372</v>
      </c>
      <c r="G18" s="479">
        <v>12</v>
      </c>
      <c r="H18" s="1174"/>
      <c r="I18" s="1156"/>
      <c r="J18" s="1156"/>
      <c r="K18" s="1156"/>
      <c r="L18" s="1156"/>
      <c r="M18" s="1156"/>
      <c r="N18" s="1156"/>
      <c r="O18" s="1150"/>
      <c r="Q18" s="441"/>
      <c r="R18" s="489"/>
      <c r="S18" s="489"/>
      <c r="T18" s="489"/>
      <c r="U18" s="489"/>
      <c r="V18" s="489"/>
      <c r="W18" s="489"/>
      <c r="X18" s="489"/>
      <c r="Y18" s="482"/>
    </row>
    <row r="19" spans="1:25" ht="60" customHeight="1" thickBot="1" x14ac:dyDescent="0.3">
      <c r="A19" s="1178"/>
      <c r="B19" s="1181"/>
      <c r="C19" s="1164"/>
      <c r="D19" s="1167"/>
      <c r="E19" s="488" t="s">
        <v>371</v>
      </c>
      <c r="F19" s="481" t="s">
        <v>374</v>
      </c>
      <c r="G19" s="481">
        <v>12</v>
      </c>
      <c r="H19" s="1175"/>
      <c r="I19" s="1157"/>
      <c r="J19" s="1157"/>
      <c r="K19" s="1157"/>
      <c r="L19" s="1157"/>
      <c r="M19" s="1157"/>
      <c r="N19" s="1157"/>
      <c r="O19" s="1151"/>
      <c r="Q19" s="441">
        <v>31350000.000000004</v>
      </c>
      <c r="R19" s="489">
        <v>6600000.0000000009</v>
      </c>
      <c r="S19" s="489">
        <v>12950000</v>
      </c>
      <c r="T19" s="489"/>
      <c r="U19" s="489"/>
      <c r="V19" s="489">
        <v>102100000</v>
      </c>
      <c r="W19" s="489">
        <v>153000000</v>
      </c>
      <c r="X19" s="489">
        <v>153000000</v>
      </c>
      <c r="Y19" s="482"/>
    </row>
    <row r="20" spans="1:25" ht="30" customHeight="1" x14ac:dyDescent="0.25">
      <c r="A20" s="448"/>
      <c r="B20" s="449"/>
      <c r="F20" s="450"/>
      <c r="G20" s="450"/>
      <c r="H20" s="470"/>
      <c r="I20" s="1114" t="s">
        <v>323</v>
      </c>
      <c r="J20" s="1115"/>
      <c r="K20" s="1115"/>
      <c r="L20" s="1115"/>
      <c r="M20" s="1115"/>
      <c r="N20" s="1115"/>
      <c r="O20" s="471">
        <f>SUM(O5:O18)</f>
        <v>3715741201.4161892</v>
      </c>
      <c r="P20" s="451"/>
      <c r="Q20" s="441" t="s">
        <v>323</v>
      </c>
      <c r="R20" s="489"/>
      <c r="S20" s="489"/>
      <c r="T20" s="489"/>
      <c r="U20" s="489"/>
      <c r="V20" s="489"/>
      <c r="W20" s="489"/>
      <c r="X20" s="489">
        <v>3715741201.4161892</v>
      </c>
      <c r="Y20" s="482"/>
    </row>
    <row r="21" spans="1:25" ht="30" customHeight="1" x14ac:dyDescent="0.25">
      <c r="A21" s="448"/>
      <c r="B21" s="449"/>
      <c r="F21" s="450"/>
      <c r="G21" s="450"/>
      <c r="H21" s="470"/>
      <c r="I21" s="1100" t="s">
        <v>325</v>
      </c>
      <c r="J21" s="1101"/>
      <c r="K21" s="1101"/>
      <c r="L21" s="1101"/>
      <c r="M21" s="1101"/>
      <c r="N21" s="1101"/>
      <c r="O21" s="472">
        <f>O20*19%</f>
        <v>705990828.26907599</v>
      </c>
      <c r="P21" s="451"/>
      <c r="Q21" s="441" t="s">
        <v>325</v>
      </c>
      <c r="R21" s="489"/>
      <c r="S21" s="489"/>
      <c r="T21" s="489"/>
      <c r="U21" s="489"/>
      <c r="V21" s="489"/>
      <c r="W21" s="489"/>
      <c r="X21" s="489">
        <v>705990828.26907599</v>
      </c>
      <c r="Y21" s="482"/>
    </row>
    <row r="22" spans="1:25" ht="30" customHeight="1" x14ac:dyDescent="0.25">
      <c r="A22" s="448"/>
      <c r="B22" s="449"/>
      <c r="F22" s="450"/>
      <c r="G22" s="450"/>
      <c r="H22" s="470"/>
      <c r="I22" s="1100" t="s">
        <v>324</v>
      </c>
      <c r="J22" s="1101"/>
      <c r="K22" s="1101"/>
      <c r="L22" s="1101"/>
      <c r="M22" s="1101"/>
      <c r="N22" s="1101"/>
      <c r="O22" s="472">
        <f>O20+O21</f>
        <v>4421732029.6852655</v>
      </c>
      <c r="P22" s="451"/>
      <c r="Q22" s="441" t="s">
        <v>324</v>
      </c>
      <c r="R22" s="489"/>
      <c r="S22" s="489"/>
      <c r="T22" s="489"/>
      <c r="U22" s="489"/>
      <c r="V22" s="489"/>
      <c r="W22" s="489"/>
      <c r="X22" s="489">
        <v>4421732029.6852655</v>
      </c>
      <c r="Y22" s="482"/>
    </row>
    <row r="23" spans="1:25" ht="30" customHeight="1" x14ac:dyDescent="0.25">
      <c r="A23" s="448"/>
      <c r="B23" s="449"/>
      <c r="F23" s="450"/>
      <c r="G23" s="450"/>
      <c r="H23" s="470"/>
      <c r="I23" s="1100" t="s">
        <v>252</v>
      </c>
      <c r="J23" s="1101"/>
      <c r="K23" s="1101"/>
      <c r="L23" s="1101"/>
      <c r="M23" s="1101"/>
      <c r="N23" s="1101"/>
      <c r="O23" s="472">
        <f>O22*7%</f>
        <v>309521242.0779686</v>
      </c>
      <c r="Q23" s="441" t="s">
        <v>252</v>
      </c>
      <c r="R23" s="489"/>
      <c r="S23" s="489"/>
      <c r="T23" s="489"/>
      <c r="U23" s="489"/>
      <c r="V23" s="489"/>
      <c r="W23" s="489"/>
      <c r="X23" s="489">
        <v>309521242.0779686</v>
      </c>
      <c r="Y23" s="482"/>
    </row>
    <row r="24" spans="1:25" ht="30" customHeight="1" thickBot="1" x14ac:dyDescent="0.3">
      <c r="A24" s="448"/>
      <c r="B24" s="449"/>
      <c r="F24" s="450"/>
      <c r="G24" s="450"/>
      <c r="H24" s="470"/>
      <c r="I24" s="1103" t="s">
        <v>319</v>
      </c>
      <c r="J24" s="1104"/>
      <c r="K24" s="1104"/>
      <c r="L24" s="1104"/>
      <c r="M24" s="1104"/>
      <c r="N24" s="1104"/>
      <c r="O24" s="473">
        <f>O22+O23</f>
        <v>4731253271.7632341</v>
      </c>
      <c r="Q24" s="441" t="s">
        <v>319</v>
      </c>
      <c r="R24" s="489"/>
      <c r="S24" s="489"/>
      <c r="T24" s="489"/>
      <c r="U24" s="489"/>
      <c r="V24" s="489"/>
      <c r="W24" s="489"/>
      <c r="X24" s="489">
        <v>4731253271.7632341</v>
      </c>
      <c r="Y24" s="482"/>
    </row>
    <row r="25" spans="1:25" ht="69.95" customHeight="1" x14ac:dyDescent="0.25">
      <c r="A25" s="448"/>
    </row>
    <row r="26" spans="1:25" ht="69.95" customHeight="1" x14ac:dyDescent="0.25">
      <c r="A26" s="448"/>
    </row>
    <row r="27" spans="1:25" ht="30" customHeight="1" x14ac:dyDescent="0.25">
      <c r="A27" s="448"/>
    </row>
    <row r="28" spans="1:25" ht="57.6" customHeight="1" x14ac:dyDescent="0.25">
      <c r="A28" s="448"/>
    </row>
    <row r="29" spans="1:25" ht="14.45" customHeight="1" x14ac:dyDescent="0.25">
      <c r="A29" s="448"/>
    </row>
    <row r="30" spans="1:25" ht="14.45" customHeight="1" x14ac:dyDescent="0.25">
      <c r="A30" s="448"/>
    </row>
    <row r="31" spans="1:25" ht="18" customHeight="1" x14ac:dyDescent="0.25">
      <c r="A31" s="448"/>
    </row>
    <row r="32" spans="1:25" ht="14.45" customHeight="1" x14ac:dyDescent="0.25">
      <c r="A32" s="448"/>
    </row>
    <row r="33" spans="1:1" ht="14.45" customHeight="1" x14ac:dyDescent="0.25">
      <c r="A33" s="448"/>
    </row>
    <row r="34" spans="1:1" ht="14.45" customHeight="1" x14ac:dyDescent="0.25">
      <c r="A34" s="448"/>
    </row>
    <row r="35" spans="1:1" ht="14.45" customHeight="1" x14ac:dyDescent="0.25">
      <c r="A35" s="448"/>
    </row>
    <row r="36" spans="1:1" ht="14.45" customHeight="1" x14ac:dyDescent="0.25">
      <c r="A36" s="448"/>
    </row>
    <row r="37" spans="1:1" ht="14.45" customHeight="1" x14ac:dyDescent="0.25">
      <c r="A37" s="448"/>
    </row>
    <row r="38" spans="1:1" ht="31.15" customHeight="1" x14ac:dyDescent="0.25">
      <c r="A38" s="448"/>
    </row>
    <row r="39" spans="1:1" ht="34.9" customHeight="1" x14ac:dyDescent="0.25">
      <c r="A39" s="448"/>
    </row>
    <row r="40" spans="1:1" ht="28.9" customHeight="1" x14ac:dyDescent="0.25"/>
    <row r="41" spans="1:1" ht="25.5" customHeight="1" x14ac:dyDescent="0.25"/>
    <row r="42" spans="1:1" ht="26.25" customHeight="1" x14ac:dyDescent="0.25"/>
    <row r="43" spans="1:1" ht="22.5" customHeight="1" x14ac:dyDescent="0.25"/>
    <row r="50" spans="1:1" x14ac:dyDescent="0.25">
      <c r="A50" s="452"/>
    </row>
    <row r="51" spans="1:1" x14ac:dyDescent="0.25">
      <c r="A51" s="452"/>
    </row>
    <row r="52" spans="1:1" x14ac:dyDescent="0.25">
      <c r="A52" s="452"/>
    </row>
  </sheetData>
  <mergeCells count="53">
    <mergeCell ref="A1:O1"/>
    <mergeCell ref="A2:O2"/>
    <mergeCell ref="A5:A19"/>
    <mergeCell ref="B5:B19"/>
    <mergeCell ref="C5:C16"/>
    <mergeCell ref="D5:D8"/>
    <mergeCell ref="F5:F8"/>
    <mergeCell ref="G5:G8"/>
    <mergeCell ref="H5:H8"/>
    <mergeCell ref="O5:O8"/>
    <mergeCell ref="D9:D11"/>
    <mergeCell ref="F9:F11"/>
    <mergeCell ref="G9:G11"/>
    <mergeCell ref="H9:H11"/>
    <mergeCell ref="O9:O11"/>
    <mergeCell ref="I5:I8"/>
    <mergeCell ref="C17:C19"/>
    <mergeCell ref="D17:D19"/>
    <mergeCell ref="F12:F16"/>
    <mergeCell ref="G12:G16"/>
    <mergeCell ref="H12:H16"/>
    <mergeCell ref="H17:H19"/>
    <mergeCell ref="I21:N21"/>
    <mergeCell ref="I22:N22"/>
    <mergeCell ref="I23:N23"/>
    <mergeCell ref="I24:N24"/>
    <mergeCell ref="D12:D16"/>
    <mergeCell ref="I20:N20"/>
    <mergeCell ref="I12:I16"/>
    <mergeCell ref="J12:J16"/>
    <mergeCell ref="K12:K16"/>
    <mergeCell ref="I17:I19"/>
    <mergeCell ref="J17:J19"/>
    <mergeCell ref="K17:K19"/>
    <mergeCell ref="L17:L19"/>
    <mergeCell ref="M17:M19"/>
    <mergeCell ref="M5:M8"/>
    <mergeCell ref="N5:N8"/>
    <mergeCell ref="I9:I11"/>
    <mergeCell ref="J9:J11"/>
    <mergeCell ref="K9:K11"/>
    <mergeCell ref="L9:L11"/>
    <mergeCell ref="M9:M11"/>
    <mergeCell ref="N9:N11"/>
    <mergeCell ref="J5:J8"/>
    <mergeCell ref="K5:K8"/>
    <mergeCell ref="L5:L8"/>
    <mergeCell ref="O17:O19"/>
    <mergeCell ref="L12:L16"/>
    <mergeCell ref="M12:M16"/>
    <mergeCell ref="N12:N16"/>
    <mergeCell ref="O12:O16"/>
    <mergeCell ref="N17:N19"/>
  </mergeCells>
  <printOptions horizontalCentered="1" verticalCentered="1"/>
  <pageMargins left="0.23622047244094491" right="0.23622047244094491" top="0.39370078740157483" bottom="0.43307086614173229" header="0.31496062992125984" footer="0.31496062992125984"/>
  <pageSetup paperSize="5" scale="3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tint="-0.249977111117893"/>
    <pageSetUpPr fitToPage="1"/>
  </sheetPr>
  <dimension ref="A1:Z52"/>
  <sheetViews>
    <sheetView zoomScale="60" zoomScaleNormal="60" workbookViewId="0">
      <selection activeCell="E5" sqref="E5"/>
    </sheetView>
  </sheetViews>
  <sheetFormatPr baseColWidth="10" defaultColWidth="91.28515625" defaultRowHeight="13.5" x14ac:dyDescent="0.25"/>
  <cols>
    <col min="1" max="1" width="18.42578125" style="434" customWidth="1"/>
    <col min="2" max="2" width="21.85546875" style="434" customWidth="1"/>
    <col min="3" max="3" width="25.85546875" style="434" customWidth="1"/>
    <col min="4" max="4" width="18.28515625" style="434" customWidth="1"/>
    <col min="5" max="5" width="32.140625" style="434" customWidth="1"/>
    <col min="6" max="6" width="88.7109375" style="434" customWidth="1"/>
    <col min="7" max="7" width="16.42578125" style="434" customWidth="1"/>
    <col min="8" max="8" width="9.28515625" style="434" customWidth="1"/>
    <col min="9" max="13" width="15.7109375" style="434" customWidth="1"/>
    <col min="14" max="14" width="21.140625" style="434" bestFit="1" customWidth="1"/>
    <col min="15" max="15" width="15.7109375" style="434" customWidth="1"/>
    <col min="16" max="16" width="26" style="434" customWidth="1"/>
    <col min="17" max="17" width="40.28515625" style="434" customWidth="1"/>
    <col min="18" max="18" width="24.5703125" style="434" bestFit="1" customWidth="1"/>
    <col min="19" max="20" width="9" style="434" bestFit="1" customWidth="1"/>
    <col min="21" max="21" width="9.28515625" style="434" bestFit="1" customWidth="1"/>
    <col min="22" max="22" width="10.85546875" style="434" bestFit="1" customWidth="1"/>
    <col min="23" max="23" width="9.5703125" style="434" bestFit="1" customWidth="1"/>
    <col min="24" max="24" width="10.85546875" style="434" bestFit="1" customWidth="1"/>
    <col min="25" max="25" width="11.28515625" style="434" bestFit="1" customWidth="1"/>
    <col min="26" max="16384" width="91.28515625" style="434"/>
  </cols>
  <sheetData>
    <row r="1" spans="1:26" ht="31.15" customHeight="1" x14ac:dyDescent="0.25">
      <c r="A1" s="1125" t="s">
        <v>322</v>
      </c>
      <c r="B1" s="1125"/>
      <c r="C1" s="1125"/>
      <c r="D1" s="1125"/>
      <c r="E1" s="1125"/>
      <c r="F1" s="1125"/>
      <c r="G1" s="1125"/>
      <c r="H1" s="1125"/>
      <c r="I1" s="1125"/>
      <c r="J1" s="1125"/>
      <c r="K1" s="1125"/>
      <c r="L1" s="1125"/>
      <c r="M1" s="1125"/>
      <c r="N1" s="1125"/>
      <c r="O1" s="1125"/>
      <c r="P1" s="1125"/>
      <c r="R1" s="441"/>
      <c r="S1" s="441"/>
      <c r="T1" s="441"/>
      <c r="U1" s="441"/>
      <c r="V1" s="441"/>
      <c r="W1" s="441"/>
      <c r="X1" s="441"/>
      <c r="Y1" s="441"/>
    </row>
    <row r="2" spans="1:26" ht="25.5" customHeight="1" x14ac:dyDescent="0.25">
      <c r="A2" s="1125" t="s">
        <v>326</v>
      </c>
      <c r="B2" s="1125"/>
      <c r="C2" s="1125"/>
      <c r="D2" s="1125"/>
      <c r="E2" s="1125"/>
      <c r="F2" s="1125"/>
      <c r="G2" s="1125"/>
      <c r="H2" s="1125"/>
      <c r="I2" s="1125"/>
      <c r="J2" s="1125"/>
      <c r="K2" s="1125"/>
      <c r="L2" s="1125"/>
      <c r="M2" s="1125"/>
      <c r="N2" s="1125"/>
      <c r="O2" s="1125"/>
      <c r="P2" s="1125"/>
      <c r="R2" s="441"/>
      <c r="S2" s="441"/>
      <c r="T2" s="441"/>
      <c r="U2" s="441"/>
      <c r="V2" s="441"/>
      <c r="W2" s="441"/>
      <c r="X2" s="441"/>
      <c r="Y2" s="441"/>
    </row>
    <row r="3" spans="1:26" ht="66" customHeight="1" thickBot="1" x14ac:dyDescent="0.3">
      <c r="R3" s="441"/>
      <c r="S3" s="441"/>
      <c r="T3" s="441"/>
      <c r="U3" s="441"/>
      <c r="V3" s="441"/>
      <c r="W3" s="441"/>
      <c r="X3" s="441"/>
      <c r="Y3" s="441"/>
    </row>
    <row r="4" spans="1:26" ht="48.6" customHeight="1" thickBot="1" x14ac:dyDescent="0.3">
      <c r="A4" s="557" t="s">
        <v>221</v>
      </c>
      <c r="B4" s="558" t="s">
        <v>223</v>
      </c>
      <c r="C4" s="558" t="s">
        <v>224</v>
      </c>
      <c r="D4" s="558" t="s">
        <v>329</v>
      </c>
      <c r="E4" s="558" t="s">
        <v>353</v>
      </c>
      <c r="F4" s="558" t="s">
        <v>236</v>
      </c>
      <c r="G4" s="558" t="s">
        <v>227</v>
      </c>
      <c r="H4" s="558" t="s">
        <v>228</v>
      </c>
      <c r="I4" s="558" t="s">
        <v>183</v>
      </c>
      <c r="J4" s="558" t="s">
        <v>135</v>
      </c>
      <c r="K4" s="558" t="s">
        <v>136</v>
      </c>
      <c r="L4" s="558" t="s">
        <v>137</v>
      </c>
      <c r="M4" s="558" t="s">
        <v>179</v>
      </c>
      <c r="N4" s="558" t="s">
        <v>181</v>
      </c>
      <c r="O4" s="558" t="s">
        <v>138</v>
      </c>
      <c r="P4" s="559" t="s">
        <v>180</v>
      </c>
      <c r="R4" s="441"/>
      <c r="S4" s="441"/>
      <c r="T4" s="441"/>
      <c r="U4" s="441"/>
      <c r="V4" s="441"/>
      <c r="W4" s="441"/>
      <c r="X4" s="441"/>
      <c r="Y4" s="441"/>
    </row>
    <row r="5" spans="1:26" ht="105" customHeight="1" x14ac:dyDescent="0.25">
      <c r="A5" s="1190" t="s">
        <v>326</v>
      </c>
      <c r="B5" s="1191" t="str">
        <f>'PRESUPUESTO MODIFICADO (2)'!B5:B19</f>
        <v>Elaborar un instrumento de ordenamiento para el departamento del Huila que permita una eficiente planificación física y socioeconómica del territorio, mediante la emisión de directrices  y lineamientos a los para los POT Municipales; estrategias para optimizar las inversiones públicas territoriales, y mecanismos para la participación y la gobernanza para del ordenamiento territorial.</v>
      </c>
      <c r="C5" s="1194" t="str">
        <f>'PRESUPUESTO MODIFICADO (2)'!C5:C16</f>
        <v>A. Formular los documentos técnicos del plan de ordenamiento departamental del Huila, para atender  a las nuevas demandas globales en materia ambiental, tecnológica y logística; con el fin de consolidar una plataforma territorial para la competitividad regional basada en el fomento de los proyectos regionales de desarrollo económico, potenciando los circuitos económicos existentes para reducir las desigualdades socio-espaciales, aportando a la consolidación de un territorio regional, funcionalmente integrado y conectado en su movilidad y que promueve la conservación de su base natural y estructura ecológica como principal elemento de articulación con los demás municipios del Departamento del Huila..</v>
      </c>
      <c r="D5" s="1197" t="s">
        <v>352</v>
      </c>
      <c r="E5" s="555" t="s">
        <v>354</v>
      </c>
      <c r="F5" s="556" t="s">
        <v>378</v>
      </c>
      <c r="G5" s="1123" t="s">
        <v>230</v>
      </c>
      <c r="H5" s="1123">
        <v>1</v>
      </c>
      <c r="I5" s="1123">
        <v>3</v>
      </c>
      <c r="J5" s="1186">
        <f>R5+R6+R7+R8</f>
        <v>71500000</v>
      </c>
      <c r="K5" s="1186">
        <f>S5+S6+S7</f>
        <v>11550000.000000002</v>
      </c>
      <c r="L5" s="1186">
        <f>T5</f>
        <v>12950000</v>
      </c>
      <c r="M5" s="1186">
        <f>U8</f>
        <v>86000000</v>
      </c>
      <c r="N5" s="1186"/>
      <c r="O5" s="1186">
        <f>W5+W6</f>
        <v>78000000</v>
      </c>
      <c r="P5" s="1188">
        <f>J5+K5+L5+M5+N5+O5</f>
        <v>260000000</v>
      </c>
      <c r="R5" s="441">
        <v>23100000.000000004</v>
      </c>
      <c r="S5" s="489">
        <v>4950000.0000000009</v>
      </c>
      <c r="T5" s="489">
        <v>12950000</v>
      </c>
      <c r="U5" s="489"/>
      <c r="V5" s="489"/>
      <c r="W5" s="489">
        <v>43000000</v>
      </c>
      <c r="X5" s="489">
        <v>84000000</v>
      </c>
      <c r="Y5" s="489">
        <v>260000000</v>
      </c>
      <c r="Z5" s="482"/>
    </row>
    <row r="6" spans="1:26" ht="233.25" customHeight="1" x14ac:dyDescent="0.25">
      <c r="A6" s="1177"/>
      <c r="B6" s="1192"/>
      <c r="C6" s="1195"/>
      <c r="D6" s="1198"/>
      <c r="E6" s="494" t="s">
        <v>355</v>
      </c>
      <c r="F6" s="493" t="s">
        <v>389</v>
      </c>
      <c r="G6" s="1130"/>
      <c r="H6" s="1130"/>
      <c r="I6" s="1130"/>
      <c r="J6" s="1186"/>
      <c r="K6" s="1186"/>
      <c r="L6" s="1186"/>
      <c r="M6" s="1186"/>
      <c r="N6" s="1186"/>
      <c r="O6" s="1186"/>
      <c r="P6" s="1189"/>
      <c r="R6" s="441">
        <v>19800000</v>
      </c>
      <c r="S6" s="489">
        <v>4950000.0000000009</v>
      </c>
      <c r="T6" s="489"/>
      <c r="U6" s="489"/>
      <c r="V6" s="489"/>
      <c r="W6" s="489">
        <v>35000000</v>
      </c>
      <c r="X6" s="489">
        <v>59750000</v>
      </c>
      <c r="Y6" s="489"/>
      <c r="Z6" s="482"/>
    </row>
    <row r="7" spans="1:26" ht="97.5" customHeight="1" x14ac:dyDescent="0.25">
      <c r="A7" s="1177"/>
      <c r="B7" s="1192"/>
      <c r="C7" s="1195"/>
      <c r="D7" s="1198"/>
      <c r="E7" s="494" t="s">
        <v>356</v>
      </c>
      <c r="F7" s="493" t="s">
        <v>379</v>
      </c>
      <c r="G7" s="1130"/>
      <c r="H7" s="1130"/>
      <c r="I7" s="1130"/>
      <c r="J7" s="1186"/>
      <c r="K7" s="1186"/>
      <c r="L7" s="1186"/>
      <c r="M7" s="1186"/>
      <c r="N7" s="1186"/>
      <c r="O7" s="1186"/>
      <c r="P7" s="1189"/>
      <c r="R7" s="441">
        <v>20900000</v>
      </c>
      <c r="S7" s="489">
        <v>1650000.0000000002</v>
      </c>
      <c r="T7" s="489"/>
      <c r="U7" s="489"/>
      <c r="V7" s="489"/>
      <c r="W7" s="489"/>
      <c r="X7" s="489">
        <v>22550000</v>
      </c>
      <c r="Y7" s="489"/>
      <c r="Z7" s="482"/>
    </row>
    <row r="8" spans="1:26" ht="87.75" customHeight="1" x14ac:dyDescent="0.25">
      <c r="A8" s="1177"/>
      <c r="B8" s="1192"/>
      <c r="C8" s="1195"/>
      <c r="D8" s="1198"/>
      <c r="E8" s="494" t="s">
        <v>357</v>
      </c>
      <c r="F8" s="493" t="s">
        <v>387</v>
      </c>
      <c r="G8" s="1130"/>
      <c r="H8" s="1130"/>
      <c r="I8" s="1130"/>
      <c r="J8" s="1187"/>
      <c r="K8" s="1187"/>
      <c r="L8" s="1187"/>
      <c r="M8" s="1187"/>
      <c r="N8" s="1187"/>
      <c r="O8" s="1187"/>
      <c r="P8" s="1189"/>
      <c r="R8" s="441">
        <v>7700000.0000000009</v>
      </c>
      <c r="S8" s="489"/>
      <c r="T8" s="489"/>
      <c r="U8" s="489">
        <v>86000000</v>
      </c>
      <c r="V8" s="489"/>
      <c r="W8" s="489"/>
      <c r="X8" s="489">
        <v>93700000</v>
      </c>
      <c r="Y8" s="489"/>
      <c r="Z8" s="482"/>
    </row>
    <row r="9" spans="1:26" ht="336.75" customHeight="1" x14ac:dyDescent="0.25">
      <c r="A9" s="1177"/>
      <c r="B9" s="1192"/>
      <c r="C9" s="1195"/>
      <c r="D9" s="1198" t="s">
        <v>358</v>
      </c>
      <c r="E9" s="494" t="s">
        <v>359</v>
      </c>
      <c r="F9" s="493" t="s">
        <v>380</v>
      </c>
      <c r="G9" s="1130" t="s">
        <v>230</v>
      </c>
      <c r="H9" s="1130">
        <v>1</v>
      </c>
      <c r="I9" s="1130">
        <v>8</v>
      </c>
      <c r="J9" s="1199">
        <f>R9+R10+R11</f>
        <v>231275000</v>
      </c>
      <c r="K9" s="1199">
        <f>S9+S11</f>
        <v>29200000</v>
      </c>
      <c r="L9" s="1199">
        <f>T9</f>
        <v>12950000</v>
      </c>
      <c r="M9" s="1199"/>
      <c r="N9" s="1199">
        <f>V10</f>
        <v>2559991201.4161892</v>
      </c>
      <c r="O9" s="1199">
        <f>W9+W11</f>
        <v>94000000</v>
      </c>
      <c r="P9" s="1189">
        <f>J9+K9+L9+M9+N9+O9</f>
        <v>2927416201.4161892</v>
      </c>
      <c r="R9" s="441">
        <v>86075000</v>
      </c>
      <c r="S9" s="489">
        <v>13200000.000000002</v>
      </c>
      <c r="T9" s="489">
        <v>12950000</v>
      </c>
      <c r="U9" s="489"/>
      <c r="V9" s="489"/>
      <c r="W9" s="489">
        <v>51000000</v>
      </c>
      <c r="X9" s="489">
        <v>163225000</v>
      </c>
      <c r="Y9" s="489">
        <v>2927416201.4161892</v>
      </c>
      <c r="Z9" s="482"/>
    </row>
    <row r="10" spans="1:26" ht="159" customHeight="1" x14ac:dyDescent="0.25">
      <c r="A10" s="1177"/>
      <c r="B10" s="1192"/>
      <c r="C10" s="1195"/>
      <c r="D10" s="1198"/>
      <c r="E10" s="494" t="s">
        <v>360</v>
      </c>
      <c r="F10" s="493" t="s">
        <v>390</v>
      </c>
      <c r="G10" s="1130"/>
      <c r="H10" s="1130"/>
      <c r="I10" s="1130"/>
      <c r="J10" s="1186"/>
      <c r="K10" s="1186"/>
      <c r="L10" s="1186"/>
      <c r="M10" s="1186"/>
      <c r="N10" s="1186"/>
      <c r="O10" s="1186"/>
      <c r="P10" s="1189"/>
      <c r="Q10" s="441">
        <v>2559991201.4161897</v>
      </c>
      <c r="R10" s="441">
        <v>39600000</v>
      </c>
      <c r="S10" s="489"/>
      <c r="T10" s="489"/>
      <c r="U10" s="489"/>
      <c r="V10" s="489">
        <v>2559991201.4161892</v>
      </c>
      <c r="W10" s="489"/>
      <c r="X10" s="489">
        <v>2599591201.4161892</v>
      </c>
      <c r="Y10" s="489"/>
      <c r="Z10" s="482"/>
    </row>
    <row r="11" spans="1:26" ht="113.25" customHeight="1" x14ac:dyDescent="0.25">
      <c r="A11" s="1177"/>
      <c r="B11" s="1192"/>
      <c r="C11" s="1195"/>
      <c r="D11" s="1198"/>
      <c r="E11" s="494" t="s">
        <v>361</v>
      </c>
      <c r="F11" s="493" t="s">
        <v>375</v>
      </c>
      <c r="G11" s="1130"/>
      <c r="H11" s="1130"/>
      <c r="I11" s="1130"/>
      <c r="J11" s="1187"/>
      <c r="K11" s="1187"/>
      <c r="L11" s="1187"/>
      <c r="M11" s="1187"/>
      <c r="N11" s="1187"/>
      <c r="O11" s="1187"/>
      <c r="P11" s="1189"/>
      <c r="R11" s="441">
        <v>105600000.00000001</v>
      </c>
      <c r="S11" s="489">
        <v>16000000</v>
      </c>
      <c r="T11" s="489"/>
      <c r="U11" s="489"/>
      <c r="V11" s="489"/>
      <c r="W11" s="489">
        <v>43000000</v>
      </c>
      <c r="X11" s="489">
        <v>164600000</v>
      </c>
      <c r="Y11" s="489"/>
      <c r="Z11" s="482"/>
    </row>
    <row r="12" spans="1:26" ht="295.5" customHeight="1" x14ac:dyDescent="0.25">
      <c r="A12" s="1177"/>
      <c r="B12" s="1192"/>
      <c r="C12" s="1195"/>
      <c r="D12" s="1198" t="s">
        <v>362</v>
      </c>
      <c r="E12" s="494" t="s">
        <v>363</v>
      </c>
      <c r="F12" s="493" t="s">
        <v>383</v>
      </c>
      <c r="G12" s="1124" t="s">
        <v>230</v>
      </c>
      <c r="H12" s="1124">
        <v>1</v>
      </c>
      <c r="I12" s="1124">
        <v>6</v>
      </c>
      <c r="J12" s="1199">
        <f>R12+R15+R16</f>
        <v>212300000</v>
      </c>
      <c r="K12" s="1199">
        <f>S12+S15</f>
        <v>21075000</v>
      </c>
      <c r="L12" s="1199">
        <f>T12</f>
        <v>12950000</v>
      </c>
      <c r="M12" s="1199"/>
      <c r="N12" s="1199"/>
      <c r="O12" s="1199">
        <f>W12+W15+W16</f>
        <v>129000000</v>
      </c>
      <c r="P12" s="1201">
        <f>J12+K12+L12+M12+N12+O12</f>
        <v>375325000</v>
      </c>
      <c r="R12" s="441">
        <v>108350000</v>
      </c>
      <c r="S12" s="489">
        <v>9075000</v>
      </c>
      <c r="T12" s="489">
        <v>12950000</v>
      </c>
      <c r="U12" s="489"/>
      <c r="V12" s="489"/>
      <c r="W12" s="489">
        <v>51000000</v>
      </c>
      <c r="X12" s="489">
        <v>181375000</v>
      </c>
      <c r="Y12" s="489">
        <v>315575000</v>
      </c>
      <c r="Z12" s="482"/>
    </row>
    <row r="13" spans="1:26" ht="309" customHeight="1" x14ac:dyDescent="0.25">
      <c r="A13" s="1177"/>
      <c r="B13" s="1192"/>
      <c r="C13" s="1195"/>
      <c r="D13" s="1198"/>
      <c r="E13" s="494" t="s">
        <v>364</v>
      </c>
      <c r="F13" s="493" t="s">
        <v>382</v>
      </c>
      <c r="G13" s="1171"/>
      <c r="H13" s="1171"/>
      <c r="I13" s="1171"/>
      <c r="J13" s="1186"/>
      <c r="K13" s="1186"/>
      <c r="L13" s="1186"/>
      <c r="M13" s="1186"/>
      <c r="N13" s="1186"/>
      <c r="O13" s="1186"/>
      <c r="P13" s="1202"/>
      <c r="R13" s="441"/>
      <c r="S13" s="489"/>
      <c r="T13" s="489"/>
      <c r="U13" s="489"/>
      <c r="V13" s="489"/>
      <c r="W13" s="489"/>
      <c r="X13" s="489"/>
      <c r="Y13" s="489"/>
      <c r="Z13" s="482"/>
    </row>
    <row r="14" spans="1:26" ht="150" customHeight="1" x14ac:dyDescent="0.25">
      <c r="A14" s="1177"/>
      <c r="B14" s="1192"/>
      <c r="C14" s="1195"/>
      <c r="D14" s="1198"/>
      <c r="E14" s="494" t="s">
        <v>365</v>
      </c>
      <c r="F14" s="493" t="s">
        <v>381</v>
      </c>
      <c r="G14" s="1171"/>
      <c r="H14" s="1171"/>
      <c r="I14" s="1171"/>
      <c r="J14" s="1186"/>
      <c r="K14" s="1186"/>
      <c r="L14" s="1186"/>
      <c r="M14" s="1186"/>
      <c r="N14" s="1186"/>
      <c r="O14" s="1186"/>
      <c r="P14" s="1202"/>
      <c r="R14" s="441"/>
      <c r="S14" s="489"/>
      <c r="T14" s="489"/>
      <c r="U14" s="489"/>
      <c r="V14" s="489"/>
      <c r="W14" s="489"/>
      <c r="X14" s="489"/>
      <c r="Y14" s="489"/>
      <c r="Z14" s="482"/>
    </row>
    <row r="15" spans="1:26" ht="219" customHeight="1" x14ac:dyDescent="0.25">
      <c r="A15" s="1177"/>
      <c r="B15" s="1192"/>
      <c r="C15" s="1195"/>
      <c r="D15" s="1198"/>
      <c r="E15" s="494" t="s">
        <v>366</v>
      </c>
      <c r="F15" s="493" t="s">
        <v>376</v>
      </c>
      <c r="G15" s="1171"/>
      <c r="H15" s="1171"/>
      <c r="I15" s="1171"/>
      <c r="J15" s="1186"/>
      <c r="K15" s="1186"/>
      <c r="L15" s="1186"/>
      <c r="M15" s="1186"/>
      <c r="N15" s="1186"/>
      <c r="O15" s="1186"/>
      <c r="P15" s="1202"/>
      <c r="R15" s="441">
        <v>79200000.000000015</v>
      </c>
      <c r="S15" s="489">
        <v>12000000</v>
      </c>
      <c r="T15" s="489"/>
      <c r="U15" s="489"/>
      <c r="V15" s="489"/>
      <c r="W15" s="489">
        <v>43000000</v>
      </c>
      <c r="X15" s="489">
        <v>134200000.00000001</v>
      </c>
      <c r="Y15" s="489"/>
      <c r="Z15" s="482"/>
    </row>
    <row r="16" spans="1:26" ht="262.5" customHeight="1" thickBot="1" x14ac:dyDescent="0.3">
      <c r="A16" s="1177"/>
      <c r="B16" s="1192"/>
      <c r="C16" s="1196"/>
      <c r="D16" s="1200"/>
      <c r="E16" s="503" t="s">
        <v>367</v>
      </c>
      <c r="F16" s="504" t="s">
        <v>384</v>
      </c>
      <c r="G16" s="1171"/>
      <c r="H16" s="1171"/>
      <c r="I16" s="1171"/>
      <c r="J16" s="1186"/>
      <c r="K16" s="1186"/>
      <c r="L16" s="1186"/>
      <c r="M16" s="1186"/>
      <c r="N16" s="1186"/>
      <c r="O16" s="1186"/>
      <c r="P16" s="1202"/>
      <c r="R16" s="441">
        <v>24750000</v>
      </c>
      <c r="S16" s="489"/>
      <c r="T16" s="489"/>
      <c r="U16" s="489"/>
      <c r="V16" s="489"/>
      <c r="W16" s="489">
        <v>35000000</v>
      </c>
      <c r="X16" s="489">
        <v>59750000</v>
      </c>
      <c r="Y16" s="489">
        <v>59750000</v>
      </c>
      <c r="Z16" s="482"/>
    </row>
    <row r="17" spans="1:26" ht="409.5" customHeight="1" x14ac:dyDescent="0.25">
      <c r="A17" s="1177"/>
      <c r="B17" s="1192"/>
      <c r="C17" s="1210" t="str">
        <f>'PRESUPUESTO MODIFICADO (2)'!C17:C19</f>
        <v>B. Implementar la estrategia de comunicación, participación, gobernanza y fortalecimiento institucional para todos los actores, preparando a la sociedad para la resolución pacífica de conflictos territoriales y del postconflicto en la formulación del Plan de Ordenamiento Departamental.</v>
      </c>
      <c r="D17" s="1213" t="s">
        <v>388</v>
      </c>
      <c r="E17" s="495" t="s">
        <v>369</v>
      </c>
      <c r="F17" s="505" t="s">
        <v>385</v>
      </c>
      <c r="G17" s="499" t="s">
        <v>373</v>
      </c>
      <c r="H17" s="499">
        <v>12</v>
      </c>
      <c r="I17" s="1173">
        <v>6</v>
      </c>
      <c r="J17" s="1216">
        <f>R19</f>
        <v>31350000.000000004</v>
      </c>
      <c r="K17" s="1216">
        <f>S19</f>
        <v>6600000.0000000009</v>
      </c>
      <c r="L17" s="1216">
        <f>T19</f>
        <v>12950000</v>
      </c>
      <c r="M17" s="1216"/>
      <c r="N17" s="1216"/>
      <c r="O17" s="1216">
        <f>W19</f>
        <v>102100000</v>
      </c>
      <c r="P17" s="1203">
        <f>J17+K17+L17+M17+N17+O17</f>
        <v>153000000</v>
      </c>
      <c r="R17" s="441"/>
      <c r="S17" s="489"/>
      <c r="T17" s="489"/>
      <c r="U17" s="489"/>
      <c r="V17" s="489"/>
      <c r="W17" s="489"/>
      <c r="X17" s="489"/>
      <c r="Y17" s="489"/>
      <c r="Z17" s="482"/>
    </row>
    <row r="18" spans="1:26" ht="367.5" customHeight="1" x14ac:dyDescent="0.25">
      <c r="A18" s="1177"/>
      <c r="B18" s="1192"/>
      <c r="C18" s="1211"/>
      <c r="D18" s="1214"/>
      <c r="E18" s="497" t="s">
        <v>370</v>
      </c>
      <c r="F18" s="496" t="s">
        <v>386</v>
      </c>
      <c r="G18" s="500" t="s">
        <v>372</v>
      </c>
      <c r="H18" s="500">
        <v>12</v>
      </c>
      <c r="I18" s="1174"/>
      <c r="J18" s="1217"/>
      <c r="K18" s="1217"/>
      <c r="L18" s="1217"/>
      <c r="M18" s="1217"/>
      <c r="N18" s="1217"/>
      <c r="O18" s="1217"/>
      <c r="P18" s="1204"/>
      <c r="R18" s="441"/>
      <c r="S18" s="489"/>
      <c r="T18" s="489"/>
      <c r="U18" s="489"/>
      <c r="V18" s="489"/>
      <c r="W18" s="489"/>
      <c r="X18" s="489"/>
      <c r="Y18" s="489"/>
      <c r="Z18" s="482"/>
    </row>
    <row r="19" spans="1:26" ht="129.75" customHeight="1" thickBot="1" x14ac:dyDescent="0.3">
      <c r="A19" s="1178"/>
      <c r="B19" s="1193"/>
      <c r="C19" s="1212"/>
      <c r="D19" s="1215"/>
      <c r="E19" s="498" t="s">
        <v>371</v>
      </c>
      <c r="F19" s="502" t="s">
        <v>377</v>
      </c>
      <c r="G19" s="501" t="s">
        <v>374</v>
      </c>
      <c r="H19" s="501">
        <v>12</v>
      </c>
      <c r="I19" s="1175"/>
      <c r="J19" s="1218"/>
      <c r="K19" s="1218"/>
      <c r="L19" s="1218"/>
      <c r="M19" s="1218"/>
      <c r="N19" s="1218"/>
      <c r="O19" s="1218"/>
      <c r="P19" s="1205"/>
      <c r="R19" s="441">
        <v>31350000.000000004</v>
      </c>
      <c r="S19" s="489">
        <v>6600000.0000000009</v>
      </c>
      <c r="T19" s="489">
        <v>12950000</v>
      </c>
      <c r="U19" s="489"/>
      <c r="V19" s="489"/>
      <c r="W19" s="489">
        <v>102100000</v>
      </c>
      <c r="X19" s="489">
        <v>153000000</v>
      </c>
      <c r="Y19" s="489">
        <v>153000000</v>
      </c>
      <c r="Z19" s="482"/>
    </row>
    <row r="20" spans="1:26" ht="30" customHeight="1" x14ac:dyDescent="0.25">
      <c r="A20" s="448"/>
      <c r="B20" s="449"/>
      <c r="G20" s="450"/>
      <c r="H20" s="450"/>
      <c r="I20" s="470"/>
      <c r="J20" s="1206" t="s">
        <v>323</v>
      </c>
      <c r="K20" s="1207"/>
      <c r="L20" s="1207"/>
      <c r="M20" s="1207"/>
      <c r="N20" s="1207"/>
      <c r="O20" s="1207"/>
      <c r="P20" s="506">
        <f>SUM(P5:P18)</f>
        <v>3715741201.4161892</v>
      </c>
      <c r="Q20" s="451"/>
      <c r="R20" s="441" t="s">
        <v>323</v>
      </c>
      <c r="S20" s="489"/>
      <c r="T20" s="489"/>
      <c r="U20" s="489"/>
      <c r="V20" s="489"/>
      <c r="W20" s="489"/>
      <c r="X20" s="489"/>
      <c r="Y20" s="489">
        <v>3715741201.4161892</v>
      </c>
      <c r="Z20" s="482"/>
    </row>
    <row r="21" spans="1:26" ht="30" customHeight="1" x14ac:dyDescent="0.25">
      <c r="A21" s="448"/>
      <c r="B21" s="449"/>
      <c r="G21" s="450"/>
      <c r="H21" s="450"/>
      <c r="I21" s="470"/>
      <c r="J21" s="1208" t="s">
        <v>325</v>
      </c>
      <c r="K21" s="1209"/>
      <c r="L21" s="1209"/>
      <c r="M21" s="1209"/>
      <c r="N21" s="1209"/>
      <c r="O21" s="1209"/>
      <c r="P21" s="507">
        <f>P20*19%</f>
        <v>705990828.26907599</v>
      </c>
      <c r="Q21" s="451"/>
      <c r="R21" s="441" t="s">
        <v>325</v>
      </c>
      <c r="S21" s="489"/>
      <c r="T21" s="489"/>
      <c r="U21" s="489"/>
      <c r="V21" s="489"/>
      <c r="W21" s="489"/>
      <c r="X21" s="489"/>
      <c r="Y21" s="489">
        <v>705990828.26907599</v>
      </c>
      <c r="Z21" s="482"/>
    </row>
    <row r="22" spans="1:26" ht="30" customHeight="1" x14ac:dyDescent="0.25">
      <c r="A22" s="448"/>
      <c r="B22" s="449"/>
      <c r="G22" s="450"/>
      <c r="H22" s="450"/>
      <c r="I22" s="470"/>
      <c r="J22" s="1208" t="s">
        <v>324</v>
      </c>
      <c r="K22" s="1209"/>
      <c r="L22" s="1209"/>
      <c r="M22" s="1209"/>
      <c r="N22" s="1209"/>
      <c r="O22" s="1209"/>
      <c r="P22" s="507">
        <f>P20+P21</f>
        <v>4421732029.6852655</v>
      </c>
      <c r="Q22" s="451"/>
      <c r="R22" s="441" t="s">
        <v>324</v>
      </c>
      <c r="S22" s="489"/>
      <c r="T22" s="489"/>
      <c r="U22" s="489"/>
      <c r="V22" s="489"/>
      <c r="W22" s="489"/>
      <c r="X22" s="489"/>
      <c r="Y22" s="489">
        <v>4421732029.6852655</v>
      </c>
      <c r="Z22" s="482"/>
    </row>
    <row r="23" spans="1:26" ht="30" customHeight="1" x14ac:dyDescent="0.25">
      <c r="A23" s="448"/>
      <c r="B23" s="449"/>
      <c r="G23" s="450"/>
      <c r="H23" s="450"/>
      <c r="I23" s="470"/>
      <c r="J23" s="1208" t="s">
        <v>252</v>
      </c>
      <c r="K23" s="1209"/>
      <c r="L23" s="1209"/>
      <c r="M23" s="1209"/>
      <c r="N23" s="1209"/>
      <c r="O23" s="1209"/>
      <c r="P23" s="507">
        <f>P22*7%</f>
        <v>309521242.0779686</v>
      </c>
      <c r="R23" s="441" t="s">
        <v>252</v>
      </c>
      <c r="S23" s="489"/>
      <c r="T23" s="489"/>
      <c r="U23" s="489"/>
      <c r="V23" s="489"/>
      <c r="W23" s="489"/>
      <c r="X23" s="489"/>
      <c r="Y23" s="489">
        <v>309521242.0779686</v>
      </c>
      <c r="Z23" s="482"/>
    </row>
    <row r="24" spans="1:26" ht="30" customHeight="1" thickBot="1" x14ac:dyDescent="0.3">
      <c r="A24" s="448"/>
      <c r="B24" s="449"/>
      <c r="G24" s="450"/>
      <c r="H24" s="450"/>
      <c r="I24" s="470"/>
      <c r="J24" s="1219" t="s">
        <v>319</v>
      </c>
      <c r="K24" s="1220"/>
      <c r="L24" s="1220"/>
      <c r="M24" s="1220"/>
      <c r="N24" s="1220"/>
      <c r="O24" s="1220"/>
      <c r="P24" s="508">
        <f>P22+P23</f>
        <v>4731253271.7632341</v>
      </c>
      <c r="R24" s="441" t="s">
        <v>319</v>
      </c>
      <c r="S24" s="489"/>
      <c r="T24" s="489"/>
      <c r="U24" s="489"/>
      <c r="V24" s="489"/>
      <c r="W24" s="489"/>
      <c r="X24" s="489"/>
      <c r="Y24" s="489">
        <v>4731253271.7632341</v>
      </c>
      <c r="Z24" s="482"/>
    </row>
    <row r="25" spans="1:26" ht="69.95" customHeight="1" x14ac:dyDescent="0.25">
      <c r="A25" s="448"/>
    </row>
    <row r="26" spans="1:26" ht="69.95" customHeight="1" x14ac:dyDescent="0.25">
      <c r="A26" s="448"/>
    </row>
    <row r="27" spans="1:26" ht="30" customHeight="1" x14ac:dyDescent="0.25">
      <c r="A27" s="448"/>
    </row>
    <row r="28" spans="1:26" ht="57.6" customHeight="1" x14ac:dyDescent="0.25">
      <c r="A28" s="448"/>
    </row>
    <row r="29" spans="1:26" ht="14.45" customHeight="1" x14ac:dyDescent="0.25">
      <c r="A29" s="448"/>
    </row>
    <row r="30" spans="1:26" ht="14.45" customHeight="1" x14ac:dyDescent="0.25">
      <c r="A30" s="448"/>
    </row>
    <row r="31" spans="1:26" ht="18" customHeight="1" x14ac:dyDescent="0.25">
      <c r="A31" s="448"/>
    </row>
    <row r="32" spans="1:26" ht="14.45" customHeight="1" x14ac:dyDescent="0.25">
      <c r="A32" s="448"/>
    </row>
    <row r="33" spans="1:1" ht="14.45" customHeight="1" x14ac:dyDescent="0.25">
      <c r="A33" s="448"/>
    </row>
    <row r="34" spans="1:1" ht="14.45" customHeight="1" x14ac:dyDescent="0.25">
      <c r="A34" s="448"/>
    </row>
    <row r="35" spans="1:1" ht="14.45" customHeight="1" x14ac:dyDescent="0.25">
      <c r="A35" s="448"/>
    </row>
    <row r="36" spans="1:1" ht="14.45" customHeight="1" x14ac:dyDescent="0.25">
      <c r="A36" s="448"/>
    </row>
    <row r="37" spans="1:1" ht="14.45" customHeight="1" x14ac:dyDescent="0.25">
      <c r="A37" s="448"/>
    </row>
    <row r="38" spans="1:1" ht="31.15" customHeight="1" x14ac:dyDescent="0.25">
      <c r="A38" s="448"/>
    </row>
    <row r="39" spans="1:1" ht="34.9" customHeight="1" x14ac:dyDescent="0.25">
      <c r="A39" s="448"/>
    </row>
    <row r="40" spans="1:1" ht="28.9" customHeight="1" x14ac:dyDescent="0.25"/>
    <row r="41" spans="1:1" ht="25.5" customHeight="1" x14ac:dyDescent="0.25"/>
    <row r="42" spans="1:1" ht="26.25" customHeight="1" x14ac:dyDescent="0.25"/>
    <row r="43" spans="1:1" ht="22.5" customHeight="1" x14ac:dyDescent="0.25"/>
    <row r="50" spans="1:1" x14ac:dyDescent="0.25">
      <c r="A50" s="452"/>
    </row>
    <row r="51" spans="1:1" x14ac:dyDescent="0.25">
      <c r="A51" s="452"/>
    </row>
    <row r="52" spans="1:1" x14ac:dyDescent="0.25">
      <c r="A52" s="452"/>
    </row>
  </sheetData>
  <mergeCells count="53">
    <mergeCell ref="J22:O22"/>
    <mergeCell ref="J23:O23"/>
    <mergeCell ref="J24:O24"/>
    <mergeCell ref="M17:M19"/>
    <mergeCell ref="N17:N19"/>
    <mergeCell ref="O17:O19"/>
    <mergeCell ref="P17:P19"/>
    <mergeCell ref="J20:O20"/>
    <mergeCell ref="J21:O21"/>
    <mergeCell ref="C17:C19"/>
    <mergeCell ref="D17:D19"/>
    <mergeCell ref="I17:I19"/>
    <mergeCell ref="J17:J19"/>
    <mergeCell ref="K17:K19"/>
    <mergeCell ref="L17:L19"/>
    <mergeCell ref="K12:K16"/>
    <mergeCell ref="L12:L16"/>
    <mergeCell ref="M12:M16"/>
    <mergeCell ref="N12:N16"/>
    <mergeCell ref="O12:O16"/>
    <mergeCell ref="P12:P16"/>
    <mergeCell ref="L9:L11"/>
    <mergeCell ref="M9:M11"/>
    <mergeCell ref="N9:N11"/>
    <mergeCell ref="O9:O11"/>
    <mergeCell ref="P9:P11"/>
    <mergeCell ref="D12:D16"/>
    <mergeCell ref="G12:G16"/>
    <mergeCell ref="H12:H16"/>
    <mergeCell ref="I12:I16"/>
    <mergeCell ref="J12:J16"/>
    <mergeCell ref="N5:N8"/>
    <mergeCell ref="D9:D11"/>
    <mergeCell ref="G9:G11"/>
    <mergeCell ref="H9:H11"/>
    <mergeCell ref="I9:I11"/>
    <mergeCell ref="J9:J11"/>
    <mergeCell ref="O5:O8"/>
    <mergeCell ref="P5:P8"/>
    <mergeCell ref="A1:P1"/>
    <mergeCell ref="A2:P2"/>
    <mergeCell ref="A5:A19"/>
    <mergeCell ref="B5:B19"/>
    <mergeCell ref="C5:C16"/>
    <mergeCell ref="D5:D8"/>
    <mergeCell ref="G5:G8"/>
    <mergeCell ref="H5:H8"/>
    <mergeCell ref="I5:I8"/>
    <mergeCell ref="J5:J8"/>
    <mergeCell ref="K9:K11"/>
    <mergeCell ref="K5:K8"/>
    <mergeCell ref="L5:L8"/>
    <mergeCell ref="M5:M8"/>
  </mergeCells>
  <printOptions horizontalCentered="1" verticalCentered="1"/>
  <pageMargins left="0.23622047244094491" right="0.23622047244094491" top="0.39370078740157483" bottom="0.43307086614173229" header="0.31496062992125984" footer="0.31496062992125984"/>
  <pageSetup paperSize="5" scale="34" fitToHeight="3" orientation="landscape"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249977111117893"/>
    <pageSetUpPr fitToPage="1"/>
  </sheetPr>
  <dimension ref="A1:O115"/>
  <sheetViews>
    <sheetView zoomScale="40" zoomScaleNormal="40" zoomScaleSheetLayoutView="45" workbookViewId="0">
      <selection activeCell="P11" sqref="P11"/>
    </sheetView>
  </sheetViews>
  <sheetFormatPr baseColWidth="10" defaultColWidth="91.28515625" defaultRowHeight="15.75" x14ac:dyDescent="0.25"/>
  <cols>
    <col min="1" max="1" width="25.5703125" style="712" customWidth="1"/>
    <col min="2" max="2" width="19.5703125" style="712" customWidth="1"/>
    <col min="3" max="3" width="9.28515625" style="712" customWidth="1"/>
    <col min="4" max="5" width="40.7109375" style="712" customWidth="1"/>
    <col min="6" max="6" width="37.7109375" style="712" customWidth="1"/>
    <col min="7" max="13" width="20.7109375" style="712" customWidth="1"/>
    <col min="14" max="14" width="22.140625" style="712" bestFit="1" customWidth="1"/>
    <col min="15" max="15" width="24" style="712" customWidth="1"/>
    <col min="16" max="16384" width="91.28515625" style="712"/>
  </cols>
  <sheetData>
    <row r="1" spans="1:15" ht="31.15" customHeight="1" x14ac:dyDescent="0.25">
      <c r="A1" s="1255" t="s">
        <v>461</v>
      </c>
      <c r="B1" s="1255"/>
      <c r="C1" s="1255"/>
      <c r="D1" s="1255"/>
      <c r="E1" s="1255"/>
      <c r="F1" s="1255"/>
      <c r="G1" s="1255"/>
      <c r="H1" s="1255"/>
      <c r="I1" s="1255"/>
      <c r="J1" s="1255"/>
      <c r="K1" s="1255"/>
      <c r="L1" s="1255"/>
      <c r="M1" s="1255"/>
      <c r="N1" s="1255"/>
      <c r="O1" s="1255"/>
    </row>
    <row r="2" spans="1:15" ht="25.5" customHeight="1" x14ac:dyDescent="0.25">
      <c r="A2" s="1255" t="s">
        <v>462</v>
      </c>
      <c r="B2" s="1255"/>
      <c r="C2" s="1255"/>
      <c r="D2" s="1255"/>
      <c r="E2" s="1255"/>
      <c r="F2" s="1255"/>
      <c r="G2" s="1255"/>
      <c r="H2" s="1255"/>
      <c r="I2" s="1255"/>
      <c r="J2" s="1255"/>
      <c r="K2" s="1255"/>
      <c r="L2" s="1255"/>
      <c r="M2" s="1255"/>
      <c r="N2" s="1255"/>
      <c r="O2" s="1255"/>
    </row>
    <row r="3" spans="1:15" ht="35.25" customHeight="1" thickBot="1" x14ac:dyDescent="0.3">
      <c r="A3" s="1255" t="s">
        <v>501</v>
      </c>
      <c r="B3" s="1255"/>
      <c r="C3" s="1255"/>
      <c r="D3" s="1255"/>
      <c r="E3" s="1255"/>
      <c r="F3" s="1255"/>
      <c r="G3" s="1255"/>
      <c r="H3" s="1255"/>
      <c r="I3" s="1255"/>
      <c r="J3" s="1255"/>
      <c r="K3" s="1255"/>
      <c r="L3" s="1255"/>
      <c r="M3" s="1255"/>
      <c r="N3" s="1255"/>
      <c r="O3" s="1255"/>
    </row>
    <row r="4" spans="1:15" ht="41.25" customHeight="1" x14ac:dyDescent="0.25">
      <c r="A4" s="713" t="s">
        <v>329</v>
      </c>
      <c r="B4" s="714" t="s">
        <v>227</v>
      </c>
      <c r="C4" s="714" t="s">
        <v>228</v>
      </c>
      <c r="D4" s="714" t="s">
        <v>236</v>
      </c>
      <c r="E4" s="1254" t="s">
        <v>393</v>
      </c>
      <c r="F4" s="1254"/>
      <c r="G4" s="714" t="s">
        <v>0</v>
      </c>
      <c r="H4" s="714" t="s">
        <v>27</v>
      </c>
      <c r="I4" s="714" t="s">
        <v>498</v>
      </c>
      <c r="J4" s="714" t="s">
        <v>2</v>
      </c>
      <c r="K4" s="714" t="s">
        <v>497</v>
      </c>
      <c r="L4" s="714" t="s">
        <v>319</v>
      </c>
      <c r="M4" s="715">
        <v>0.19</v>
      </c>
      <c r="N4" s="714" t="s">
        <v>499</v>
      </c>
      <c r="O4" s="716" t="s">
        <v>500</v>
      </c>
    </row>
    <row r="5" spans="1:15" s="717" customFormat="1" ht="65.099999999999994" customHeight="1" x14ac:dyDescent="0.25">
      <c r="A5" s="1221" t="s">
        <v>352</v>
      </c>
      <c r="B5" s="1222" t="s">
        <v>230</v>
      </c>
      <c r="C5" s="1222">
        <v>1</v>
      </c>
      <c r="D5" s="1234" t="s">
        <v>465</v>
      </c>
      <c r="E5" s="1242" t="s">
        <v>135</v>
      </c>
      <c r="F5" s="700" t="e">
        <f>#REF!</f>
        <v>#REF!</v>
      </c>
      <c r="G5" s="700" t="s">
        <v>344</v>
      </c>
      <c r="H5" s="700">
        <v>1</v>
      </c>
      <c r="I5" s="700" t="e">
        <f>#REF!</f>
        <v>#REF!</v>
      </c>
      <c r="J5" s="745" t="e">
        <f>H5*I5</f>
        <v>#REF!</v>
      </c>
      <c r="K5" s="700">
        <v>3</v>
      </c>
      <c r="L5" s="700" t="e">
        <f>I5*K5</f>
        <v>#REF!</v>
      </c>
      <c r="M5" s="700" t="e">
        <f>L5*M4</f>
        <v>#REF!</v>
      </c>
      <c r="N5" s="745" t="e">
        <f>L5+M5</f>
        <v>#REF!</v>
      </c>
      <c r="O5" s="1256" t="e">
        <f>SUM(N5:N13)</f>
        <v>#REF!</v>
      </c>
    </row>
    <row r="6" spans="1:15" s="717" customFormat="1" ht="65.099999999999994" customHeight="1" x14ac:dyDescent="0.25">
      <c r="A6" s="1221"/>
      <c r="B6" s="1222"/>
      <c r="C6" s="1222"/>
      <c r="D6" s="1234"/>
      <c r="E6" s="1242"/>
      <c r="F6" s="700" t="e">
        <f>#REF!</f>
        <v>#REF!</v>
      </c>
      <c r="G6" s="700" t="s">
        <v>344</v>
      </c>
      <c r="H6" s="700">
        <v>1</v>
      </c>
      <c r="I6" s="700" t="e">
        <f>#REF!</f>
        <v>#REF!</v>
      </c>
      <c r="J6" s="745" t="e">
        <f t="shared" ref="J6:J20" si="0">H6*I6</f>
        <v>#REF!</v>
      </c>
      <c r="K6" s="700">
        <v>1</v>
      </c>
      <c r="L6" s="700" t="e">
        <f>H6*I6*K6</f>
        <v>#REF!</v>
      </c>
      <c r="M6" s="700" t="e">
        <f>L6*M4</f>
        <v>#REF!</v>
      </c>
      <c r="N6" s="745" t="e">
        <f>L6+M6</f>
        <v>#REF!</v>
      </c>
      <c r="O6" s="1256"/>
    </row>
    <row r="7" spans="1:15" ht="65.099999999999994" customHeight="1" x14ac:dyDescent="0.25">
      <c r="A7" s="1221"/>
      <c r="B7" s="1222"/>
      <c r="C7" s="1222"/>
      <c r="D7" s="1234"/>
      <c r="E7" s="705" t="s">
        <v>136</v>
      </c>
      <c r="F7" s="700" t="e">
        <f>#REF!</f>
        <v>#REF!</v>
      </c>
      <c r="G7" s="700" t="s">
        <v>344</v>
      </c>
      <c r="H7" s="700">
        <v>2</v>
      </c>
      <c r="I7" s="700" t="e">
        <f>#REF!</f>
        <v>#REF!</v>
      </c>
      <c r="J7" s="745" t="e">
        <f t="shared" si="0"/>
        <v>#REF!</v>
      </c>
      <c r="K7" s="700">
        <v>3</v>
      </c>
      <c r="L7" s="700" t="e">
        <f>H7*I7*K7</f>
        <v>#REF!</v>
      </c>
      <c r="M7" s="700" t="e">
        <f>L7*M$4</f>
        <v>#REF!</v>
      </c>
      <c r="N7" s="745" t="e">
        <f>L7+M7</f>
        <v>#REF!</v>
      </c>
      <c r="O7" s="1256"/>
    </row>
    <row r="8" spans="1:15" ht="65.099999999999994" customHeight="1" x14ac:dyDescent="0.25">
      <c r="A8" s="1221"/>
      <c r="B8" s="1222"/>
      <c r="C8" s="1222"/>
      <c r="D8" s="1234"/>
      <c r="E8" s="705" t="s">
        <v>137</v>
      </c>
      <c r="F8" s="700" t="e">
        <f>#REF!</f>
        <v>#REF!</v>
      </c>
      <c r="G8" s="700" t="s">
        <v>344</v>
      </c>
      <c r="H8" s="700">
        <v>37</v>
      </c>
      <c r="I8" s="700" t="e">
        <f>#REF!</f>
        <v>#REF!</v>
      </c>
      <c r="J8" s="745" t="e">
        <f t="shared" si="0"/>
        <v>#REF!</v>
      </c>
      <c r="K8" s="700">
        <v>1</v>
      </c>
      <c r="L8" s="700" t="e">
        <f>H8*I8*K8</f>
        <v>#REF!</v>
      </c>
      <c r="M8" s="700" t="e">
        <f>L8*M$4</f>
        <v>#REF!</v>
      </c>
      <c r="N8" s="745" t="e">
        <f>L8+M8</f>
        <v>#REF!</v>
      </c>
      <c r="O8" s="1256"/>
    </row>
    <row r="9" spans="1:15" ht="65.099999999999994" customHeight="1" x14ac:dyDescent="0.25">
      <c r="A9" s="1221"/>
      <c r="B9" s="1222"/>
      <c r="C9" s="1222"/>
      <c r="D9" s="1234"/>
      <c r="E9" s="1234" t="s">
        <v>138</v>
      </c>
      <c r="F9" s="705" t="s">
        <v>37</v>
      </c>
      <c r="G9" s="700" t="s">
        <v>344</v>
      </c>
      <c r="H9" s="700">
        <v>1</v>
      </c>
      <c r="I9" s="700" t="e">
        <f>#REF!</f>
        <v>#REF!</v>
      </c>
      <c r="J9" s="745" t="e">
        <f t="shared" si="0"/>
        <v>#REF!</v>
      </c>
      <c r="K9" s="700">
        <v>1</v>
      </c>
      <c r="L9" s="700" t="e">
        <f t="shared" ref="L9:L22" si="1">H9*I9*K9</f>
        <v>#REF!</v>
      </c>
      <c r="M9" s="700" t="e">
        <f t="shared" ref="M9:M37" si="2">L9*M$4</f>
        <v>#REF!</v>
      </c>
      <c r="N9" s="745" t="e">
        <f t="shared" ref="N9:N22" si="3">L9+M9</f>
        <v>#REF!</v>
      </c>
      <c r="O9" s="1256"/>
    </row>
    <row r="10" spans="1:15" ht="65.099999999999994" customHeight="1" x14ac:dyDescent="0.25">
      <c r="A10" s="1221"/>
      <c r="B10" s="1222"/>
      <c r="C10" s="1222"/>
      <c r="D10" s="1234"/>
      <c r="E10" s="1234"/>
      <c r="F10" s="705" t="s">
        <v>507</v>
      </c>
      <c r="G10" s="700" t="s">
        <v>344</v>
      </c>
      <c r="H10" s="700">
        <v>1</v>
      </c>
      <c r="I10" s="700" t="e">
        <f>#REF!</f>
        <v>#REF!</v>
      </c>
      <c r="J10" s="745" t="e">
        <f>H10*I10</f>
        <v>#REF!</v>
      </c>
      <c r="K10" s="700">
        <v>1</v>
      </c>
      <c r="L10" s="700" t="e">
        <f>H10*I10*K10</f>
        <v>#REF!</v>
      </c>
      <c r="M10" s="700" t="e">
        <f>L10*M$4</f>
        <v>#REF!</v>
      </c>
      <c r="N10" s="745" t="e">
        <f>L10+M10</f>
        <v>#REF!</v>
      </c>
      <c r="O10" s="1256"/>
    </row>
    <row r="11" spans="1:15" ht="65.099999999999994" customHeight="1" x14ac:dyDescent="0.25">
      <c r="A11" s="1221"/>
      <c r="B11" s="1222"/>
      <c r="C11" s="1222"/>
      <c r="D11" s="1234"/>
      <c r="E11" s="1234"/>
      <c r="F11" s="705" t="s">
        <v>503</v>
      </c>
      <c r="G11" s="700" t="s">
        <v>344</v>
      </c>
      <c r="H11" s="700">
        <v>37</v>
      </c>
      <c r="I11" s="700" t="e">
        <f>#REF!</f>
        <v>#REF!</v>
      </c>
      <c r="J11" s="745" t="e">
        <f t="shared" si="0"/>
        <v>#REF!</v>
      </c>
      <c r="K11" s="700">
        <v>1</v>
      </c>
      <c r="L11" s="700" t="e">
        <f t="shared" si="1"/>
        <v>#REF!</v>
      </c>
      <c r="M11" s="700" t="e">
        <f t="shared" si="2"/>
        <v>#REF!</v>
      </c>
      <c r="N11" s="745" t="e">
        <f t="shared" si="3"/>
        <v>#REF!</v>
      </c>
      <c r="O11" s="1256"/>
    </row>
    <row r="12" spans="1:15" ht="65.099999999999994" customHeight="1" x14ac:dyDescent="0.25">
      <c r="A12" s="1221"/>
      <c r="B12" s="1222"/>
      <c r="C12" s="1222"/>
      <c r="D12" s="1234"/>
      <c r="E12" s="1234"/>
      <c r="F12" s="705" t="s">
        <v>502</v>
      </c>
      <c r="G12" s="700" t="s">
        <v>344</v>
      </c>
      <c r="H12" s="700">
        <v>37</v>
      </c>
      <c r="I12" s="700" t="e">
        <f>#REF!</f>
        <v>#REF!</v>
      </c>
      <c r="J12" s="745" t="e">
        <f t="shared" si="0"/>
        <v>#REF!</v>
      </c>
      <c r="K12" s="700">
        <v>1</v>
      </c>
      <c r="L12" s="700" t="e">
        <f t="shared" si="1"/>
        <v>#REF!</v>
      </c>
      <c r="M12" s="700" t="e">
        <f t="shared" si="2"/>
        <v>#REF!</v>
      </c>
      <c r="N12" s="745" t="e">
        <f t="shared" si="3"/>
        <v>#REF!</v>
      </c>
      <c r="O12" s="1256"/>
    </row>
    <row r="13" spans="1:15" ht="65.099999999999994" customHeight="1" x14ac:dyDescent="0.25">
      <c r="A13" s="1221"/>
      <c r="B13" s="1222"/>
      <c r="C13" s="1222"/>
      <c r="D13" s="1234"/>
      <c r="E13" s="1234"/>
      <c r="F13" s="705" t="s">
        <v>504</v>
      </c>
      <c r="G13" s="700" t="s">
        <v>344</v>
      </c>
      <c r="H13" s="700">
        <v>1</v>
      </c>
      <c r="I13" s="700" t="e">
        <f>#REF!</f>
        <v>#REF!</v>
      </c>
      <c r="J13" s="745" t="e">
        <f t="shared" si="0"/>
        <v>#REF!</v>
      </c>
      <c r="K13" s="700">
        <v>1</v>
      </c>
      <c r="L13" s="700" t="e">
        <f t="shared" si="1"/>
        <v>#REF!</v>
      </c>
      <c r="M13" s="700" t="e">
        <f t="shared" si="2"/>
        <v>#REF!</v>
      </c>
      <c r="N13" s="745" t="e">
        <f t="shared" si="3"/>
        <v>#REF!</v>
      </c>
      <c r="O13" s="1256"/>
    </row>
    <row r="14" spans="1:15" ht="65.099999999999994" customHeight="1" x14ac:dyDescent="0.25">
      <c r="A14" s="1221"/>
      <c r="B14" s="1222"/>
      <c r="C14" s="1222"/>
      <c r="D14" s="1235" t="s">
        <v>466</v>
      </c>
      <c r="E14" s="1247" t="s">
        <v>135</v>
      </c>
      <c r="F14" s="722" t="e">
        <f>#REF!</f>
        <v>#REF!</v>
      </c>
      <c r="G14" s="723" t="s">
        <v>344</v>
      </c>
      <c r="H14" s="723">
        <v>1</v>
      </c>
      <c r="I14" s="723" t="e">
        <f>#REF!</f>
        <v>#REF!</v>
      </c>
      <c r="J14" s="746" t="e">
        <f t="shared" si="0"/>
        <v>#REF!</v>
      </c>
      <c r="K14" s="759">
        <v>2.5</v>
      </c>
      <c r="L14" s="723" t="e">
        <f>J14*K14</f>
        <v>#REF!</v>
      </c>
      <c r="M14" s="723" t="e">
        <f t="shared" si="2"/>
        <v>#REF!</v>
      </c>
      <c r="N14" s="746" t="e">
        <f t="shared" si="3"/>
        <v>#REF!</v>
      </c>
      <c r="O14" s="1243" t="e">
        <f>SUM(N14:N20)</f>
        <v>#REF!</v>
      </c>
    </row>
    <row r="15" spans="1:15" ht="65.099999999999994" customHeight="1" x14ac:dyDescent="0.25">
      <c r="A15" s="1221"/>
      <c r="B15" s="1222"/>
      <c r="C15" s="1222"/>
      <c r="D15" s="1235"/>
      <c r="E15" s="1247"/>
      <c r="F15" s="723" t="e">
        <f>#REF!</f>
        <v>#REF!</v>
      </c>
      <c r="G15" s="723" t="s">
        <v>344</v>
      </c>
      <c r="H15" s="723">
        <v>1</v>
      </c>
      <c r="I15" s="723" t="e">
        <f>#REF!</f>
        <v>#REF!</v>
      </c>
      <c r="J15" s="746" t="e">
        <f t="shared" si="0"/>
        <v>#REF!</v>
      </c>
      <c r="K15" s="723">
        <v>1</v>
      </c>
      <c r="L15" s="723" t="e">
        <f t="shared" si="1"/>
        <v>#REF!</v>
      </c>
      <c r="M15" s="723" t="e">
        <f t="shared" si="2"/>
        <v>#REF!</v>
      </c>
      <c r="N15" s="746" t="e">
        <f t="shared" si="3"/>
        <v>#REF!</v>
      </c>
      <c r="O15" s="1243"/>
    </row>
    <row r="16" spans="1:15" ht="65.099999999999994" customHeight="1" x14ac:dyDescent="0.25">
      <c r="A16" s="1221"/>
      <c r="B16" s="1222"/>
      <c r="C16" s="1222"/>
      <c r="D16" s="1235"/>
      <c r="E16" s="722" t="s">
        <v>136</v>
      </c>
      <c r="F16" s="723" t="e">
        <f>#REF!</f>
        <v>#REF!</v>
      </c>
      <c r="G16" s="723" t="s">
        <v>344</v>
      </c>
      <c r="H16" s="723">
        <v>1</v>
      </c>
      <c r="I16" s="723" t="e">
        <f>#REF!</f>
        <v>#REF!</v>
      </c>
      <c r="J16" s="746" t="e">
        <f t="shared" si="0"/>
        <v>#REF!</v>
      </c>
      <c r="K16" s="723">
        <v>3</v>
      </c>
      <c r="L16" s="723" t="e">
        <f t="shared" si="1"/>
        <v>#REF!</v>
      </c>
      <c r="M16" s="723" t="e">
        <f t="shared" si="2"/>
        <v>#REF!</v>
      </c>
      <c r="N16" s="746" t="e">
        <f t="shared" si="3"/>
        <v>#REF!</v>
      </c>
      <c r="O16" s="1243"/>
    </row>
    <row r="17" spans="1:15" ht="65.099999999999994" customHeight="1" x14ac:dyDescent="0.25">
      <c r="A17" s="1221"/>
      <c r="B17" s="1222"/>
      <c r="C17" s="1222"/>
      <c r="D17" s="1235"/>
      <c r="E17" s="722" t="s">
        <v>137</v>
      </c>
      <c r="F17" s="723" t="e">
        <f>#REF!</f>
        <v>#REF!</v>
      </c>
      <c r="G17" s="723" t="s">
        <v>344</v>
      </c>
      <c r="H17" s="723">
        <v>2</v>
      </c>
      <c r="I17" s="723" t="e">
        <f>#REF!</f>
        <v>#REF!</v>
      </c>
      <c r="J17" s="746" t="e">
        <f t="shared" si="0"/>
        <v>#REF!</v>
      </c>
      <c r="K17" s="723">
        <v>2</v>
      </c>
      <c r="L17" s="723" t="e">
        <f t="shared" si="1"/>
        <v>#REF!</v>
      </c>
      <c r="M17" s="723" t="e">
        <f t="shared" si="2"/>
        <v>#REF!</v>
      </c>
      <c r="N17" s="746" t="e">
        <f t="shared" si="3"/>
        <v>#REF!</v>
      </c>
      <c r="O17" s="1243"/>
    </row>
    <row r="18" spans="1:15" ht="65.099999999999994" customHeight="1" x14ac:dyDescent="0.25">
      <c r="A18" s="1221"/>
      <c r="B18" s="1222"/>
      <c r="C18" s="1222"/>
      <c r="D18" s="1235"/>
      <c r="E18" s="1235" t="s">
        <v>138</v>
      </c>
      <c r="F18" s="722" t="s">
        <v>43</v>
      </c>
      <c r="G18" s="723" t="s">
        <v>344</v>
      </c>
      <c r="H18" s="723">
        <v>1</v>
      </c>
      <c r="I18" s="723" t="e">
        <f>#REF!</f>
        <v>#REF!</v>
      </c>
      <c r="J18" s="746" t="e">
        <f t="shared" si="0"/>
        <v>#REF!</v>
      </c>
      <c r="K18" s="723">
        <v>1</v>
      </c>
      <c r="L18" s="723" t="e">
        <f t="shared" si="1"/>
        <v>#REF!</v>
      </c>
      <c r="M18" s="723" t="e">
        <f t="shared" si="2"/>
        <v>#REF!</v>
      </c>
      <c r="N18" s="746" t="e">
        <f t="shared" si="3"/>
        <v>#REF!</v>
      </c>
      <c r="O18" s="1243"/>
    </row>
    <row r="19" spans="1:15" ht="65.099999999999994" customHeight="1" x14ac:dyDescent="0.25">
      <c r="A19" s="1221"/>
      <c r="B19" s="1222"/>
      <c r="C19" s="1222"/>
      <c r="D19" s="1235"/>
      <c r="E19" s="1235"/>
      <c r="F19" s="722" t="s">
        <v>37</v>
      </c>
      <c r="G19" s="723" t="s">
        <v>344</v>
      </c>
      <c r="H19" s="723">
        <v>1</v>
      </c>
      <c r="I19" s="723" t="e">
        <f>#REF!</f>
        <v>#REF!</v>
      </c>
      <c r="J19" s="746" t="e">
        <f t="shared" si="0"/>
        <v>#REF!</v>
      </c>
      <c r="K19" s="723">
        <v>1</v>
      </c>
      <c r="L19" s="723" t="e">
        <f t="shared" si="1"/>
        <v>#REF!</v>
      </c>
      <c r="M19" s="723" t="e">
        <f t="shared" si="2"/>
        <v>#REF!</v>
      </c>
      <c r="N19" s="746" t="e">
        <f t="shared" si="3"/>
        <v>#REF!</v>
      </c>
      <c r="O19" s="1243"/>
    </row>
    <row r="20" spans="1:15" ht="65.099999999999994" customHeight="1" x14ac:dyDescent="0.25">
      <c r="A20" s="1221"/>
      <c r="B20" s="1222"/>
      <c r="C20" s="1222"/>
      <c r="D20" s="1235"/>
      <c r="E20" s="1235"/>
      <c r="F20" s="722" t="s">
        <v>4</v>
      </c>
      <c r="G20" s="723" t="s">
        <v>344</v>
      </c>
      <c r="H20" s="723">
        <v>3</v>
      </c>
      <c r="I20" s="723" t="e">
        <f>#REF!</f>
        <v>#REF!</v>
      </c>
      <c r="J20" s="746" t="e">
        <f t="shared" si="0"/>
        <v>#REF!</v>
      </c>
      <c r="K20" s="723">
        <v>1</v>
      </c>
      <c r="L20" s="723" t="e">
        <f t="shared" si="1"/>
        <v>#REF!</v>
      </c>
      <c r="M20" s="723" t="e">
        <f t="shared" si="2"/>
        <v>#REF!</v>
      </c>
      <c r="N20" s="746" t="e">
        <f t="shared" si="3"/>
        <v>#REF!</v>
      </c>
      <c r="O20" s="1243"/>
    </row>
    <row r="21" spans="1:15" ht="65.099999999999994" customHeight="1" x14ac:dyDescent="0.25">
      <c r="A21" s="1221"/>
      <c r="B21" s="1222"/>
      <c r="C21" s="1222"/>
      <c r="D21" s="1241" t="s">
        <v>467</v>
      </c>
      <c r="E21" s="706" t="s">
        <v>135</v>
      </c>
      <c r="F21" s="706" t="s">
        <v>493</v>
      </c>
      <c r="G21" s="703" t="s">
        <v>344</v>
      </c>
      <c r="H21" s="703">
        <v>1</v>
      </c>
      <c r="I21" s="703" t="e">
        <f>#REF!</f>
        <v>#REF!</v>
      </c>
      <c r="J21" s="747" t="e">
        <f>H21*I21</f>
        <v>#REF!</v>
      </c>
      <c r="K21" s="703">
        <v>3</v>
      </c>
      <c r="L21" s="703" t="e">
        <f t="shared" si="1"/>
        <v>#REF!</v>
      </c>
      <c r="M21" s="703" t="e">
        <f t="shared" si="2"/>
        <v>#REF!</v>
      </c>
      <c r="N21" s="747" t="e">
        <f t="shared" si="3"/>
        <v>#REF!</v>
      </c>
      <c r="O21" s="1236" t="e">
        <f>SUM(N21:N22)</f>
        <v>#REF!</v>
      </c>
    </row>
    <row r="22" spans="1:15" ht="65.099999999999994" customHeight="1" x14ac:dyDescent="0.25">
      <c r="A22" s="1221"/>
      <c r="B22" s="1222"/>
      <c r="C22" s="1222"/>
      <c r="D22" s="1241"/>
      <c r="E22" s="706" t="s">
        <v>136</v>
      </c>
      <c r="F22" s="703" t="s">
        <v>74</v>
      </c>
      <c r="G22" s="703" t="s">
        <v>344</v>
      </c>
      <c r="H22" s="703">
        <v>1</v>
      </c>
      <c r="I22" s="703" t="e">
        <f>#REF!</f>
        <v>#REF!</v>
      </c>
      <c r="J22" s="747" t="e">
        <f t="shared" ref="J22:J52" si="4">H22*I22</f>
        <v>#REF!</v>
      </c>
      <c r="K22" s="703">
        <v>3</v>
      </c>
      <c r="L22" s="703" t="e">
        <f t="shared" si="1"/>
        <v>#REF!</v>
      </c>
      <c r="M22" s="703" t="e">
        <f t="shared" si="2"/>
        <v>#REF!</v>
      </c>
      <c r="N22" s="747" t="e">
        <f t="shared" si="3"/>
        <v>#REF!</v>
      </c>
      <c r="O22" s="1236"/>
    </row>
    <row r="23" spans="1:15" ht="64.5" customHeight="1" x14ac:dyDescent="0.25">
      <c r="A23" s="1221" t="s">
        <v>358</v>
      </c>
      <c r="B23" s="1222" t="s">
        <v>230</v>
      </c>
      <c r="C23" s="1222">
        <v>1</v>
      </c>
      <c r="D23" s="1226" t="s">
        <v>468</v>
      </c>
      <c r="E23" s="1226" t="s">
        <v>135</v>
      </c>
      <c r="F23" s="704" t="s">
        <v>493</v>
      </c>
      <c r="G23" s="701" t="s">
        <v>344</v>
      </c>
      <c r="H23" s="701">
        <v>1</v>
      </c>
      <c r="I23" s="702" t="e">
        <f>#REF!</f>
        <v>#REF!</v>
      </c>
      <c r="J23" s="748" t="e">
        <f t="shared" si="4"/>
        <v>#REF!</v>
      </c>
      <c r="K23" s="701">
        <v>1</v>
      </c>
      <c r="L23" s="701" t="e">
        <f t="shared" ref="L23:L35" si="5">H23*I23*K23</f>
        <v>#REF!</v>
      </c>
      <c r="M23" s="701" t="e">
        <f t="shared" si="2"/>
        <v>#REF!</v>
      </c>
      <c r="N23" s="748" t="e">
        <f t="shared" ref="N23:N35" si="6">L23+M23</f>
        <v>#REF!</v>
      </c>
      <c r="O23" s="1244" t="e">
        <f>SUM(N23:N37)</f>
        <v>#REF!</v>
      </c>
    </row>
    <row r="24" spans="1:15" ht="64.5" customHeight="1" x14ac:dyDescent="0.25">
      <c r="A24" s="1221"/>
      <c r="B24" s="1222"/>
      <c r="C24" s="1222"/>
      <c r="D24" s="1226"/>
      <c r="E24" s="1226"/>
      <c r="F24" s="704" t="s">
        <v>70</v>
      </c>
      <c r="G24" s="701" t="s">
        <v>344</v>
      </c>
      <c r="H24" s="701">
        <v>1</v>
      </c>
      <c r="I24" s="702" t="e">
        <f>#REF!</f>
        <v>#REF!</v>
      </c>
      <c r="J24" s="748" t="e">
        <f t="shared" si="4"/>
        <v>#REF!</v>
      </c>
      <c r="K24" s="701">
        <v>1</v>
      </c>
      <c r="L24" s="701" t="e">
        <f t="shared" si="5"/>
        <v>#REF!</v>
      </c>
      <c r="M24" s="701" t="e">
        <f t="shared" si="2"/>
        <v>#REF!</v>
      </c>
      <c r="N24" s="748" t="e">
        <f t="shared" si="6"/>
        <v>#REF!</v>
      </c>
      <c r="O24" s="1244"/>
    </row>
    <row r="25" spans="1:15" ht="64.5" customHeight="1" x14ac:dyDescent="0.25">
      <c r="A25" s="1221"/>
      <c r="B25" s="1222"/>
      <c r="C25" s="1222"/>
      <c r="D25" s="1226"/>
      <c r="E25" s="1226"/>
      <c r="F25" s="704" t="s">
        <v>494</v>
      </c>
      <c r="G25" s="701" t="s">
        <v>344</v>
      </c>
      <c r="H25" s="701">
        <v>1</v>
      </c>
      <c r="I25" s="702" t="e">
        <f>#REF!</f>
        <v>#REF!</v>
      </c>
      <c r="J25" s="748" t="e">
        <f t="shared" si="4"/>
        <v>#REF!</v>
      </c>
      <c r="K25" s="701">
        <v>1</v>
      </c>
      <c r="L25" s="701" t="e">
        <f t="shared" si="5"/>
        <v>#REF!</v>
      </c>
      <c r="M25" s="701" t="e">
        <f t="shared" si="2"/>
        <v>#REF!</v>
      </c>
      <c r="N25" s="748" t="e">
        <f t="shared" si="6"/>
        <v>#REF!</v>
      </c>
      <c r="O25" s="1244"/>
    </row>
    <row r="26" spans="1:15" ht="64.5" customHeight="1" x14ac:dyDescent="0.25">
      <c r="A26" s="1221"/>
      <c r="B26" s="1222"/>
      <c r="C26" s="1222"/>
      <c r="D26" s="1226"/>
      <c r="E26" s="1226"/>
      <c r="F26" s="704" t="s">
        <v>495</v>
      </c>
      <c r="G26" s="701" t="s">
        <v>344</v>
      </c>
      <c r="H26" s="701">
        <v>1</v>
      </c>
      <c r="I26" s="702" t="e">
        <f>#REF!</f>
        <v>#REF!</v>
      </c>
      <c r="J26" s="748" t="e">
        <f t="shared" si="4"/>
        <v>#REF!</v>
      </c>
      <c r="K26" s="701">
        <v>1</v>
      </c>
      <c r="L26" s="701" t="e">
        <f t="shared" si="5"/>
        <v>#REF!</v>
      </c>
      <c r="M26" s="701" t="e">
        <f t="shared" si="2"/>
        <v>#REF!</v>
      </c>
      <c r="N26" s="748" t="e">
        <f t="shared" si="6"/>
        <v>#REF!</v>
      </c>
      <c r="O26" s="1244"/>
    </row>
    <row r="27" spans="1:15" ht="64.5" customHeight="1" x14ac:dyDescent="0.25">
      <c r="A27" s="1221"/>
      <c r="B27" s="1222"/>
      <c r="C27" s="1222"/>
      <c r="D27" s="1226"/>
      <c r="E27" s="1226"/>
      <c r="F27" s="704" t="e">
        <f>#REF!</f>
        <v>#REF!</v>
      </c>
      <c r="G27" s="701" t="s">
        <v>344</v>
      </c>
      <c r="H27" s="701">
        <v>1</v>
      </c>
      <c r="I27" s="702" t="e">
        <f>#REF!</f>
        <v>#REF!</v>
      </c>
      <c r="J27" s="748" t="e">
        <f t="shared" si="4"/>
        <v>#REF!</v>
      </c>
      <c r="K27" s="701">
        <v>8</v>
      </c>
      <c r="L27" s="701" t="e">
        <f t="shared" si="5"/>
        <v>#REF!</v>
      </c>
      <c r="M27" s="701" t="e">
        <f t="shared" si="2"/>
        <v>#REF!</v>
      </c>
      <c r="N27" s="748" t="e">
        <f t="shared" si="6"/>
        <v>#REF!</v>
      </c>
      <c r="O27" s="1244"/>
    </row>
    <row r="28" spans="1:15" ht="64.5" customHeight="1" x14ac:dyDescent="0.25">
      <c r="A28" s="1221"/>
      <c r="B28" s="1222"/>
      <c r="C28" s="1222"/>
      <c r="D28" s="1226"/>
      <c r="E28" s="1226"/>
      <c r="F28" s="704" t="s">
        <v>69</v>
      </c>
      <c r="G28" s="701" t="s">
        <v>344</v>
      </c>
      <c r="H28" s="701">
        <v>1</v>
      </c>
      <c r="I28" s="702" t="e">
        <f>#REF!</f>
        <v>#REF!</v>
      </c>
      <c r="J28" s="748" t="e">
        <f t="shared" si="4"/>
        <v>#REF!</v>
      </c>
      <c r="K28" s="701">
        <v>1</v>
      </c>
      <c r="L28" s="701" t="e">
        <f t="shared" si="5"/>
        <v>#REF!</v>
      </c>
      <c r="M28" s="701" t="e">
        <f t="shared" si="2"/>
        <v>#REF!</v>
      </c>
      <c r="N28" s="748" t="e">
        <f t="shared" si="6"/>
        <v>#REF!</v>
      </c>
      <c r="O28" s="1244"/>
    </row>
    <row r="29" spans="1:15" ht="64.5" customHeight="1" x14ac:dyDescent="0.25">
      <c r="A29" s="1221"/>
      <c r="B29" s="1222"/>
      <c r="C29" s="1222"/>
      <c r="D29" s="1226"/>
      <c r="E29" s="1226"/>
      <c r="F29" s="704" t="s">
        <v>3</v>
      </c>
      <c r="G29" s="701" t="s">
        <v>344</v>
      </c>
      <c r="H29" s="701">
        <v>1</v>
      </c>
      <c r="I29" s="702" t="e">
        <f>#REF!</f>
        <v>#REF!</v>
      </c>
      <c r="J29" s="748" t="e">
        <f t="shared" si="4"/>
        <v>#REF!</v>
      </c>
      <c r="K29" s="701">
        <v>1</v>
      </c>
      <c r="L29" s="701" t="e">
        <f t="shared" si="5"/>
        <v>#REF!</v>
      </c>
      <c r="M29" s="701" t="e">
        <f t="shared" si="2"/>
        <v>#REF!</v>
      </c>
      <c r="N29" s="748" t="e">
        <f t="shared" si="6"/>
        <v>#REF!</v>
      </c>
      <c r="O29" s="1244"/>
    </row>
    <row r="30" spans="1:15" ht="64.5" customHeight="1" x14ac:dyDescent="0.25">
      <c r="A30" s="1221"/>
      <c r="B30" s="1222"/>
      <c r="C30" s="1222"/>
      <c r="D30" s="1226"/>
      <c r="E30" s="1226"/>
      <c r="F30" s="704" t="e">
        <f>#REF!</f>
        <v>#REF!</v>
      </c>
      <c r="G30" s="701" t="s">
        <v>344</v>
      </c>
      <c r="H30" s="701">
        <v>1</v>
      </c>
      <c r="I30" s="702" t="e">
        <f>#REF!</f>
        <v>#REF!</v>
      </c>
      <c r="J30" s="748" t="e">
        <f t="shared" si="4"/>
        <v>#REF!</v>
      </c>
      <c r="K30" s="701">
        <v>1</v>
      </c>
      <c r="L30" s="701" t="e">
        <f t="shared" si="5"/>
        <v>#REF!</v>
      </c>
      <c r="M30" s="701" t="e">
        <f t="shared" si="2"/>
        <v>#REF!</v>
      </c>
      <c r="N30" s="748" t="e">
        <f t="shared" si="6"/>
        <v>#REF!</v>
      </c>
      <c r="O30" s="1244"/>
    </row>
    <row r="31" spans="1:15" ht="64.5" customHeight="1" x14ac:dyDescent="0.25">
      <c r="A31" s="1221"/>
      <c r="B31" s="1222"/>
      <c r="C31" s="1222"/>
      <c r="D31" s="1226"/>
      <c r="E31" s="1226"/>
      <c r="F31" s="704" t="s">
        <v>48</v>
      </c>
      <c r="G31" s="701" t="s">
        <v>344</v>
      </c>
      <c r="H31" s="701">
        <v>1</v>
      </c>
      <c r="I31" s="702" t="e">
        <f>#REF!</f>
        <v>#REF!</v>
      </c>
      <c r="J31" s="748" t="e">
        <f t="shared" si="4"/>
        <v>#REF!</v>
      </c>
      <c r="K31" s="701">
        <v>1</v>
      </c>
      <c r="L31" s="701" t="e">
        <f t="shared" si="5"/>
        <v>#REF!</v>
      </c>
      <c r="M31" s="701" t="e">
        <f t="shared" si="2"/>
        <v>#REF!</v>
      </c>
      <c r="N31" s="748" t="e">
        <f t="shared" si="6"/>
        <v>#REF!</v>
      </c>
      <c r="O31" s="1244"/>
    </row>
    <row r="32" spans="1:15" ht="64.5" customHeight="1" x14ac:dyDescent="0.25">
      <c r="A32" s="1221"/>
      <c r="B32" s="1222"/>
      <c r="C32" s="1222"/>
      <c r="D32" s="1226"/>
      <c r="E32" s="1226"/>
      <c r="F32" s="704" t="s">
        <v>68</v>
      </c>
      <c r="G32" s="701" t="s">
        <v>344</v>
      </c>
      <c r="H32" s="701">
        <v>1</v>
      </c>
      <c r="I32" s="702" t="e">
        <f>#REF!</f>
        <v>#REF!</v>
      </c>
      <c r="J32" s="748" t="e">
        <f t="shared" si="4"/>
        <v>#REF!</v>
      </c>
      <c r="K32" s="701">
        <v>1</v>
      </c>
      <c r="L32" s="701" t="e">
        <f t="shared" si="5"/>
        <v>#REF!</v>
      </c>
      <c r="M32" s="701" t="e">
        <f t="shared" si="2"/>
        <v>#REF!</v>
      </c>
      <c r="N32" s="748" t="e">
        <f t="shared" si="6"/>
        <v>#REF!</v>
      </c>
      <c r="O32" s="1244"/>
    </row>
    <row r="33" spans="1:15" ht="64.5" customHeight="1" x14ac:dyDescent="0.25">
      <c r="A33" s="1221"/>
      <c r="B33" s="1222"/>
      <c r="C33" s="1222"/>
      <c r="D33" s="1226"/>
      <c r="E33" s="1226"/>
      <c r="F33" s="704" t="s">
        <v>30</v>
      </c>
      <c r="G33" s="701" t="s">
        <v>344</v>
      </c>
      <c r="H33" s="701">
        <v>1</v>
      </c>
      <c r="I33" s="702" t="e">
        <f>#REF!</f>
        <v>#REF!</v>
      </c>
      <c r="J33" s="748" t="e">
        <f t="shared" si="4"/>
        <v>#REF!</v>
      </c>
      <c r="K33" s="701">
        <v>1</v>
      </c>
      <c r="L33" s="701" t="e">
        <f t="shared" si="5"/>
        <v>#REF!</v>
      </c>
      <c r="M33" s="701" t="e">
        <f t="shared" si="2"/>
        <v>#REF!</v>
      </c>
      <c r="N33" s="748" t="e">
        <f t="shared" si="6"/>
        <v>#REF!</v>
      </c>
      <c r="O33" s="1244"/>
    </row>
    <row r="34" spans="1:15" ht="64.5" customHeight="1" x14ac:dyDescent="0.25">
      <c r="A34" s="1221"/>
      <c r="B34" s="1222"/>
      <c r="C34" s="1222"/>
      <c r="D34" s="1226"/>
      <c r="E34" s="1226"/>
      <c r="F34" s="704" t="s">
        <v>50</v>
      </c>
      <c r="G34" s="701" t="s">
        <v>344</v>
      </c>
      <c r="H34" s="701">
        <v>1</v>
      </c>
      <c r="I34" s="702" t="e">
        <f>#REF!</f>
        <v>#REF!</v>
      </c>
      <c r="J34" s="748" t="e">
        <f t="shared" si="4"/>
        <v>#REF!</v>
      </c>
      <c r="K34" s="701">
        <v>1</v>
      </c>
      <c r="L34" s="701" t="e">
        <f t="shared" si="5"/>
        <v>#REF!</v>
      </c>
      <c r="M34" s="701" t="e">
        <f t="shared" si="2"/>
        <v>#REF!</v>
      </c>
      <c r="N34" s="748" t="e">
        <f t="shared" si="6"/>
        <v>#REF!</v>
      </c>
      <c r="O34" s="1244"/>
    </row>
    <row r="35" spans="1:15" ht="64.5" customHeight="1" x14ac:dyDescent="0.25">
      <c r="A35" s="1221"/>
      <c r="B35" s="1222"/>
      <c r="C35" s="1222"/>
      <c r="D35" s="1226"/>
      <c r="E35" s="1226"/>
      <c r="F35" s="704" t="s">
        <v>345</v>
      </c>
      <c r="G35" s="701" t="s">
        <v>344</v>
      </c>
      <c r="H35" s="701">
        <v>1</v>
      </c>
      <c r="I35" s="702" t="e">
        <f>#REF!</f>
        <v>#REF!</v>
      </c>
      <c r="J35" s="748" t="e">
        <f t="shared" si="4"/>
        <v>#REF!</v>
      </c>
      <c r="K35" s="701">
        <v>1</v>
      </c>
      <c r="L35" s="701" t="e">
        <f t="shared" si="5"/>
        <v>#REF!</v>
      </c>
      <c r="M35" s="701" t="e">
        <f t="shared" si="2"/>
        <v>#REF!</v>
      </c>
      <c r="N35" s="748" t="e">
        <f t="shared" si="6"/>
        <v>#REF!</v>
      </c>
      <c r="O35" s="1244"/>
    </row>
    <row r="36" spans="1:15" ht="65.099999999999994" customHeight="1" x14ac:dyDescent="0.25">
      <c r="A36" s="1221"/>
      <c r="B36" s="1222"/>
      <c r="C36" s="1222"/>
      <c r="D36" s="1226"/>
      <c r="E36" s="704" t="s">
        <v>136</v>
      </c>
      <c r="F36" s="704" t="s">
        <v>74</v>
      </c>
      <c r="G36" s="701" t="s">
        <v>344</v>
      </c>
      <c r="H36" s="701">
        <v>1</v>
      </c>
      <c r="I36" s="701" t="e">
        <f>#REF!</f>
        <v>#REF!</v>
      </c>
      <c r="J36" s="748" t="e">
        <f t="shared" si="4"/>
        <v>#REF!</v>
      </c>
      <c r="K36" s="701">
        <v>8</v>
      </c>
      <c r="L36" s="701" t="e">
        <f t="shared" ref="L36:L37" si="7">H36*I36*K36</f>
        <v>#REF!</v>
      </c>
      <c r="M36" s="701" t="e">
        <f t="shared" si="2"/>
        <v>#REF!</v>
      </c>
      <c r="N36" s="748" t="e">
        <f t="shared" ref="N36:N37" si="8">L36+M36</f>
        <v>#REF!</v>
      </c>
      <c r="O36" s="1244"/>
    </row>
    <row r="37" spans="1:15" s="718" customFormat="1" ht="65.099999999999994" customHeight="1" x14ac:dyDescent="0.25">
      <c r="A37" s="1221"/>
      <c r="B37" s="1222"/>
      <c r="C37" s="1222"/>
      <c r="D37" s="1226"/>
      <c r="E37" s="704" t="s">
        <v>138</v>
      </c>
      <c r="F37" s="701" t="s">
        <v>506</v>
      </c>
      <c r="G37" s="701" t="s">
        <v>344</v>
      </c>
      <c r="H37" s="701">
        <v>1200</v>
      </c>
      <c r="I37" s="701" t="e">
        <f>#REF!</f>
        <v>#REF!</v>
      </c>
      <c r="J37" s="748" t="e">
        <f>H37*I37</f>
        <v>#REF!</v>
      </c>
      <c r="K37" s="701">
        <v>1</v>
      </c>
      <c r="L37" s="701" t="e">
        <f t="shared" si="7"/>
        <v>#REF!</v>
      </c>
      <c r="M37" s="701" t="e">
        <f t="shared" si="2"/>
        <v>#REF!</v>
      </c>
      <c r="N37" s="748" t="e">
        <f t="shared" si="8"/>
        <v>#REF!</v>
      </c>
      <c r="O37" s="1244"/>
    </row>
    <row r="38" spans="1:15" s="718" customFormat="1" ht="49.9" customHeight="1" x14ac:dyDescent="0.25">
      <c r="A38" s="1221"/>
      <c r="B38" s="1222"/>
      <c r="C38" s="1222"/>
      <c r="D38" s="1224" t="s">
        <v>477</v>
      </c>
      <c r="E38" s="726" t="s">
        <v>478</v>
      </c>
      <c r="F38" s="726" t="s">
        <v>478</v>
      </c>
      <c r="G38" s="727" t="s">
        <v>347</v>
      </c>
      <c r="H38" s="727">
        <v>1</v>
      </c>
      <c r="I38" s="727">
        <f>'[3]PRESUPUESTO RESUMEN '!$E$5</f>
        <v>207534616.1272009</v>
      </c>
      <c r="J38" s="749">
        <f t="shared" si="4"/>
        <v>207534616.1272009</v>
      </c>
      <c r="K38" s="727">
        <v>1</v>
      </c>
      <c r="L38" s="727">
        <f>J38*K38</f>
        <v>207534616.1272009</v>
      </c>
      <c r="M38" s="727">
        <f>L38*M$4</f>
        <v>39431577.06416817</v>
      </c>
      <c r="N38" s="749">
        <f>L38+M38</f>
        <v>246966193.19136906</v>
      </c>
      <c r="O38" s="1245">
        <f>SUM(N38:N52)</f>
        <v>2581083211.8855963</v>
      </c>
    </row>
    <row r="39" spans="1:15" s="718" customFormat="1" ht="49.9" customHeight="1" x14ac:dyDescent="0.25">
      <c r="A39" s="1221"/>
      <c r="B39" s="1222"/>
      <c r="C39" s="1222"/>
      <c r="D39" s="1224"/>
      <c r="E39" s="726" t="s">
        <v>479</v>
      </c>
      <c r="F39" s="726" t="s">
        <v>479</v>
      </c>
      <c r="G39" s="727" t="s">
        <v>347</v>
      </c>
      <c r="H39" s="727">
        <v>1</v>
      </c>
      <c r="I39" s="727">
        <f>'[3]PRESUPUESTO RESUMEN '!$E$6</f>
        <v>202322561.50186911</v>
      </c>
      <c r="J39" s="749">
        <f t="shared" si="4"/>
        <v>202322561.50186911</v>
      </c>
      <c r="K39" s="727">
        <v>1</v>
      </c>
      <c r="L39" s="727">
        <f t="shared" ref="L39:L52" si="9">J39*K39</f>
        <v>202322561.50186911</v>
      </c>
      <c r="M39" s="727">
        <f t="shared" ref="M39:M52" si="10">L39*M$4</f>
        <v>38441286.685355134</v>
      </c>
      <c r="N39" s="749">
        <f t="shared" ref="N39:N52" si="11">L39+M39</f>
        <v>240763848.18722424</v>
      </c>
      <c r="O39" s="1245"/>
    </row>
    <row r="40" spans="1:15" s="718" customFormat="1" ht="49.9" customHeight="1" x14ac:dyDescent="0.25">
      <c r="A40" s="1221"/>
      <c r="B40" s="1222"/>
      <c r="C40" s="1222"/>
      <c r="D40" s="1224"/>
      <c r="E40" s="726" t="s">
        <v>480</v>
      </c>
      <c r="F40" s="726" t="s">
        <v>480</v>
      </c>
      <c r="G40" s="727" t="s">
        <v>347</v>
      </c>
      <c r="H40" s="727">
        <v>1</v>
      </c>
      <c r="I40" s="727">
        <f>'[3]PRESUPUESTO RESUMEN '!$E$7</f>
        <v>168408935.66039851</v>
      </c>
      <c r="J40" s="749">
        <f t="shared" si="4"/>
        <v>168408935.66039851</v>
      </c>
      <c r="K40" s="727">
        <v>1</v>
      </c>
      <c r="L40" s="727">
        <f t="shared" si="9"/>
        <v>168408935.66039851</v>
      </c>
      <c r="M40" s="727">
        <f t="shared" si="10"/>
        <v>31997697.775475718</v>
      </c>
      <c r="N40" s="749">
        <f t="shared" si="11"/>
        <v>200406633.43587422</v>
      </c>
      <c r="O40" s="1245"/>
    </row>
    <row r="41" spans="1:15" s="718" customFormat="1" ht="49.9" customHeight="1" x14ac:dyDescent="0.25">
      <c r="A41" s="1221"/>
      <c r="B41" s="1222"/>
      <c r="C41" s="1222"/>
      <c r="D41" s="1224"/>
      <c r="E41" s="726" t="s">
        <v>481</v>
      </c>
      <c r="F41" s="726" t="s">
        <v>481</v>
      </c>
      <c r="G41" s="727" t="s">
        <v>347</v>
      </c>
      <c r="H41" s="727">
        <v>1</v>
      </c>
      <c r="I41" s="727">
        <f>'[3]PRESUPUESTO RESUMEN '!$E$8</f>
        <v>53404421.027862176</v>
      </c>
      <c r="J41" s="749">
        <f t="shared" si="4"/>
        <v>53404421.027862176</v>
      </c>
      <c r="K41" s="727">
        <v>1</v>
      </c>
      <c r="L41" s="727">
        <f t="shared" si="9"/>
        <v>53404421.027862176</v>
      </c>
      <c r="M41" s="727">
        <f t="shared" si="10"/>
        <v>10146839.995293813</v>
      </c>
      <c r="N41" s="749">
        <f t="shared" si="11"/>
        <v>63551261.023155987</v>
      </c>
      <c r="O41" s="1245"/>
    </row>
    <row r="42" spans="1:15" s="718" customFormat="1" ht="49.9" customHeight="1" x14ac:dyDescent="0.25">
      <c r="A42" s="1221"/>
      <c r="B42" s="1222"/>
      <c r="C42" s="1222"/>
      <c r="D42" s="1224"/>
      <c r="E42" s="726" t="s">
        <v>482</v>
      </c>
      <c r="F42" s="726" t="s">
        <v>482</v>
      </c>
      <c r="G42" s="727" t="s">
        <v>347</v>
      </c>
      <c r="H42" s="727">
        <v>1</v>
      </c>
      <c r="I42" s="727">
        <f>'[3]PRESUPUESTO RESUMEN '!$E$9</f>
        <v>37805049.901062764</v>
      </c>
      <c r="J42" s="749">
        <f t="shared" si="4"/>
        <v>37805049.901062764</v>
      </c>
      <c r="K42" s="727">
        <v>1</v>
      </c>
      <c r="L42" s="727">
        <f t="shared" si="9"/>
        <v>37805049.901062764</v>
      </c>
      <c r="M42" s="727">
        <f t="shared" si="10"/>
        <v>7182959.4812019253</v>
      </c>
      <c r="N42" s="749">
        <f t="shared" si="11"/>
        <v>44988009.382264689</v>
      </c>
      <c r="O42" s="1245"/>
    </row>
    <row r="43" spans="1:15" s="718" customFormat="1" ht="49.9" customHeight="1" x14ac:dyDescent="0.25">
      <c r="A43" s="1221"/>
      <c r="B43" s="1222"/>
      <c r="C43" s="1222"/>
      <c r="D43" s="1224"/>
      <c r="E43" s="726" t="s">
        <v>483</v>
      </c>
      <c r="F43" s="726" t="s">
        <v>483</v>
      </c>
      <c r="G43" s="727" t="s">
        <v>347</v>
      </c>
      <c r="H43" s="727">
        <v>1</v>
      </c>
      <c r="I43" s="727">
        <f>'[3]PRESUPUESTO RESUMEN '!$E$10</f>
        <v>86180209.427795395</v>
      </c>
      <c r="J43" s="749">
        <f t="shared" si="4"/>
        <v>86180209.427795395</v>
      </c>
      <c r="K43" s="727">
        <v>1</v>
      </c>
      <c r="L43" s="727">
        <f t="shared" si="9"/>
        <v>86180209.427795395</v>
      </c>
      <c r="M43" s="727">
        <f t="shared" si="10"/>
        <v>16374239.791281125</v>
      </c>
      <c r="N43" s="749">
        <f t="shared" si="11"/>
        <v>102554449.21907651</v>
      </c>
      <c r="O43" s="1245"/>
    </row>
    <row r="44" spans="1:15" s="718" customFormat="1" ht="49.9" customHeight="1" x14ac:dyDescent="0.25">
      <c r="A44" s="1221"/>
      <c r="B44" s="1222"/>
      <c r="C44" s="1222"/>
      <c r="D44" s="1224"/>
      <c r="E44" s="726" t="s">
        <v>484</v>
      </c>
      <c r="F44" s="726" t="s">
        <v>484</v>
      </c>
      <c r="G44" s="727" t="s">
        <v>347</v>
      </c>
      <c r="H44" s="727">
        <v>1</v>
      </c>
      <c r="I44" s="727">
        <f>'[3]PRESUPUESTO RESUMEN '!$E$11</f>
        <v>52355340.536737144</v>
      </c>
      <c r="J44" s="749">
        <f t="shared" si="4"/>
        <v>52355340.536737144</v>
      </c>
      <c r="K44" s="727">
        <v>1</v>
      </c>
      <c r="L44" s="727">
        <f t="shared" si="9"/>
        <v>52355340.536737144</v>
      </c>
      <c r="M44" s="727">
        <f t="shared" si="10"/>
        <v>9947514.7019800581</v>
      </c>
      <c r="N44" s="749">
        <f t="shared" si="11"/>
        <v>62302855.238717198</v>
      </c>
      <c r="O44" s="1245"/>
    </row>
    <row r="45" spans="1:15" s="718" customFormat="1" ht="49.9" customHeight="1" x14ac:dyDescent="0.25">
      <c r="A45" s="1221"/>
      <c r="B45" s="1222"/>
      <c r="C45" s="1222"/>
      <c r="D45" s="1224"/>
      <c r="E45" s="726" t="s">
        <v>485</v>
      </c>
      <c r="F45" s="726" t="s">
        <v>485</v>
      </c>
      <c r="G45" s="727" t="s">
        <v>347</v>
      </c>
      <c r="H45" s="727">
        <v>1</v>
      </c>
      <c r="I45" s="727">
        <f>'[3]PRESUPUESTO RESUMEN '!$E$12</f>
        <v>690163701.55101061</v>
      </c>
      <c r="J45" s="749">
        <f t="shared" si="4"/>
        <v>690163701.55101061</v>
      </c>
      <c r="K45" s="727">
        <v>1</v>
      </c>
      <c r="L45" s="727">
        <f t="shared" si="9"/>
        <v>690163701.55101061</v>
      </c>
      <c r="M45" s="727">
        <f t="shared" si="10"/>
        <v>131131103.29469202</v>
      </c>
      <c r="N45" s="749">
        <f t="shared" si="11"/>
        <v>821294804.84570265</v>
      </c>
      <c r="O45" s="1245"/>
    </row>
    <row r="46" spans="1:15" s="718" customFormat="1" ht="49.9" customHeight="1" x14ac:dyDescent="0.25">
      <c r="A46" s="1221"/>
      <c r="B46" s="1222"/>
      <c r="C46" s="1222"/>
      <c r="D46" s="1224"/>
      <c r="E46" s="726" t="s">
        <v>486</v>
      </c>
      <c r="F46" s="726" t="s">
        <v>486</v>
      </c>
      <c r="G46" s="727" t="s">
        <v>347</v>
      </c>
      <c r="H46" s="727">
        <v>1</v>
      </c>
      <c r="I46" s="727">
        <f>'[3]PRESUPUESTO RESUMEN '!$E$13</f>
        <v>233167936.82886463</v>
      </c>
      <c r="J46" s="749">
        <f t="shared" si="4"/>
        <v>233167936.82886463</v>
      </c>
      <c r="K46" s="727">
        <v>1</v>
      </c>
      <c r="L46" s="727">
        <f t="shared" si="9"/>
        <v>233167936.82886463</v>
      </c>
      <c r="M46" s="727">
        <f t="shared" si="10"/>
        <v>44301907.997484282</v>
      </c>
      <c r="N46" s="749">
        <f t="shared" si="11"/>
        <v>277469844.8263489</v>
      </c>
      <c r="O46" s="1245"/>
    </row>
    <row r="47" spans="1:15" s="718" customFormat="1" ht="49.9" customHeight="1" x14ac:dyDescent="0.25">
      <c r="A47" s="1221"/>
      <c r="B47" s="1222"/>
      <c r="C47" s="1222"/>
      <c r="D47" s="1224"/>
      <c r="E47" s="726" t="s">
        <v>487</v>
      </c>
      <c r="F47" s="726" t="s">
        <v>487</v>
      </c>
      <c r="G47" s="727" t="s">
        <v>347</v>
      </c>
      <c r="H47" s="727">
        <v>1</v>
      </c>
      <c r="I47" s="727">
        <f>'[3]PRESUPUESTO RESUMEN '!$E$14</f>
        <v>62185059.87735492</v>
      </c>
      <c r="J47" s="749">
        <f t="shared" si="4"/>
        <v>62185059.87735492</v>
      </c>
      <c r="K47" s="727">
        <v>1</v>
      </c>
      <c r="L47" s="727">
        <f t="shared" si="9"/>
        <v>62185059.87735492</v>
      </c>
      <c r="M47" s="727">
        <f t="shared" si="10"/>
        <v>11815161.376697434</v>
      </c>
      <c r="N47" s="749">
        <f t="shared" si="11"/>
        <v>74000221.254052356</v>
      </c>
      <c r="O47" s="1245"/>
    </row>
    <row r="48" spans="1:15" s="718" customFormat="1" ht="49.9" customHeight="1" x14ac:dyDescent="0.25">
      <c r="A48" s="1221"/>
      <c r="B48" s="1222"/>
      <c r="C48" s="1222"/>
      <c r="D48" s="1224"/>
      <c r="E48" s="726" t="s">
        <v>488</v>
      </c>
      <c r="F48" s="726" t="s">
        <v>488</v>
      </c>
      <c r="G48" s="727" t="s">
        <v>347</v>
      </c>
      <c r="H48" s="727">
        <v>1</v>
      </c>
      <c r="I48" s="727">
        <f>'[3]PRESUPUESTO RESUMEN '!$E$15</f>
        <v>87088973.526993543</v>
      </c>
      <c r="J48" s="749">
        <f t="shared" si="4"/>
        <v>87088973.526993543</v>
      </c>
      <c r="K48" s="727">
        <v>1</v>
      </c>
      <c r="L48" s="727">
        <f t="shared" si="9"/>
        <v>87088973.526993543</v>
      </c>
      <c r="M48" s="727">
        <f t="shared" si="10"/>
        <v>16546904.970128773</v>
      </c>
      <c r="N48" s="749">
        <f t="shared" si="11"/>
        <v>103635878.49712232</v>
      </c>
      <c r="O48" s="1245"/>
    </row>
    <row r="49" spans="1:15" s="718" customFormat="1" ht="49.9" customHeight="1" x14ac:dyDescent="0.25">
      <c r="A49" s="1221"/>
      <c r="B49" s="1222"/>
      <c r="C49" s="1222"/>
      <c r="D49" s="1224"/>
      <c r="E49" s="726" t="s">
        <v>489</v>
      </c>
      <c r="F49" s="726" t="s">
        <v>489</v>
      </c>
      <c r="G49" s="727" t="s">
        <v>347</v>
      </c>
      <c r="H49" s="727">
        <v>1</v>
      </c>
      <c r="I49" s="727">
        <f>'[3]PRESUPUESTO RESUMEN '!$E$16</f>
        <v>64943857.366013244</v>
      </c>
      <c r="J49" s="749">
        <f t="shared" si="4"/>
        <v>64943857.366013244</v>
      </c>
      <c r="K49" s="727">
        <v>1</v>
      </c>
      <c r="L49" s="727">
        <f t="shared" si="9"/>
        <v>64943857.366013244</v>
      </c>
      <c r="M49" s="727">
        <f t="shared" si="10"/>
        <v>12339332.899542516</v>
      </c>
      <c r="N49" s="749">
        <f t="shared" si="11"/>
        <v>77283190.265555754</v>
      </c>
      <c r="O49" s="1245"/>
    </row>
    <row r="50" spans="1:15" s="718" customFormat="1" ht="49.9" customHeight="1" x14ac:dyDescent="0.25">
      <c r="A50" s="1221"/>
      <c r="B50" s="1222"/>
      <c r="C50" s="1222"/>
      <c r="D50" s="1224"/>
      <c r="E50" s="726" t="s">
        <v>490</v>
      </c>
      <c r="F50" s="726" t="s">
        <v>490</v>
      </c>
      <c r="G50" s="727" t="s">
        <v>347</v>
      </c>
      <c r="H50" s="727">
        <v>1</v>
      </c>
      <c r="I50" s="727">
        <f>'[3]PRESUPUESTO RESUMEN '!$E$17</f>
        <v>54097804.379403502</v>
      </c>
      <c r="J50" s="749">
        <f t="shared" si="4"/>
        <v>54097804.379403502</v>
      </c>
      <c r="K50" s="727">
        <v>1</v>
      </c>
      <c r="L50" s="727">
        <f t="shared" si="9"/>
        <v>54097804.379403502</v>
      </c>
      <c r="M50" s="727">
        <f t="shared" si="10"/>
        <v>10278582.832086666</v>
      </c>
      <c r="N50" s="749">
        <f t="shared" si="11"/>
        <v>64376387.211490169</v>
      </c>
      <c r="O50" s="1245"/>
    </row>
    <row r="51" spans="1:15" s="718" customFormat="1" ht="49.9" customHeight="1" x14ac:dyDescent="0.25">
      <c r="A51" s="1221"/>
      <c r="B51" s="1222"/>
      <c r="C51" s="1222"/>
      <c r="D51" s="1224"/>
      <c r="E51" s="726" t="s">
        <v>491</v>
      </c>
      <c r="F51" s="726" t="s">
        <v>491</v>
      </c>
      <c r="G51" s="727" t="s">
        <v>347</v>
      </c>
      <c r="H51" s="727">
        <v>1</v>
      </c>
      <c r="I51" s="727">
        <f>'[3]PRESUPUESTO RESUMEN '!$E$18</f>
        <v>80261198.680037573</v>
      </c>
      <c r="J51" s="749">
        <f t="shared" si="4"/>
        <v>80261198.680037573</v>
      </c>
      <c r="K51" s="727">
        <v>1</v>
      </c>
      <c r="L51" s="727">
        <f t="shared" si="9"/>
        <v>80261198.680037573</v>
      </c>
      <c r="M51" s="727">
        <f t="shared" si="10"/>
        <v>15249627.749207139</v>
      </c>
      <c r="N51" s="749">
        <f t="shared" si="11"/>
        <v>95510826.429244712</v>
      </c>
      <c r="O51" s="1245"/>
    </row>
    <row r="52" spans="1:15" s="718" customFormat="1" ht="49.9" customHeight="1" x14ac:dyDescent="0.25">
      <c r="A52" s="1221"/>
      <c r="B52" s="1222"/>
      <c r="C52" s="1222"/>
      <c r="D52" s="1224"/>
      <c r="E52" s="726" t="s">
        <v>492</v>
      </c>
      <c r="F52" s="726" t="s">
        <v>492</v>
      </c>
      <c r="G52" s="727" t="s">
        <v>347</v>
      </c>
      <c r="H52" s="727">
        <v>1</v>
      </c>
      <c r="I52" s="727">
        <f>'[3]PRESUPUESTO RESUMEN '!$E$19</f>
        <v>89057822.586888462</v>
      </c>
      <c r="J52" s="749">
        <f t="shared" si="4"/>
        <v>89057822.586888462</v>
      </c>
      <c r="K52" s="727">
        <v>1</v>
      </c>
      <c r="L52" s="727">
        <f t="shared" si="9"/>
        <v>89057822.586888462</v>
      </c>
      <c r="M52" s="727">
        <f t="shared" si="10"/>
        <v>16920986.291508809</v>
      </c>
      <c r="N52" s="749">
        <f t="shared" si="11"/>
        <v>105978808.87839727</v>
      </c>
      <c r="O52" s="1245"/>
    </row>
    <row r="53" spans="1:15" s="718" customFormat="1" ht="65.099999999999994" customHeight="1" x14ac:dyDescent="0.25">
      <c r="A53" s="1221"/>
      <c r="B53" s="1222"/>
      <c r="C53" s="1222"/>
      <c r="D53" s="1225" t="s">
        <v>469</v>
      </c>
      <c r="E53" s="707" t="s">
        <v>135</v>
      </c>
      <c r="F53" s="708" t="e">
        <f>#REF!</f>
        <v>#REF!</v>
      </c>
      <c r="G53" s="708" t="s">
        <v>344</v>
      </c>
      <c r="H53" s="708">
        <v>1</v>
      </c>
      <c r="I53" s="708" t="e">
        <f>#REF!</f>
        <v>#REF!</v>
      </c>
      <c r="J53" s="750" t="e">
        <f>H53*I53</f>
        <v>#REF!</v>
      </c>
      <c r="K53" s="708">
        <v>8</v>
      </c>
      <c r="L53" s="708" t="e">
        <f>H53*I53*K53</f>
        <v>#REF!</v>
      </c>
      <c r="M53" s="708" t="e">
        <f>L53*M$4</f>
        <v>#REF!</v>
      </c>
      <c r="N53" s="750" t="e">
        <f>L53+M53</f>
        <v>#REF!</v>
      </c>
      <c r="O53" s="1246" t="e">
        <f>SUM(N53:N56)</f>
        <v>#REF!</v>
      </c>
    </row>
    <row r="54" spans="1:15" s="718" customFormat="1" ht="65.099999999999994" customHeight="1" x14ac:dyDescent="0.25">
      <c r="A54" s="1221"/>
      <c r="B54" s="1222"/>
      <c r="C54" s="1222"/>
      <c r="D54" s="1225"/>
      <c r="E54" s="707" t="s">
        <v>136</v>
      </c>
      <c r="F54" s="708" t="e">
        <f>#REF!</f>
        <v>#REF!</v>
      </c>
      <c r="G54" s="708" t="s">
        <v>344</v>
      </c>
      <c r="H54" s="708">
        <v>1</v>
      </c>
      <c r="I54" s="708" t="e">
        <f>#REF!</f>
        <v>#REF!</v>
      </c>
      <c r="J54" s="750" t="e">
        <f>H54*I54</f>
        <v>#REF!</v>
      </c>
      <c r="K54" s="708">
        <v>8</v>
      </c>
      <c r="L54" s="708" t="e">
        <f>H54*I54*K54</f>
        <v>#REF!</v>
      </c>
      <c r="M54" s="708" t="e">
        <f>L54*M$4</f>
        <v>#REF!</v>
      </c>
      <c r="N54" s="750" t="e">
        <f>L54+M54</f>
        <v>#REF!</v>
      </c>
      <c r="O54" s="1246"/>
    </row>
    <row r="55" spans="1:15" s="718" customFormat="1" ht="65.099999999999994" customHeight="1" x14ac:dyDescent="0.25">
      <c r="A55" s="1221"/>
      <c r="B55" s="1222"/>
      <c r="C55" s="1222"/>
      <c r="D55" s="1225"/>
      <c r="E55" s="707" t="s">
        <v>179</v>
      </c>
      <c r="F55" s="708" t="s">
        <v>394</v>
      </c>
      <c r="G55" s="708" t="s">
        <v>344</v>
      </c>
      <c r="H55" s="708">
        <v>2</v>
      </c>
      <c r="I55" s="708" t="e">
        <f>#REF!</f>
        <v>#REF!</v>
      </c>
      <c r="J55" s="750" t="e">
        <f>H55*I55</f>
        <v>#REF!</v>
      </c>
      <c r="K55" s="708">
        <v>1</v>
      </c>
      <c r="L55" s="708" t="e">
        <f>H55*I55*K55</f>
        <v>#REF!</v>
      </c>
      <c r="M55" s="708" t="e">
        <f>L55*M$4</f>
        <v>#REF!</v>
      </c>
      <c r="N55" s="750" t="e">
        <f>L55+M55</f>
        <v>#REF!</v>
      </c>
      <c r="O55" s="1246"/>
    </row>
    <row r="56" spans="1:15" s="718" customFormat="1" ht="65.099999999999994" customHeight="1" x14ac:dyDescent="0.25">
      <c r="A56" s="1221"/>
      <c r="B56" s="1222"/>
      <c r="C56" s="1222"/>
      <c r="D56" s="1225"/>
      <c r="E56" s="707" t="s">
        <v>138</v>
      </c>
      <c r="F56" s="708" t="s">
        <v>51</v>
      </c>
      <c r="G56" s="708" t="s">
        <v>344</v>
      </c>
      <c r="H56" s="708">
        <v>4</v>
      </c>
      <c r="I56" s="708" t="e">
        <f>#REF!</f>
        <v>#REF!</v>
      </c>
      <c r="J56" s="750" t="e">
        <f>H56*I56</f>
        <v>#REF!</v>
      </c>
      <c r="K56" s="708">
        <v>1</v>
      </c>
      <c r="L56" s="708" t="e">
        <f>H56*I56*K56</f>
        <v>#REF!</v>
      </c>
      <c r="M56" s="708" t="e">
        <f>L56*M$4</f>
        <v>#REF!</v>
      </c>
      <c r="N56" s="750" t="e">
        <f>L56+M56</f>
        <v>#REF!</v>
      </c>
      <c r="O56" s="1246"/>
    </row>
    <row r="57" spans="1:15" s="718" customFormat="1" ht="65.099999999999994" customHeight="1" x14ac:dyDescent="0.25">
      <c r="A57" s="1221" t="s">
        <v>362</v>
      </c>
      <c r="B57" s="1222" t="s">
        <v>230</v>
      </c>
      <c r="C57" s="1222">
        <v>1</v>
      </c>
      <c r="D57" s="1223" t="s">
        <v>470</v>
      </c>
      <c r="E57" s="1223" t="s">
        <v>135</v>
      </c>
      <c r="F57" s="709" t="s">
        <v>495</v>
      </c>
      <c r="G57" s="710" t="s">
        <v>344</v>
      </c>
      <c r="H57" s="710">
        <v>1</v>
      </c>
      <c r="I57" s="710" t="e">
        <f>#REF!</f>
        <v>#REF!</v>
      </c>
      <c r="J57" s="751" t="e">
        <f t="shared" ref="J57:J62" si="12">H57*I57</f>
        <v>#REF!</v>
      </c>
      <c r="K57" s="710">
        <v>6</v>
      </c>
      <c r="L57" s="710" t="e">
        <f t="shared" ref="L57:L62" si="13">H57*I57*K57</f>
        <v>#REF!</v>
      </c>
      <c r="M57" s="710" t="e">
        <f t="shared" ref="M57:M91" si="14">L57*M$4</f>
        <v>#REF!</v>
      </c>
      <c r="N57" s="751" t="e">
        <f t="shared" ref="N57:N62" si="15">L57+M57</f>
        <v>#REF!</v>
      </c>
      <c r="O57" s="1259" t="e">
        <f>SUM(N57:N64)</f>
        <v>#REF!</v>
      </c>
    </row>
    <row r="58" spans="1:15" s="718" customFormat="1" ht="65.099999999999994" customHeight="1" x14ac:dyDescent="0.25">
      <c r="A58" s="1221"/>
      <c r="B58" s="1222"/>
      <c r="C58" s="1222"/>
      <c r="D58" s="1223"/>
      <c r="E58" s="1223"/>
      <c r="F58" s="709" t="s">
        <v>31</v>
      </c>
      <c r="G58" s="710" t="s">
        <v>344</v>
      </c>
      <c r="H58" s="710">
        <v>1</v>
      </c>
      <c r="I58" s="710" t="e">
        <f>#REF!</f>
        <v>#REF!</v>
      </c>
      <c r="J58" s="751" t="e">
        <f t="shared" si="12"/>
        <v>#REF!</v>
      </c>
      <c r="K58" s="710">
        <v>2</v>
      </c>
      <c r="L58" s="710" t="e">
        <f t="shared" si="13"/>
        <v>#REF!</v>
      </c>
      <c r="M58" s="710" t="e">
        <f t="shared" si="14"/>
        <v>#REF!</v>
      </c>
      <c r="N58" s="751" t="e">
        <f t="shared" si="15"/>
        <v>#REF!</v>
      </c>
      <c r="O58" s="1259"/>
    </row>
    <row r="59" spans="1:15" s="718" customFormat="1" ht="65.099999999999994" customHeight="1" x14ac:dyDescent="0.25">
      <c r="A59" s="1221"/>
      <c r="B59" s="1222"/>
      <c r="C59" s="1222"/>
      <c r="D59" s="1223"/>
      <c r="E59" s="1223"/>
      <c r="F59" s="709" t="s">
        <v>70</v>
      </c>
      <c r="G59" s="710" t="s">
        <v>344</v>
      </c>
      <c r="H59" s="710">
        <v>1</v>
      </c>
      <c r="I59" s="710" t="e">
        <f>#REF!</f>
        <v>#REF!</v>
      </c>
      <c r="J59" s="751" t="e">
        <f t="shared" si="12"/>
        <v>#REF!</v>
      </c>
      <c r="K59" s="710">
        <v>1</v>
      </c>
      <c r="L59" s="710" t="e">
        <f t="shared" si="13"/>
        <v>#REF!</v>
      </c>
      <c r="M59" s="710" t="e">
        <f t="shared" si="14"/>
        <v>#REF!</v>
      </c>
      <c r="N59" s="751" t="e">
        <f t="shared" si="15"/>
        <v>#REF!</v>
      </c>
      <c r="O59" s="1259"/>
    </row>
    <row r="60" spans="1:15" s="718" customFormat="1" ht="65.099999999999994" customHeight="1" x14ac:dyDescent="0.25">
      <c r="A60" s="1221"/>
      <c r="B60" s="1222"/>
      <c r="C60" s="1222"/>
      <c r="D60" s="1223"/>
      <c r="E60" s="1223"/>
      <c r="F60" s="709" t="s">
        <v>493</v>
      </c>
      <c r="G60" s="710" t="s">
        <v>344</v>
      </c>
      <c r="H60" s="710">
        <v>1</v>
      </c>
      <c r="I60" s="710" t="e">
        <f>#REF!</f>
        <v>#REF!</v>
      </c>
      <c r="J60" s="751" t="e">
        <f t="shared" si="12"/>
        <v>#REF!</v>
      </c>
      <c r="K60" s="710">
        <v>1</v>
      </c>
      <c r="L60" s="710" t="e">
        <f t="shared" si="13"/>
        <v>#REF!</v>
      </c>
      <c r="M60" s="710" t="e">
        <f t="shared" si="14"/>
        <v>#REF!</v>
      </c>
      <c r="N60" s="751" t="e">
        <f t="shared" si="15"/>
        <v>#REF!</v>
      </c>
      <c r="O60" s="1259"/>
    </row>
    <row r="61" spans="1:15" s="718" customFormat="1" ht="65.099999999999994" customHeight="1" x14ac:dyDescent="0.25">
      <c r="A61" s="1221"/>
      <c r="B61" s="1222"/>
      <c r="C61" s="1222"/>
      <c r="D61" s="1223"/>
      <c r="E61" s="1223"/>
      <c r="F61" s="709" t="s">
        <v>71</v>
      </c>
      <c r="G61" s="710" t="s">
        <v>344</v>
      </c>
      <c r="H61" s="710">
        <v>1</v>
      </c>
      <c r="I61" s="710" t="e">
        <f>#REF!</f>
        <v>#REF!</v>
      </c>
      <c r="J61" s="751" t="e">
        <f t="shared" si="12"/>
        <v>#REF!</v>
      </c>
      <c r="K61" s="710">
        <v>3</v>
      </c>
      <c r="L61" s="710" t="e">
        <f t="shared" si="13"/>
        <v>#REF!</v>
      </c>
      <c r="M61" s="710" t="e">
        <f t="shared" si="14"/>
        <v>#REF!</v>
      </c>
      <c r="N61" s="751" t="e">
        <f t="shared" si="15"/>
        <v>#REF!</v>
      </c>
      <c r="O61" s="1259"/>
    </row>
    <row r="62" spans="1:15" s="718" customFormat="1" ht="65.099999999999994" customHeight="1" x14ac:dyDescent="0.25">
      <c r="A62" s="1221"/>
      <c r="B62" s="1222"/>
      <c r="C62" s="1222"/>
      <c r="D62" s="1223"/>
      <c r="E62" s="1223"/>
      <c r="F62" s="709" t="e">
        <f>#REF!</f>
        <v>#REF!</v>
      </c>
      <c r="G62" s="710" t="s">
        <v>344</v>
      </c>
      <c r="H62" s="710">
        <v>1</v>
      </c>
      <c r="I62" s="710" t="e">
        <f>#REF!</f>
        <v>#REF!</v>
      </c>
      <c r="J62" s="751" t="e">
        <f t="shared" si="12"/>
        <v>#REF!</v>
      </c>
      <c r="K62" s="710">
        <v>1</v>
      </c>
      <c r="L62" s="710" t="e">
        <f t="shared" si="13"/>
        <v>#REF!</v>
      </c>
      <c r="M62" s="710" t="e">
        <f t="shared" si="14"/>
        <v>#REF!</v>
      </c>
      <c r="N62" s="751" t="e">
        <f t="shared" si="15"/>
        <v>#REF!</v>
      </c>
      <c r="O62" s="1259"/>
    </row>
    <row r="63" spans="1:15" s="718" customFormat="1" ht="65.099999999999994" customHeight="1" x14ac:dyDescent="0.25">
      <c r="A63" s="1221"/>
      <c r="B63" s="1222"/>
      <c r="C63" s="1222"/>
      <c r="D63" s="1223"/>
      <c r="E63" s="709" t="s">
        <v>136</v>
      </c>
      <c r="F63" s="710" t="s">
        <v>74</v>
      </c>
      <c r="G63" s="710" t="s">
        <v>344</v>
      </c>
      <c r="H63" s="710">
        <v>1</v>
      </c>
      <c r="I63" s="710" t="e">
        <f>#REF!</f>
        <v>#REF!</v>
      </c>
      <c r="J63" s="751" t="e">
        <f t="shared" ref="J63" si="16">H63*I63</f>
        <v>#REF!</v>
      </c>
      <c r="K63" s="710">
        <v>6</v>
      </c>
      <c r="L63" s="710" t="e">
        <f t="shared" ref="L63" si="17">H63*I63*K63</f>
        <v>#REF!</v>
      </c>
      <c r="M63" s="710" t="e">
        <f t="shared" si="14"/>
        <v>#REF!</v>
      </c>
      <c r="N63" s="751" t="e">
        <f t="shared" ref="N63" si="18">L63+M63</f>
        <v>#REF!</v>
      </c>
      <c r="O63" s="1259"/>
    </row>
    <row r="64" spans="1:15" s="718" customFormat="1" ht="65.099999999999994" customHeight="1" x14ac:dyDescent="0.25">
      <c r="A64" s="1221"/>
      <c r="B64" s="1222"/>
      <c r="C64" s="1222"/>
      <c r="D64" s="1223"/>
      <c r="E64" s="709" t="s">
        <v>138</v>
      </c>
      <c r="F64" s="710" t="s">
        <v>505</v>
      </c>
      <c r="G64" s="710" t="s">
        <v>344</v>
      </c>
      <c r="H64" s="710">
        <v>1</v>
      </c>
      <c r="I64" s="710" t="e">
        <f>#REF!</f>
        <v>#REF!</v>
      </c>
      <c r="J64" s="751" t="e">
        <f t="shared" ref="J64" si="19">H64*I64</f>
        <v>#REF!</v>
      </c>
      <c r="K64" s="710">
        <v>1</v>
      </c>
      <c r="L64" s="710" t="e">
        <f t="shared" ref="L64" si="20">H64*I64*K64</f>
        <v>#REF!</v>
      </c>
      <c r="M64" s="710" t="e">
        <f t="shared" si="14"/>
        <v>#REF!</v>
      </c>
      <c r="N64" s="751" t="e">
        <f t="shared" ref="N64" si="21">L64+M64</f>
        <v>#REF!</v>
      </c>
      <c r="O64" s="1259"/>
    </row>
    <row r="65" spans="1:15" s="718" customFormat="1" ht="65.099999999999994" customHeight="1" x14ac:dyDescent="0.25">
      <c r="A65" s="1221"/>
      <c r="B65" s="1222"/>
      <c r="C65" s="1222"/>
      <c r="D65" s="1238" t="s">
        <v>471</v>
      </c>
      <c r="E65" s="1238" t="s">
        <v>135</v>
      </c>
      <c r="F65" s="728" t="e">
        <f>#REF!</f>
        <v>#REF!</v>
      </c>
      <c r="G65" s="728" t="s">
        <v>344</v>
      </c>
      <c r="H65" s="728">
        <v>1</v>
      </c>
      <c r="I65" s="728" t="e">
        <f>#REF!</f>
        <v>#REF!</v>
      </c>
      <c r="J65" s="752" t="e">
        <f t="shared" ref="J65" si="22">H65*I65</f>
        <v>#REF!</v>
      </c>
      <c r="K65" s="728">
        <v>6</v>
      </c>
      <c r="L65" s="728" t="e">
        <f t="shared" ref="L65" si="23">H65*I65*K65</f>
        <v>#REF!</v>
      </c>
      <c r="M65" s="728" t="e">
        <f t="shared" si="14"/>
        <v>#REF!</v>
      </c>
      <c r="N65" s="752" t="e">
        <f t="shared" ref="N65" si="24">L65+M65</f>
        <v>#REF!</v>
      </c>
      <c r="O65" s="1260" t="e">
        <f>SUM(N65:N68)</f>
        <v>#REF!</v>
      </c>
    </row>
    <row r="66" spans="1:15" s="718" customFormat="1" ht="65.099999999999994" customHeight="1" x14ac:dyDescent="0.25">
      <c r="A66" s="1221"/>
      <c r="B66" s="1222"/>
      <c r="C66" s="1222"/>
      <c r="D66" s="1238"/>
      <c r="E66" s="1238"/>
      <c r="F66" s="728" t="s">
        <v>496</v>
      </c>
      <c r="G66" s="728" t="s">
        <v>344</v>
      </c>
      <c r="H66" s="728">
        <v>2</v>
      </c>
      <c r="I66" s="728" t="e">
        <f>#REF!</f>
        <v>#REF!</v>
      </c>
      <c r="J66" s="752" t="e">
        <f t="shared" ref="J66" si="25">H66*I66</f>
        <v>#REF!</v>
      </c>
      <c r="K66" s="728">
        <v>6</v>
      </c>
      <c r="L66" s="728" t="e">
        <f t="shared" ref="L66" si="26">H66*I66*K66</f>
        <v>#REF!</v>
      </c>
      <c r="M66" s="728" t="e">
        <f t="shared" si="14"/>
        <v>#REF!</v>
      </c>
      <c r="N66" s="752" t="e">
        <f t="shared" ref="N66" si="27">L66+M66</f>
        <v>#REF!</v>
      </c>
      <c r="O66" s="1260"/>
    </row>
    <row r="67" spans="1:15" s="718" customFormat="1" ht="65.099999999999994" customHeight="1" x14ac:dyDescent="0.25">
      <c r="A67" s="1221"/>
      <c r="B67" s="1222"/>
      <c r="C67" s="1222"/>
      <c r="D67" s="1238"/>
      <c r="E67" s="729" t="s">
        <v>136</v>
      </c>
      <c r="F67" s="728" t="s">
        <v>74</v>
      </c>
      <c r="G67" s="728" t="s">
        <v>344</v>
      </c>
      <c r="H67" s="728">
        <v>1</v>
      </c>
      <c r="I67" s="728" t="e">
        <f>#REF!</f>
        <v>#REF!</v>
      </c>
      <c r="J67" s="752" t="e">
        <f t="shared" ref="J67:J68" si="28">H67*I67</f>
        <v>#REF!</v>
      </c>
      <c r="K67" s="728">
        <v>6</v>
      </c>
      <c r="L67" s="728" t="e">
        <f t="shared" ref="L67:L68" si="29">H67*I67*K67</f>
        <v>#REF!</v>
      </c>
      <c r="M67" s="728" t="e">
        <f t="shared" si="14"/>
        <v>#REF!</v>
      </c>
      <c r="N67" s="752" t="e">
        <f t="shared" ref="N67:N68" si="30">L67+M67</f>
        <v>#REF!</v>
      </c>
      <c r="O67" s="1260"/>
    </row>
    <row r="68" spans="1:15" s="718" customFormat="1" ht="65.099999999999994" customHeight="1" x14ac:dyDescent="0.25">
      <c r="A68" s="1221"/>
      <c r="B68" s="1222"/>
      <c r="C68" s="1222"/>
      <c r="D68" s="1238"/>
      <c r="E68" s="729" t="s">
        <v>138</v>
      </c>
      <c r="F68" s="728" t="s">
        <v>505</v>
      </c>
      <c r="G68" s="728" t="s">
        <v>344</v>
      </c>
      <c r="H68" s="728">
        <v>1</v>
      </c>
      <c r="I68" s="728" t="e">
        <f>#REF!</f>
        <v>#REF!</v>
      </c>
      <c r="J68" s="752" t="e">
        <f t="shared" si="28"/>
        <v>#REF!</v>
      </c>
      <c r="K68" s="728">
        <v>1</v>
      </c>
      <c r="L68" s="728" t="e">
        <f t="shared" si="29"/>
        <v>#REF!</v>
      </c>
      <c r="M68" s="728" t="e">
        <f t="shared" si="14"/>
        <v>#REF!</v>
      </c>
      <c r="N68" s="752" t="e">
        <f t="shared" si="30"/>
        <v>#REF!</v>
      </c>
      <c r="O68" s="1260"/>
    </row>
    <row r="69" spans="1:15" s="718" customFormat="1" ht="65.099999999999994" customHeight="1" x14ac:dyDescent="0.25">
      <c r="A69" s="1221"/>
      <c r="B69" s="1222"/>
      <c r="C69" s="1222"/>
      <c r="D69" s="1239" t="s">
        <v>472</v>
      </c>
      <c r="E69" s="1239" t="s">
        <v>135</v>
      </c>
      <c r="F69" s="730" t="s">
        <v>73</v>
      </c>
      <c r="G69" s="731" t="s">
        <v>344</v>
      </c>
      <c r="H69" s="731">
        <v>1</v>
      </c>
      <c r="I69" s="731" t="e">
        <f>#REF!</f>
        <v>#REF!</v>
      </c>
      <c r="J69" s="753" t="e">
        <f t="shared" ref="J69:J73" si="31">H69*I69</f>
        <v>#REF!</v>
      </c>
      <c r="K69" s="731">
        <v>6</v>
      </c>
      <c r="L69" s="731" t="e">
        <f t="shared" ref="L69:L73" si="32">H69*I69*K69</f>
        <v>#REF!</v>
      </c>
      <c r="M69" s="731" t="e">
        <f t="shared" si="14"/>
        <v>#REF!</v>
      </c>
      <c r="N69" s="753" t="e">
        <f t="shared" ref="N69:N73" si="33">L69+M69</f>
        <v>#REF!</v>
      </c>
      <c r="O69" s="1261" t="e">
        <f>SUM(N69:N73)</f>
        <v>#REF!</v>
      </c>
    </row>
    <row r="70" spans="1:15" s="718" customFormat="1" ht="65.099999999999994" customHeight="1" x14ac:dyDescent="0.25">
      <c r="A70" s="1221"/>
      <c r="B70" s="1222"/>
      <c r="C70" s="1222"/>
      <c r="D70" s="1239"/>
      <c r="E70" s="1239"/>
      <c r="F70" s="730" t="s">
        <v>49</v>
      </c>
      <c r="G70" s="731" t="s">
        <v>344</v>
      </c>
      <c r="H70" s="731">
        <v>1</v>
      </c>
      <c r="I70" s="731" t="e">
        <f>#REF!</f>
        <v>#REF!</v>
      </c>
      <c r="J70" s="753" t="e">
        <f t="shared" si="31"/>
        <v>#REF!</v>
      </c>
      <c r="K70" s="731">
        <v>1</v>
      </c>
      <c r="L70" s="731" t="e">
        <f t="shared" si="32"/>
        <v>#REF!</v>
      </c>
      <c r="M70" s="731" t="e">
        <f t="shared" si="14"/>
        <v>#REF!</v>
      </c>
      <c r="N70" s="753" t="e">
        <f t="shared" si="33"/>
        <v>#REF!</v>
      </c>
      <c r="O70" s="1261"/>
    </row>
    <row r="71" spans="1:15" s="718" customFormat="1" ht="65.099999999999994" customHeight="1" x14ac:dyDescent="0.25">
      <c r="A71" s="1221"/>
      <c r="B71" s="1222"/>
      <c r="C71" s="1222"/>
      <c r="D71" s="1239"/>
      <c r="E71" s="1239"/>
      <c r="F71" s="730" t="s">
        <v>493</v>
      </c>
      <c r="G71" s="731" t="s">
        <v>344</v>
      </c>
      <c r="H71" s="731">
        <v>1</v>
      </c>
      <c r="I71" s="731" t="e">
        <f>#REF!</f>
        <v>#REF!</v>
      </c>
      <c r="J71" s="753" t="e">
        <f t="shared" si="31"/>
        <v>#REF!</v>
      </c>
      <c r="K71" s="731">
        <v>1</v>
      </c>
      <c r="L71" s="731" t="e">
        <f t="shared" si="32"/>
        <v>#REF!</v>
      </c>
      <c r="M71" s="731" t="e">
        <f t="shared" si="14"/>
        <v>#REF!</v>
      </c>
      <c r="N71" s="753" t="e">
        <f t="shared" si="33"/>
        <v>#REF!</v>
      </c>
      <c r="O71" s="1261"/>
    </row>
    <row r="72" spans="1:15" s="718" customFormat="1" ht="65.099999999999994" customHeight="1" x14ac:dyDescent="0.25">
      <c r="A72" s="1221"/>
      <c r="B72" s="1222"/>
      <c r="C72" s="1222"/>
      <c r="D72" s="1239"/>
      <c r="E72" s="1239"/>
      <c r="F72" s="730" t="s">
        <v>70</v>
      </c>
      <c r="G72" s="731" t="s">
        <v>344</v>
      </c>
      <c r="H72" s="731">
        <v>1</v>
      </c>
      <c r="I72" s="731" t="e">
        <f>#REF!</f>
        <v>#REF!</v>
      </c>
      <c r="J72" s="753" t="e">
        <f t="shared" si="31"/>
        <v>#REF!</v>
      </c>
      <c r="K72" s="731">
        <v>1</v>
      </c>
      <c r="L72" s="731" t="e">
        <f t="shared" si="32"/>
        <v>#REF!</v>
      </c>
      <c r="M72" s="731" t="e">
        <f t="shared" si="14"/>
        <v>#REF!</v>
      </c>
      <c r="N72" s="753" t="e">
        <f t="shared" si="33"/>
        <v>#REF!</v>
      </c>
      <c r="O72" s="1261"/>
    </row>
    <row r="73" spans="1:15" s="718" customFormat="1" ht="65.099999999999994" customHeight="1" x14ac:dyDescent="0.25">
      <c r="A73" s="1221"/>
      <c r="B73" s="1222"/>
      <c r="C73" s="1222"/>
      <c r="D73" s="1239"/>
      <c r="E73" s="730" t="s">
        <v>136</v>
      </c>
      <c r="F73" s="731" t="s">
        <v>74</v>
      </c>
      <c r="G73" s="731" t="s">
        <v>344</v>
      </c>
      <c r="H73" s="731">
        <v>1</v>
      </c>
      <c r="I73" s="731" t="e">
        <f>#REF!</f>
        <v>#REF!</v>
      </c>
      <c r="J73" s="753" t="e">
        <f t="shared" si="31"/>
        <v>#REF!</v>
      </c>
      <c r="K73" s="731">
        <v>6</v>
      </c>
      <c r="L73" s="731" t="e">
        <f t="shared" si="32"/>
        <v>#REF!</v>
      </c>
      <c r="M73" s="731" t="e">
        <f t="shared" si="14"/>
        <v>#REF!</v>
      </c>
      <c r="N73" s="753" t="e">
        <f t="shared" si="33"/>
        <v>#REF!</v>
      </c>
      <c r="O73" s="1261"/>
    </row>
    <row r="74" spans="1:15" s="718" customFormat="1" ht="72.75" customHeight="1" x14ac:dyDescent="0.25">
      <c r="A74" s="1221"/>
      <c r="B74" s="1222"/>
      <c r="C74" s="1222"/>
      <c r="D74" s="1240" t="s">
        <v>473</v>
      </c>
      <c r="E74" s="1240" t="s">
        <v>135</v>
      </c>
      <c r="F74" s="732" t="e">
        <f>#REF!</f>
        <v>#REF!</v>
      </c>
      <c r="G74" s="733" t="s">
        <v>344</v>
      </c>
      <c r="H74" s="733">
        <v>1</v>
      </c>
      <c r="I74" s="733" t="e">
        <f>#REF!</f>
        <v>#REF!</v>
      </c>
      <c r="J74" s="754" t="e">
        <f t="shared" ref="J74:J75" si="34">H74*I74</f>
        <v>#REF!</v>
      </c>
      <c r="K74" s="733">
        <v>6</v>
      </c>
      <c r="L74" s="733" t="e">
        <f t="shared" ref="L74:L75" si="35">H74*I74*K74</f>
        <v>#REF!</v>
      </c>
      <c r="M74" s="733" t="e">
        <f t="shared" si="14"/>
        <v>#REF!</v>
      </c>
      <c r="N74" s="754" t="e">
        <f t="shared" ref="N74:N75" si="36">L74+M74</f>
        <v>#REF!</v>
      </c>
      <c r="O74" s="1262" t="e">
        <f>SUM(N74:N76)</f>
        <v>#REF!</v>
      </c>
    </row>
    <row r="75" spans="1:15" s="718" customFormat="1" ht="72.75" customHeight="1" x14ac:dyDescent="0.25">
      <c r="A75" s="1221"/>
      <c r="B75" s="1222"/>
      <c r="C75" s="1222"/>
      <c r="D75" s="1240"/>
      <c r="E75" s="1240"/>
      <c r="F75" s="732" t="e">
        <f>#REF!</f>
        <v>#REF!</v>
      </c>
      <c r="G75" s="733" t="s">
        <v>344</v>
      </c>
      <c r="H75" s="733">
        <v>1</v>
      </c>
      <c r="I75" s="733" t="e">
        <f>#REF!</f>
        <v>#REF!</v>
      </c>
      <c r="J75" s="754" t="e">
        <f t="shared" si="34"/>
        <v>#REF!</v>
      </c>
      <c r="K75" s="733">
        <v>1</v>
      </c>
      <c r="L75" s="733" t="e">
        <f t="shared" si="35"/>
        <v>#REF!</v>
      </c>
      <c r="M75" s="733" t="e">
        <f t="shared" si="14"/>
        <v>#REF!</v>
      </c>
      <c r="N75" s="754" t="e">
        <f t="shared" si="36"/>
        <v>#REF!</v>
      </c>
      <c r="O75" s="1262"/>
    </row>
    <row r="76" spans="1:15" s="718" customFormat="1" ht="72.75" customHeight="1" x14ac:dyDescent="0.25">
      <c r="A76" s="1221"/>
      <c r="B76" s="1222"/>
      <c r="C76" s="1222"/>
      <c r="D76" s="1240"/>
      <c r="E76" s="732" t="s">
        <v>136</v>
      </c>
      <c r="F76" s="733" t="e">
        <f>#REF!</f>
        <v>#REF!</v>
      </c>
      <c r="G76" s="733" t="s">
        <v>344</v>
      </c>
      <c r="H76" s="733">
        <v>1</v>
      </c>
      <c r="I76" s="733" t="e">
        <f>#REF!</f>
        <v>#REF!</v>
      </c>
      <c r="J76" s="754" t="e">
        <f t="shared" ref="J76" si="37">H76*I76</f>
        <v>#REF!</v>
      </c>
      <c r="K76" s="733">
        <v>6</v>
      </c>
      <c r="L76" s="733" t="e">
        <f t="shared" ref="L76" si="38">H76*I76*K76</f>
        <v>#REF!</v>
      </c>
      <c r="M76" s="733" t="e">
        <f t="shared" si="14"/>
        <v>#REF!</v>
      </c>
      <c r="N76" s="754" t="e">
        <f t="shared" ref="N76" si="39">L76+M76</f>
        <v>#REF!</v>
      </c>
      <c r="O76" s="1262"/>
    </row>
    <row r="77" spans="1:15" s="718" customFormat="1" ht="65.099999999999994" customHeight="1" x14ac:dyDescent="0.25">
      <c r="A77" s="1221"/>
      <c r="B77" s="1222"/>
      <c r="C77" s="1222"/>
      <c r="D77" s="1237" t="s">
        <v>474</v>
      </c>
      <c r="E77" s="1237" t="s">
        <v>135</v>
      </c>
      <c r="F77" s="734" t="e">
        <f>#REF!</f>
        <v>#REF!</v>
      </c>
      <c r="G77" s="734" t="s">
        <v>344</v>
      </c>
      <c r="H77" s="734">
        <v>1</v>
      </c>
      <c r="I77" s="734" t="e">
        <f>#REF!</f>
        <v>#REF!</v>
      </c>
      <c r="J77" s="755" t="e">
        <f t="shared" ref="J77:J78" si="40">H77*I77</f>
        <v>#REF!</v>
      </c>
      <c r="K77" s="734">
        <v>1</v>
      </c>
      <c r="L77" s="734" t="e">
        <f t="shared" ref="L77:L78" si="41">H77*I77*K77</f>
        <v>#REF!</v>
      </c>
      <c r="M77" s="734" t="e">
        <f t="shared" si="14"/>
        <v>#REF!</v>
      </c>
      <c r="N77" s="755" t="e">
        <f t="shared" ref="N77:N78" si="42">L77+M77</f>
        <v>#REF!</v>
      </c>
      <c r="O77" s="1263" t="e">
        <f>SUM(N77:N80)</f>
        <v>#REF!</v>
      </c>
    </row>
    <row r="78" spans="1:15" s="718" customFormat="1" ht="65.099999999999994" customHeight="1" x14ac:dyDescent="0.25">
      <c r="A78" s="1221"/>
      <c r="B78" s="1222"/>
      <c r="C78" s="1222"/>
      <c r="D78" s="1237"/>
      <c r="E78" s="1237"/>
      <c r="F78" s="734" t="e">
        <f>#REF!</f>
        <v>#REF!</v>
      </c>
      <c r="G78" s="734" t="s">
        <v>344</v>
      </c>
      <c r="H78" s="734">
        <v>1</v>
      </c>
      <c r="I78" s="734" t="e">
        <f>#REF!</f>
        <v>#REF!</v>
      </c>
      <c r="J78" s="755" t="e">
        <f t="shared" si="40"/>
        <v>#REF!</v>
      </c>
      <c r="K78" s="734">
        <v>6</v>
      </c>
      <c r="L78" s="734" t="e">
        <f t="shared" si="41"/>
        <v>#REF!</v>
      </c>
      <c r="M78" s="734" t="e">
        <f t="shared" si="14"/>
        <v>#REF!</v>
      </c>
      <c r="N78" s="755" t="e">
        <f t="shared" si="42"/>
        <v>#REF!</v>
      </c>
      <c r="O78" s="1263"/>
    </row>
    <row r="79" spans="1:15" s="718" customFormat="1" ht="65.099999999999994" customHeight="1" x14ac:dyDescent="0.25">
      <c r="A79" s="1221"/>
      <c r="B79" s="1222"/>
      <c r="C79" s="1222"/>
      <c r="D79" s="1237"/>
      <c r="E79" s="735" t="s">
        <v>136</v>
      </c>
      <c r="F79" s="734" t="s">
        <v>74</v>
      </c>
      <c r="G79" s="734" t="s">
        <v>344</v>
      </c>
      <c r="H79" s="734">
        <v>1</v>
      </c>
      <c r="I79" s="734" t="e">
        <f>#REF!</f>
        <v>#REF!</v>
      </c>
      <c r="J79" s="755" t="e">
        <f t="shared" ref="J79" si="43">H79*I79</f>
        <v>#REF!</v>
      </c>
      <c r="K79" s="734">
        <v>6</v>
      </c>
      <c r="L79" s="734" t="e">
        <f t="shared" ref="L79" si="44">H79*I79*K79</f>
        <v>#REF!</v>
      </c>
      <c r="M79" s="734" t="e">
        <f t="shared" si="14"/>
        <v>#REF!</v>
      </c>
      <c r="N79" s="755" t="e">
        <f t="shared" ref="N79" si="45">L79+M79</f>
        <v>#REF!</v>
      </c>
      <c r="O79" s="1263"/>
    </row>
    <row r="80" spans="1:15" s="718" customFormat="1" ht="65.099999999999994" customHeight="1" x14ac:dyDescent="0.25">
      <c r="A80" s="1221"/>
      <c r="B80" s="1222"/>
      <c r="C80" s="1222"/>
      <c r="D80" s="1237"/>
      <c r="E80" s="735" t="s">
        <v>138</v>
      </c>
      <c r="F80" s="734" t="s">
        <v>505</v>
      </c>
      <c r="G80" s="734" t="s">
        <v>344</v>
      </c>
      <c r="H80" s="734">
        <v>1</v>
      </c>
      <c r="I80" s="734" t="e">
        <f>#REF!</f>
        <v>#REF!</v>
      </c>
      <c r="J80" s="755" t="e">
        <f t="shared" ref="J80" si="46">H80*I80</f>
        <v>#REF!</v>
      </c>
      <c r="K80" s="734">
        <v>1</v>
      </c>
      <c r="L80" s="734" t="e">
        <f t="shared" ref="L80" si="47">H80*I80*K80</f>
        <v>#REF!</v>
      </c>
      <c r="M80" s="734" t="e">
        <f t="shared" si="14"/>
        <v>#REF!</v>
      </c>
      <c r="N80" s="755" t="e">
        <f t="shared" ref="N80" si="48">L80+M80</f>
        <v>#REF!</v>
      </c>
      <c r="O80" s="1263"/>
    </row>
    <row r="81" spans="1:15" s="718" customFormat="1" ht="65.099999999999994" customHeight="1" x14ac:dyDescent="0.25">
      <c r="A81" s="1227" t="s">
        <v>388</v>
      </c>
      <c r="B81" s="1222" t="s">
        <v>373</v>
      </c>
      <c r="C81" s="1222">
        <v>12</v>
      </c>
      <c r="D81" s="1229" t="s">
        <v>369</v>
      </c>
      <c r="E81" s="736" t="s">
        <v>135</v>
      </c>
      <c r="F81" s="737" t="e">
        <f>#REF!</f>
        <v>#REF!</v>
      </c>
      <c r="G81" s="737" t="s">
        <v>344</v>
      </c>
      <c r="H81" s="737">
        <v>1</v>
      </c>
      <c r="I81" s="737" t="e">
        <f>#REF!</f>
        <v>#REF!</v>
      </c>
      <c r="J81" s="756" t="e">
        <f t="shared" ref="J81" si="49">H81*I81</f>
        <v>#REF!</v>
      </c>
      <c r="K81" s="737">
        <v>4</v>
      </c>
      <c r="L81" s="737" t="e">
        <f t="shared" ref="L81" si="50">H81*I81*K81</f>
        <v>#REF!</v>
      </c>
      <c r="M81" s="737" t="e">
        <f t="shared" si="14"/>
        <v>#REF!</v>
      </c>
      <c r="N81" s="756" t="e">
        <f t="shared" ref="N81" si="51">L81+M81</f>
        <v>#REF!</v>
      </c>
      <c r="O81" s="1264" t="e">
        <f>SUM(N81:N83)</f>
        <v>#REF!</v>
      </c>
    </row>
    <row r="82" spans="1:15" s="718" customFormat="1" ht="65.099999999999994" customHeight="1" x14ac:dyDescent="0.25">
      <c r="A82" s="1227"/>
      <c r="B82" s="1222"/>
      <c r="C82" s="1222"/>
      <c r="D82" s="1229"/>
      <c r="E82" s="736" t="s">
        <v>136</v>
      </c>
      <c r="F82" s="737" t="s">
        <v>74</v>
      </c>
      <c r="G82" s="737" t="s">
        <v>344</v>
      </c>
      <c r="H82" s="737">
        <v>1</v>
      </c>
      <c r="I82" s="737" t="e">
        <f>#REF!</f>
        <v>#REF!</v>
      </c>
      <c r="J82" s="756" t="e">
        <f t="shared" ref="J82" si="52">H82*I82</f>
        <v>#REF!</v>
      </c>
      <c r="K82" s="737">
        <v>4</v>
      </c>
      <c r="L82" s="737" t="e">
        <f t="shared" ref="L82" si="53">H82*I82*K82</f>
        <v>#REF!</v>
      </c>
      <c r="M82" s="737" t="e">
        <f t="shared" si="14"/>
        <v>#REF!</v>
      </c>
      <c r="N82" s="756" t="e">
        <f t="shared" ref="N82" si="54">L82+M82</f>
        <v>#REF!</v>
      </c>
      <c r="O82" s="1264"/>
    </row>
    <row r="83" spans="1:15" s="718" customFormat="1" ht="65.099999999999994" customHeight="1" x14ac:dyDescent="0.25">
      <c r="A83" s="1227"/>
      <c r="B83" s="1222"/>
      <c r="C83" s="1222"/>
      <c r="D83" s="1229"/>
      <c r="E83" s="736" t="s">
        <v>138</v>
      </c>
      <c r="F83" s="737" t="s">
        <v>37</v>
      </c>
      <c r="G83" s="737" t="s">
        <v>344</v>
      </c>
      <c r="H83" s="738">
        <v>0.5</v>
      </c>
      <c r="I83" s="737" t="e">
        <f>#REF!</f>
        <v>#REF!</v>
      </c>
      <c r="J83" s="756" t="e">
        <f t="shared" ref="J83" si="55">H83*I83</f>
        <v>#REF!</v>
      </c>
      <c r="K83" s="737">
        <v>4</v>
      </c>
      <c r="L83" s="737" t="e">
        <f t="shared" ref="L83" si="56">H83*I83*K83</f>
        <v>#REF!</v>
      </c>
      <c r="M83" s="737" t="e">
        <f t="shared" si="14"/>
        <v>#REF!</v>
      </c>
      <c r="N83" s="756" t="e">
        <f t="shared" ref="N83" si="57">L83+M83</f>
        <v>#REF!</v>
      </c>
      <c r="O83" s="1264"/>
    </row>
    <row r="84" spans="1:15" s="718" customFormat="1" ht="65.099999999999994" customHeight="1" x14ac:dyDescent="0.25">
      <c r="A84" s="1227"/>
      <c r="B84" s="1222" t="s">
        <v>372</v>
      </c>
      <c r="C84" s="1222">
        <v>12</v>
      </c>
      <c r="D84" s="1234" t="s">
        <v>475</v>
      </c>
      <c r="E84" s="1234" t="s">
        <v>135</v>
      </c>
      <c r="F84" s="700" t="e">
        <f>#REF!</f>
        <v>#REF!</v>
      </c>
      <c r="G84" s="700" t="s">
        <v>344</v>
      </c>
      <c r="H84" s="700">
        <v>1</v>
      </c>
      <c r="I84" s="700" t="e">
        <f>#REF!</f>
        <v>#REF!</v>
      </c>
      <c r="J84" s="745" t="e">
        <f t="shared" ref="J84" si="58">H84*I84</f>
        <v>#REF!</v>
      </c>
      <c r="K84" s="700">
        <v>4</v>
      </c>
      <c r="L84" s="700" t="e">
        <f t="shared" ref="L84" si="59">H84*I84*K84</f>
        <v>#REF!</v>
      </c>
      <c r="M84" s="700" t="e">
        <f t="shared" si="14"/>
        <v>#REF!</v>
      </c>
      <c r="N84" s="745" t="e">
        <f t="shared" ref="N84" si="60">L84+M84</f>
        <v>#REF!</v>
      </c>
      <c r="O84" s="1256" t="e">
        <f>SUM(N84:N88)</f>
        <v>#REF!</v>
      </c>
    </row>
    <row r="85" spans="1:15" s="718" customFormat="1" ht="65.099999999999994" customHeight="1" x14ac:dyDescent="0.25">
      <c r="A85" s="1227"/>
      <c r="B85" s="1222"/>
      <c r="C85" s="1222"/>
      <c r="D85" s="1234"/>
      <c r="E85" s="1234"/>
      <c r="F85" s="700" t="e">
        <f>#REF!</f>
        <v>#REF!</v>
      </c>
      <c r="G85" s="700" t="s">
        <v>344</v>
      </c>
      <c r="H85" s="700">
        <v>1</v>
      </c>
      <c r="I85" s="700" t="e">
        <f>#REF!</f>
        <v>#REF!</v>
      </c>
      <c r="J85" s="745" t="e">
        <f t="shared" ref="J85" si="61">H85*I85</f>
        <v>#REF!</v>
      </c>
      <c r="K85" s="700">
        <v>1</v>
      </c>
      <c r="L85" s="700" t="e">
        <f t="shared" ref="L85" si="62">H85*I85*K85</f>
        <v>#REF!</v>
      </c>
      <c r="M85" s="700" t="e">
        <f t="shared" si="14"/>
        <v>#REF!</v>
      </c>
      <c r="N85" s="745" t="e">
        <f t="shared" ref="N85" si="63">L85+M85</f>
        <v>#REF!</v>
      </c>
      <c r="O85" s="1256"/>
    </row>
    <row r="86" spans="1:15" s="718" customFormat="1" ht="65.099999999999994" customHeight="1" x14ac:dyDescent="0.25">
      <c r="A86" s="1227"/>
      <c r="B86" s="1222"/>
      <c r="C86" s="1222"/>
      <c r="D86" s="1234"/>
      <c r="E86" s="1234"/>
      <c r="F86" s="700" t="e">
        <f>#REF!</f>
        <v>#REF!</v>
      </c>
      <c r="G86" s="700" t="s">
        <v>344</v>
      </c>
      <c r="H86" s="700">
        <v>1</v>
      </c>
      <c r="I86" s="700" t="e">
        <f>#REF!</f>
        <v>#REF!</v>
      </c>
      <c r="J86" s="745" t="e">
        <f t="shared" ref="J86" si="64">H86*I86</f>
        <v>#REF!</v>
      </c>
      <c r="K86" s="700">
        <v>1</v>
      </c>
      <c r="L86" s="700" t="e">
        <f t="shared" ref="L86" si="65">H86*I86*K86</f>
        <v>#REF!</v>
      </c>
      <c r="M86" s="700" t="e">
        <f t="shared" si="14"/>
        <v>#REF!</v>
      </c>
      <c r="N86" s="745" t="e">
        <f t="shared" ref="N86" si="66">L86+M86</f>
        <v>#REF!</v>
      </c>
      <c r="O86" s="1256"/>
    </row>
    <row r="87" spans="1:15" s="718" customFormat="1" ht="65.099999999999994" customHeight="1" x14ac:dyDescent="0.25">
      <c r="A87" s="1227"/>
      <c r="B87" s="1222"/>
      <c r="C87" s="1222"/>
      <c r="D87" s="1234"/>
      <c r="E87" s="705" t="s">
        <v>136</v>
      </c>
      <c r="F87" s="700" t="s">
        <v>74</v>
      </c>
      <c r="G87" s="700" t="s">
        <v>344</v>
      </c>
      <c r="H87" s="700">
        <v>1</v>
      </c>
      <c r="I87" s="700" t="e">
        <f>#REF!</f>
        <v>#REF!</v>
      </c>
      <c r="J87" s="745" t="e">
        <f t="shared" ref="J87" si="67">H87*I87</f>
        <v>#REF!</v>
      </c>
      <c r="K87" s="700">
        <v>4</v>
      </c>
      <c r="L87" s="700" t="e">
        <f t="shared" ref="L87" si="68">H87*I87*K87</f>
        <v>#REF!</v>
      </c>
      <c r="M87" s="700" t="e">
        <f t="shared" si="14"/>
        <v>#REF!</v>
      </c>
      <c r="N87" s="745" t="e">
        <f t="shared" ref="N87" si="69">L87+M87</f>
        <v>#REF!</v>
      </c>
      <c r="O87" s="1256"/>
    </row>
    <row r="88" spans="1:15" s="718" customFormat="1" ht="65.099999999999994" customHeight="1" x14ac:dyDescent="0.25">
      <c r="A88" s="1227"/>
      <c r="B88" s="1222"/>
      <c r="C88" s="1222"/>
      <c r="D88" s="1234"/>
      <c r="E88" s="705" t="s">
        <v>138</v>
      </c>
      <c r="F88" s="700" t="s">
        <v>37</v>
      </c>
      <c r="G88" s="700" t="s">
        <v>344</v>
      </c>
      <c r="H88" s="711">
        <v>2</v>
      </c>
      <c r="I88" s="700" t="e">
        <f>#REF!</f>
        <v>#REF!</v>
      </c>
      <c r="J88" s="745" t="e">
        <f t="shared" ref="J88" si="70">H88*I88</f>
        <v>#REF!</v>
      </c>
      <c r="K88" s="700">
        <v>1</v>
      </c>
      <c r="L88" s="700" t="e">
        <f t="shared" ref="L88" si="71">H88*I88*K88</f>
        <v>#REF!</v>
      </c>
      <c r="M88" s="700" t="e">
        <f t="shared" si="14"/>
        <v>#REF!</v>
      </c>
      <c r="N88" s="745" t="e">
        <f t="shared" ref="N88" si="72">L88+M88</f>
        <v>#REF!</v>
      </c>
      <c r="O88" s="1256"/>
    </row>
    <row r="89" spans="1:15" s="718" customFormat="1" ht="65.099999999999994" customHeight="1" x14ac:dyDescent="0.25">
      <c r="A89" s="1227"/>
      <c r="B89" s="1230" t="s">
        <v>374</v>
      </c>
      <c r="C89" s="1230">
        <v>12</v>
      </c>
      <c r="D89" s="1232" t="s">
        <v>476</v>
      </c>
      <c r="E89" s="724" t="s">
        <v>135</v>
      </c>
      <c r="F89" s="725" t="e">
        <f>#REF!</f>
        <v>#REF!</v>
      </c>
      <c r="G89" s="725" t="s">
        <v>344</v>
      </c>
      <c r="H89" s="725">
        <v>1</v>
      </c>
      <c r="I89" s="725" t="e">
        <f>#REF!</f>
        <v>#REF!</v>
      </c>
      <c r="J89" s="757" t="e">
        <f t="shared" ref="J89" si="73">H89*I89</f>
        <v>#REF!</v>
      </c>
      <c r="K89" s="725">
        <v>4</v>
      </c>
      <c r="L89" s="725" t="e">
        <f t="shared" ref="L89" si="74">H89*I89*K89</f>
        <v>#REF!</v>
      </c>
      <c r="M89" s="725" t="e">
        <f t="shared" si="14"/>
        <v>#REF!</v>
      </c>
      <c r="N89" s="757" t="e">
        <f t="shared" ref="N89" si="75">L89+M89</f>
        <v>#REF!</v>
      </c>
      <c r="O89" s="1257" t="e">
        <f>SUM(N89:N91)</f>
        <v>#REF!</v>
      </c>
    </row>
    <row r="90" spans="1:15" s="718" customFormat="1" ht="65.099999999999994" customHeight="1" x14ac:dyDescent="0.25">
      <c r="A90" s="1227"/>
      <c r="B90" s="1230"/>
      <c r="C90" s="1230"/>
      <c r="D90" s="1232"/>
      <c r="E90" s="724" t="s">
        <v>136</v>
      </c>
      <c r="F90" s="725" t="s">
        <v>74</v>
      </c>
      <c r="G90" s="725" t="s">
        <v>344</v>
      </c>
      <c r="H90" s="725">
        <v>1</v>
      </c>
      <c r="I90" s="725" t="e">
        <f>#REF!</f>
        <v>#REF!</v>
      </c>
      <c r="J90" s="757" t="e">
        <f t="shared" ref="J90" si="76">H90*I90</f>
        <v>#REF!</v>
      </c>
      <c r="K90" s="725">
        <v>4</v>
      </c>
      <c r="L90" s="725" t="e">
        <f t="shared" ref="L90" si="77">H90*I90*K90</f>
        <v>#REF!</v>
      </c>
      <c r="M90" s="725" t="e">
        <f t="shared" si="14"/>
        <v>#REF!</v>
      </c>
      <c r="N90" s="757" t="e">
        <f t="shared" ref="N90" si="78">L90+M90</f>
        <v>#REF!</v>
      </c>
      <c r="O90" s="1257"/>
    </row>
    <row r="91" spans="1:15" s="718" customFormat="1" ht="65.099999999999994" customHeight="1" thickBot="1" x14ac:dyDescent="0.3">
      <c r="A91" s="1228"/>
      <c r="B91" s="1231"/>
      <c r="C91" s="1231"/>
      <c r="D91" s="1233"/>
      <c r="E91" s="739" t="s">
        <v>138</v>
      </c>
      <c r="F91" s="740" t="s">
        <v>37</v>
      </c>
      <c r="G91" s="740" t="s">
        <v>344</v>
      </c>
      <c r="H91" s="741">
        <v>0.5</v>
      </c>
      <c r="I91" s="740" t="e">
        <f>#REF!</f>
        <v>#REF!</v>
      </c>
      <c r="J91" s="758" t="e">
        <f t="shared" ref="J91" si="79">H91*I91</f>
        <v>#REF!</v>
      </c>
      <c r="K91" s="740">
        <v>4</v>
      </c>
      <c r="L91" s="740" t="e">
        <f t="shared" ref="L91" si="80">H91*I91*K91</f>
        <v>#REF!</v>
      </c>
      <c r="M91" s="740" t="e">
        <f t="shared" si="14"/>
        <v>#REF!</v>
      </c>
      <c r="N91" s="758" t="e">
        <f t="shared" ref="N91" si="81">L91+M91</f>
        <v>#REF!</v>
      </c>
      <c r="O91" s="1258"/>
    </row>
    <row r="92" spans="1:15" s="718" customFormat="1" ht="30" customHeight="1" x14ac:dyDescent="0.25">
      <c r="A92" s="712"/>
      <c r="B92" s="719"/>
      <c r="C92" s="719"/>
      <c r="D92" s="719"/>
      <c r="E92" s="719"/>
      <c r="F92" s="1248" t="s">
        <v>460</v>
      </c>
      <c r="G92" s="1249"/>
      <c r="H92" s="1249"/>
      <c r="I92" s="1249"/>
      <c r="J92" s="1249"/>
      <c r="K92" s="1249"/>
      <c r="L92" s="1249"/>
      <c r="M92" s="1249"/>
      <c r="N92" s="1249"/>
      <c r="O92" s="742" t="e">
        <f>SUM(O5:O91)</f>
        <v>#REF!</v>
      </c>
    </row>
    <row r="93" spans="1:15" s="718" customFormat="1" ht="30" customHeight="1" x14ac:dyDescent="0.25">
      <c r="A93" s="712"/>
      <c r="B93" s="719"/>
      <c r="C93" s="719"/>
      <c r="D93" s="719"/>
      <c r="E93" s="719"/>
      <c r="F93" s="1250" t="s">
        <v>252</v>
      </c>
      <c r="G93" s="1251"/>
      <c r="H93" s="1251"/>
      <c r="I93" s="1251"/>
      <c r="J93" s="1251"/>
      <c r="K93" s="1251"/>
      <c r="L93" s="1251"/>
      <c r="M93" s="1251"/>
      <c r="N93" s="1251"/>
      <c r="O93" s="743" t="e">
        <f>O92*7%</f>
        <v>#REF!</v>
      </c>
    </row>
    <row r="94" spans="1:15" s="718" customFormat="1" ht="30" customHeight="1" thickBot="1" x14ac:dyDescent="0.3">
      <c r="A94" s="712"/>
      <c r="B94" s="719"/>
      <c r="C94" s="719"/>
      <c r="D94" s="719"/>
      <c r="E94" s="719"/>
      <c r="F94" s="1252" t="s">
        <v>319</v>
      </c>
      <c r="G94" s="1253"/>
      <c r="H94" s="1253"/>
      <c r="I94" s="1253"/>
      <c r="J94" s="1253"/>
      <c r="K94" s="1253"/>
      <c r="L94" s="1253"/>
      <c r="M94" s="1253"/>
      <c r="N94" s="1253"/>
      <c r="O94" s="744" t="e">
        <f>O92+O93</f>
        <v>#REF!</v>
      </c>
    </row>
    <row r="95" spans="1:15" s="718" customFormat="1" ht="30" customHeight="1" x14ac:dyDescent="0.25">
      <c r="A95" s="712"/>
      <c r="B95" s="719"/>
      <c r="C95" s="719"/>
      <c r="D95" s="719"/>
      <c r="E95" s="719"/>
      <c r="N95" s="720"/>
      <c r="O95" s="720"/>
    </row>
    <row r="96" spans="1:15" s="718" customFormat="1" ht="30" customHeight="1" x14ac:dyDescent="0.25">
      <c r="A96" s="712"/>
      <c r="B96" s="719"/>
      <c r="C96" s="719"/>
      <c r="D96" s="719"/>
      <c r="E96" s="719"/>
      <c r="N96" s="720"/>
      <c r="O96" s="720"/>
    </row>
    <row r="97" spans="1:15" s="721" customFormat="1" ht="69.95" customHeight="1" x14ac:dyDescent="0.25">
      <c r="A97" s="712"/>
      <c r="B97" s="712"/>
      <c r="C97" s="712"/>
      <c r="D97" s="712"/>
      <c r="E97" s="712"/>
      <c r="F97" s="712"/>
      <c r="G97" s="712"/>
      <c r="H97" s="712"/>
      <c r="I97" s="712"/>
      <c r="J97" s="712"/>
      <c r="K97" s="712"/>
      <c r="L97" s="712"/>
      <c r="M97" s="712"/>
      <c r="N97" s="712"/>
      <c r="O97" s="712"/>
    </row>
    <row r="98" spans="1:15" s="721" customFormat="1" ht="69.95" customHeight="1" x14ac:dyDescent="0.25">
      <c r="A98" s="712"/>
      <c r="B98" s="712"/>
      <c r="C98" s="712"/>
      <c r="D98" s="712"/>
      <c r="E98" s="712"/>
      <c r="F98" s="712"/>
      <c r="G98" s="712"/>
      <c r="H98" s="712"/>
      <c r="I98" s="712"/>
      <c r="J98" s="712"/>
      <c r="K98" s="712"/>
      <c r="L98" s="712"/>
      <c r="M98" s="712"/>
      <c r="N98" s="712"/>
      <c r="O98" s="712"/>
    </row>
    <row r="99" spans="1:15" s="721" customFormat="1" ht="30" customHeight="1" x14ac:dyDescent="0.25">
      <c r="A99" s="712"/>
      <c r="B99" s="712"/>
      <c r="C99" s="712"/>
      <c r="D99" s="712"/>
      <c r="E99" s="712"/>
      <c r="F99" s="712"/>
      <c r="G99" s="712"/>
      <c r="H99" s="712"/>
      <c r="I99" s="712"/>
      <c r="J99" s="712"/>
      <c r="K99" s="712"/>
      <c r="L99" s="712"/>
      <c r="M99" s="712"/>
      <c r="N99" s="712"/>
      <c r="O99" s="712"/>
    </row>
    <row r="100" spans="1:15" s="721" customFormat="1" ht="57.6" customHeight="1" x14ac:dyDescent="0.25">
      <c r="A100" s="712"/>
      <c r="B100" s="712"/>
      <c r="C100" s="712"/>
      <c r="D100" s="712"/>
      <c r="E100" s="712"/>
      <c r="F100" s="712"/>
      <c r="G100" s="712"/>
      <c r="H100" s="712"/>
      <c r="I100" s="712"/>
      <c r="J100" s="712"/>
      <c r="K100" s="712"/>
      <c r="L100" s="712"/>
      <c r="M100" s="712"/>
      <c r="N100" s="712"/>
      <c r="O100" s="712"/>
    </row>
    <row r="101" spans="1:15" s="721" customFormat="1" ht="14.45" customHeight="1" x14ac:dyDescent="0.25">
      <c r="A101" s="712"/>
      <c r="B101" s="712"/>
      <c r="C101" s="712"/>
      <c r="D101" s="712"/>
      <c r="E101" s="712"/>
      <c r="F101" s="712"/>
      <c r="G101" s="712"/>
      <c r="H101" s="712"/>
      <c r="I101" s="712"/>
      <c r="J101" s="712"/>
      <c r="K101" s="712"/>
      <c r="L101" s="712"/>
      <c r="M101" s="712"/>
      <c r="N101" s="712"/>
      <c r="O101" s="712"/>
    </row>
    <row r="102" spans="1:15" s="721" customFormat="1" ht="14.45" customHeight="1" x14ac:dyDescent="0.25">
      <c r="A102" s="712"/>
      <c r="B102" s="712"/>
      <c r="C102" s="712"/>
      <c r="D102" s="712"/>
      <c r="E102" s="712"/>
      <c r="F102" s="712"/>
      <c r="G102" s="712"/>
      <c r="H102" s="712"/>
      <c r="I102" s="712"/>
      <c r="J102" s="712"/>
      <c r="K102" s="712"/>
      <c r="L102" s="712"/>
      <c r="M102" s="712"/>
      <c r="N102" s="712"/>
      <c r="O102" s="712"/>
    </row>
    <row r="103" spans="1:15" s="721" customFormat="1" ht="18" customHeight="1" x14ac:dyDescent="0.25">
      <c r="A103" s="712"/>
      <c r="B103" s="712"/>
      <c r="C103" s="712"/>
      <c r="D103" s="712"/>
      <c r="E103" s="712"/>
      <c r="F103" s="712"/>
      <c r="G103" s="712"/>
      <c r="H103" s="712"/>
      <c r="I103" s="712"/>
      <c r="J103" s="712"/>
      <c r="K103" s="712"/>
      <c r="L103" s="712"/>
      <c r="M103" s="712"/>
      <c r="N103" s="712"/>
      <c r="O103" s="712"/>
    </row>
    <row r="104" spans="1:15" s="721" customFormat="1" ht="14.45" customHeight="1" x14ac:dyDescent="0.25">
      <c r="A104" s="712"/>
      <c r="B104" s="712"/>
      <c r="C104" s="712"/>
      <c r="D104" s="712"/>
      <c r="E104" s="712"/>
      <c r="F104" s="712"/>
      <c r="G104" s="712"/>
      <c r="H104" s="712"/>
      <c r="I104" s="712"/>
      <c r="J104" s="712"/>
      <c r="K104" s="712"/>
      <c r="L104" s="712"/>
      <c r="M104" s="712"/>
      <c r="N104" s="712"/>
      <c r="O104" s="712"/>
    </row>
    <row r="105" spans="1:15" s="721" customFormat="1" ht="14.45" customHeight="1" x14ac:dyDescent="0.25">
      <c r="A105" s="712"/>
      <c r="B105" s="712"/>
      <c r="C105" s="712"/>
      <c r="D105" s="712"/>
      <c r="E105" s="712"/>
      <c r="F105" s="712"/>
      <c r="G105" s="712"/>
      <c r="H105" s="712"/>
      <c r="I105" s="712"/>
      <c r="J105" s="712"/>
      <c r="K105" s="712"/>
      <c r="L105" s="712"/>
      <c r="M105" s="712"/>
      <c r="N105" s="712"/>
      <c r="O105" s="712"/>
    </row>
    <row r="106" spans="1:15" s="721" customFormat="1" ht="14.45" customHeight="1" x14ac:dyDescent="0.25">
      <c r="A106" s="712"/>
      <c r="B106" s="712"/>
      <c r="C106" s="712"/>
      <c r="D106" s="712"/>
      <c r="E106" s="712"/>
      <c r="F106" s="712"/>
      <c r="G106" s="712"/>
      <c r="H106" s="712"/>
      <c r="I106" s="712"/>
      <c r="J106" s="712"/>
      <c r="K106" s="712"/>
      <c r="L106" s="712"/>
      <c r="M106" s="712"/>
      <c r="N106" s="712"/>
      <c r="O106" s="712"/>
    </row>
    <row r="107" spans="1:15" s="721" customFormat="1" ht="14.45" customHeight="1" x14ac:dyDescent="0.25">
      <c r="A107" s="712"/>
      <c r="B107" s="712"/>
      <c r="C107" s="712"/>
      <c r="D107" s="712"/>
      <c r="E107" s="712"/>
      <c r="F107" s="712"/>
      <c r="G107" s="712"/>
      <c r="H107" s="712"/>
      <c r="I107" s="712"/>
      <c r="J107" s="712"/>
      <c r="K107" s="712"/>
      <c r="L107" s="712"/>
      <c r="M107" s="712"/>
      <c r="N107" s="712"/>
      <c r="O107" s="712"/>
    </row>
    <row r="108" spans="1:15" s="721" customFormat="1" ht="14.45" customHeight="1" x14ac:dyDescent="0.25">
      <c r="A108" s="712"/>
      <c r="B108" s="712"/>
      <c r="C108" s="712"/>
      <c r="D108" s="712"/>
      <c r="E108" s="712"/>
      <c r="F108" s="712"/>
      <c r="G108" s="712"/>
      <c r="H108" s="712"/>
      <c r="I108" s="712"/>
      <c r="J108" s="712"/>
      <c r="K108" s="712"/>
      <c r="L108" s="712"/>
      <c r="M108" s="712"/>
      <c r="N108" s="712"/>
      <c r="O108" s="712"/>
    </row>
    <row r="109" spans="1:15" s="721" customFormat="1" ht="14.45" customHeight="1" x14ac:dyDescent="0.25">
      <c r="A109" s="712"/>
      <c r="B109" s="712"/>
      <c r="C109" s="712"/>
      <c r="D109" s="712"/>
      <c r="E109" s="712"/>
      <c r="F109" s="712"/>
      <c r="G109" s="712"/>
      <c r="H109" s="712"/>
      <c r="I109" s="712"/>
      <c r="J109" s="712"/>
      <c r="K109" s="712"/>
      <c r="L109" s="712"/>
      <c r="M109" s="712"/>
      <c r="N109" s="712"/>
      <c r="O109" s="712"/>
    </row>
    <row r="110" spans="1:15" s="721" customFormat="1" ht="31.15" customHeight="1" x14ac:dyDescent="0.25">
      <c r="A110" s="712"/>
      <c r="B110" s="712"/>
      <c r="C110" s="712"/>
      <c r="D110" s="712"/>
      <c r="E110" s="712"/>
      <c r="F110" s="712"/>
      <c r="G110" s="712"/>
      <c r="H110" s="712"/>
      <c r="I110" s="712"/>
      <c r="J110" s="712"/>
      <c r="K110" s="712"/>
      <c r="L110" s="712"/>
      <c r="M110" s="712"/>
      <c r="N110" s="712"/>
      <c r="O110" s="712"/>
    </row>
    <row r="111" spans="1:15" s="721" customFormat="1" ht="34.9" customHeight="1" x14ac:dyDescent="0.25">
      <c r="A111" s="712"/>
      <c r="B111" s="712"/>
      <c r="C111" s="712"/>
      <c r="D111" s="712"/>
      <c r="E111" s="712"/>
      <c r="F111" s="712"/>
      <c r="G111" s="712"/>
      <c r="H111" s="712"/>
      <c r="I111" s="712"/>
      <c r="J111" s="712"/>
      <c r="K111" s="712"/>
      <c r="L111" s="712"/>
      <c r="M111" s="712"/>
      <c r="N111" s="712"/>
      <c r="O111" s="712"/>
    </row>
    <row r="112" spans="1:15" s="721" customFormat="1" ht="28.9" customHeight="1" x14ac:dyDescent="0.25">
      <c r="A112" s="712"/>
      <c r="B112" s="712"/>
      <c r="C112" s="712"/>
      <c r="D112" s="712"/>
      <c r="E112" s="712"/>
      <c r="F112" s="712"/>
      <c r="G112" s="712"/>
      <c r="H112" s="712"/>
      <c r="I112" s="712"/>
      <c r="J112" s="712"/>
      <c r="K112" s="712"/>
      <c r="L112" s="712"/>
      <c r="M112" s="712"/>
      <c r="N112" s="712"/>
      <c r="O112" s="712"/>
    </row>
    <row r="113" ht="25.5" customHeight="1" x14ac:dyDescent="0.25"/>
    <row r="114" ht="26.25" customHeight="1" x14ac:dyDescent="0.25"/>
    <row r="115" ht="22.5" customHeight="1" x14ac:dyDescent="0.25"/>
  </sheetData>
  <mergeCells count="62">
    <mergeCell ref="F92:N92"/>
    <mergeCell ref="F93:N93"/>
    <mergeCell ref="F94:N94"/>
    <mergeCell ref="E4:F4"/>
    <mergeCell ref="A1:O1"/>
    <mergeCell ref="A2:O2"/>
    <mergeCell ref="A3:O3"/>
    <mergeCell ref="O84:O88"/>
    <mergeCell ref="O89:O91"/>
    <mergeCell ref="O57:O64"/>
    <mergeCell ref="O65:O68"/>
    <mergeCell ref="O69:O73"/>
    <mergeCell ref="O74:O76"/>
    <mergeCell ref="O77:O80"/>
    <mergeCell ref="O81:O83"/>
    <mergeCell ref="O5:O13"/>
    <mergeCell ref="E5:E6"/>
    <mergeCell ref="O14:O20"/>
    <mergeCell ref="O23:O37"/>
    <mergeCell ref="O38:O52"/>
    <mergeCell ref="O53:O56"/>
    <mergeCell ref="E14:E15"/>
    <mergeCell ref="E57:E62"/>
    <mergeCell ref="E65:E66"/>
    <mergeCell ref="E69:E72"/>
    <mergeCell ref="E74:E75"/>
    <mergeCell ref="E77:E78"/>
    <mergeCell ref="E84:E86"/>
    <mergeCell ref="D14:D20"/>
    <mergeCell ref="E18:E20"/>
    <mergeCell ref="O21:O22"/>
    <mergeCell ref="B84:B88"/>
    <mergeCell ref="C84:C88"/>
    <mergeCell ref="D84:D88"/>
    <mergeCell ref="D77:D80"/>
    <mergeCell ref="D65:D68"/>
    <mergeCell ref="D69:D73"/>
    <mergeCell ref="D74:D76"/>
    <mergeCell ref="E23:E35"/>
    <mergeCell ref="D21:D22"/>
    <mergeCell ref="C5:C22"/>
    <mergeCell ref="D5:D13"/>
    <mergeCell ref="E9:E13"/>
    <mergeCell ref="A81:A91"/>
    <mergeCell ref="B81:B83"/>
    <mergeCell ref="C81:C83"/>
    <mergeCell ref="D81:D83"/>
    <mergeCell ref="B89:B91"/>
    <mergeCell ref="C89:C91"/>
    <mergeCell ref="D89:D91"/>
    <mergeCell ref="D57:D64"/>
    <mergeCell ref="D38:D52"/>
    <mergeCell ref="D53:D56"/>
    <mergeCell ref="A23:A56"/>
    <mergeCell ref="B23:B56"/>
    <mergeCell ref="C23:C56"/>
    <mergeCell ref="D23:D37"/>
    <mergeCell ref="A5:A22"/>
    <mergeCell ref="B5:B22"/>
    <mergeCell ref="A57:A80"/>
    <mergeCell ref="B57:B80"/>
    <mergeCell ref="C57:C80"/>
  </mergeCells>
  <printOptions horizontalCentered="1" verticalCentered="1"/>
  <pageMargins left="0.19685039370078741" right="0.19685039370078741" top="0.33" bottom="0.28000000000000003" header="0.21" footer="0.18"/>
  <pageSetup paperSize="256" scale="22" fitToHeight="0" orientation="landscape" r:id="rId1"/>
  <rowBreaks count="1" manualBreakCount="1">
    <brk id="80" max="16383" man="1"/>
  </rowBreaks>
  <ignoredErrors>
    <ignoredError sqref="L14 I22" formula="1"/>
  </ignoredError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249977111117893"/>
    <pageSetUpPr fitToPage="1"/>
  </sheetPr>
  <dimension ref="A1:L53"/>
  <sheetViews>
    <sheetView zoomScale="60" zoomScaleNormal="60" zoomScaleSheetLayoutView="45" workbookViewId="0">
      <selection activeCell="D36" sqref="D36"/>
    </sheetView>
  </sheetViews>
  <sheetFormatPr baseColWidth="10" defaultColWidth="91.28515625" defaultRowHeight="15.75" x14ac:dyDescent="0.25"/>
  <cols>
    <col min="1" max="1" width="37.7109375" style="712" customWidth="1"/>
    <col min="2" max="11" width="20.7109375" style="712" customWidth="1"/>
    <col min="12" max="12" width="22.140625" style="712" bestFit="1" customWidth="1"/>
    <col min="13" max="16384" width="91.28515625" style="712"/>
  </cols>
  <sheetData>
    <row r="1" spans="1:12" ht="31.15" customHeight="1" x14ac:dyDescent="0.25">
      <c r="A1" s="1271" t="s">
        <v>461</v>
      </c>
      <c r="B1" s="1271"/>
      <c r="C1" s="1271"/>
      <c r="D1" s="1271"/>
      <c r="E1" s="1271"/>
      <c r="F1" s="1271"/>
      <c r="G1" s="1271"/>
      <c r="H1" s="1271"/>
      <c r="I1" s="1271"/>
      <c r="J1" s="1271"/>
      <c r="K1" s="1271"/>
      <c r="L1" s="1271"/>
    </row>
    <row r="2" spans="1:12" ht="25.5" customHeight="1" x14ac:dyDescent="0.25">
      <c r="A2" s="1271" t="s">
        <v>520</v>
      </c>
      <c r="B2" s="1271"/>
      <c r="C2" s="1271"/>
      <c r="D2" s="1271"/>
      <c r="E2" s="1271"/>
      <c r="F2" s="1271"/>
      <c r="G2" s="1271"/>
      <c r="H2" s="1271"/>
      <c r="I2" s="1271"/>
      <c r="J2" s="1271"/>
      <c r="K2" s="1271"/>
      <c r="L2" s="1271"/>
    </row>
    <row r="3" spans="1:12" ht="35.25" customHeight="1" x14ac:dyDescent="0.25">
      <c r="A3" s="1125" t="s">
        <v>519</v>
      </c>
      <c r="B3" s="1125"/>
      <c r="C3" s="1125"/>
      <c r="D3" s="1125"/>
      <c r="E3" s="1125"/>
      <c r="F3" s="1125"/>
      <c r="G3" s="1125"/>
      <c r="H3" s="1125"/>
      <c r="I3" s="1125"/>
      <c r="J3" s="1125"/>
      <c r="K3" s="1125"/>
      <c r="L3" s="1125"/>
    </row>
    <row r="4" spans="1:12" ht="35.25" customHeight="1" x14ac:dyDescent="0.25">
      <c r="A4" s="1267" t="s">
        <v>508</v>
      </c>
      <c r="B4" s="1267"/>
      <c r="C4" s="1267"/>
      <c r="D4" s="1267"/>
      <c r="E4" s="1267"/>
      <c r="F4" s="1267"/>
      <c r="G4" s="1267"/>
      <c r="H4" s="1267"/>
      <c r="I4" s="1267"/>
      <c r="J4" s="1267"/>
      <c r="K4" s="1267"/>
      <c r="L4" s="1267"/>
    </row>
    <row r="5" spans="1:12" ht="35.25" customHeight="1" thickBot="1" x14ac:dyDescent="0.3">
      <c r="A5" s="1272" t="s">
        <v>511</v>
      </c>
      <c r="B5" s="1272"/>
      <c r="C5" s="1272"/>
      <c r="D5" s="1272"/>
      <c r="E5" s="1272"/>
      <c r="F5" s="1272"/>
      <c r="G5" s="1272"/>
      <c r="H5" s="1272"/>
      <c r="I5" s="1272"/>
      <c r="J5" s="1272"/>
      <c r="K5" s="1272"/>
      <c r="L5" s="1272"/>
    </row>
    <row r="6" spans="1:12" ht="41.25" customHeight="1" thickBot="1" x14ac:dyDescent="0.3">
      <c r="A6" s="784" t="s">
        <v>54</v>
      </c>
      <c r="B6" s="785" t="s">
        <v>0</v>
      </c>
      <c r="C6" s="785" t="s">
        <v>27</v>
      </c>
      <c r="D6" s="785" t="s">
        <v>1</v>
      </c>
      <c r="E6" s="786" t="s">
        <v>17</v>
      </c>
      <c r="F6" s="786" t="s">
        <v>42</v>
      </c>
      <c r="G6" s="785" t="s">
        <v>498</v>
      </c>
      <c r="H6" s="785" t="s">
        <v>2</v>
      </c>
      <c r="I6" s="785" t="s">
        <v>497</v>
      </c>
      <c r="J6" s="785" t="s">
        <v>319</v>
      </c>
      <c r="K6" s="787">
        <v>0.19</v>
      </c>
      <c r="L6" s="788" t="s">
        <v>499</v>
      </c>
    </row>
    <row r="7" spans="1:12" ht="41.25" customHeight="1" thickTop="1" x14ac:dyDescent="0.25">
      <c r="A7" s="779" t="e">
        <f>#REF!</f>
        <v>#REF!</v>
      </c>
      <c r="B7" s="780" t="s">
        <v>510</v>
      </c>
      <c r="C7" s="780">
        <v>1</v>
      </c>
      <c r="D7" s="781" t="e">
        <f>#REF!</f>
        <v>#REF!</v>
      </c>
      <c r="E7" s="782" t="e">
        <f>#REF!</f>
        <v>#REF!</v>
      </c>
      <c r="F7" s="782" t="e">
        <f>#REF!</f>
        <v>#REF!</v>
      </c>
      <c r="G7" s="780" t="e">
        <f>#REF!</f>
        <v>#REF!</v>
      </c>
      <c r="H7" s="767" t="e">
        <f t="shared" ref="H7:H13" si="0">C7*G7</f>
        <v>#REF!</v>
      </c>
      <c r="I7" s="780">
        <v>3</v>
      </c>
      <c r="J7" s="780" t="e">
        <f>C7*G7*I7</f>
        <v>#REF!</v>
      </c>
      <c r="K7" s="780" t="e">
        <f t="shared" ref="K7:K12" si="1">J7*K$6</f>
        <v>#REF!</v>
      </c>
      <c r="L7" s="783" t="e">
        <f t="shared" ref="L7:L21" si="2">J7+K7</f>
        <v>#REF!</v>
      </c>
    </row>
    <row r="8" spans="1:12" s="717" customFormat="1" ht="65.099999999999994" customHeight="1" x14ac:dyDescent="0.25">
      <c r="A8" s="775" t="e">
        <f>#REF!</f>
        <v>#REF!</v>
      </c>
      <c r="B8" s="763" t="s">
        <v>510</v>
      </c>
      <c r="C8" s="763">
        <v>1</v>
      </c>
      <c r="D8" s="764" t="e">
        <f>#REF!</f>
        <v>#REF!</v>
      </c>
      <c r="E8" s="765" t="e">
        <f>#REF!</f>
        <v>#REF!</v>
      </c>
      <c r="F8" s="763" t="e">
        <f>#REF!</f>
        <v>#REF!</v>
      </c>
      <c r="G8" s="763" t="e">
        <f>#REF!</f>
        <v>#REF!</v>
      </c>
      <c r="H8" s="762" t="e">
        <f t="shared" si="0"/>
        <v>#REF!</v>
      </c>
      <c r="I8" s="763">
        <v>1</v>
      </c>
      <c r="J8" s="763" t="e">
        <f>G8*I8</f>
        <v>#REF!</v>
      </c>
      <c r="K8" s="763" t="e">
        <f t="shared" si="1"/>
        <v>#REF!</v>
      </c>
      <c r="L8" s="774" t="e">
        <f t="shared" si="2"/>
        <v>#REF!</v>
      </c>
    </row>
    <row r="9" spans="1:12" s="717" customFormat="1" ht="65.099999999999994" customHeight="1" x14ac:dyDescent="0.25">
      <c r="A9" s="775" t="e">
        <f>#REF!</f>
        <v>#REF!</v>
      </c>
      <c r="B9" s="763" t="s">
        <v>510</v>
      </c>
      <c r="C9" s="763">
        <v>1</v>
      </c>
      <c r="D9" s="764" t="e">
        <f>#REF!</f>
        <v>#REF!</v>
      </c>
      <c r="E9" s="765" t="e">
        <f>#REF!</f>
        <v>#REF!</v>
      </c>
      <c r="F9" s="763" t="e">
        <f>#REF!</f>
        <v>#REF!</v>
      </c>
      <c r="G9" s="763" t="e">
        <f>#REF!</f>
        <v>#REF!</v>
      </c>
      <c r="H9" s="762" t="e">
        <f t="shared" si="0"/>
        <v>#REF!</v>
      </c>
      <c r="I9" s="763">
        <v>1</v>
      </c>
      <c r="J9" s="763" t="e">
        <f>G9*I9</f>
        <v>#REF!</v>
      </c>
      <c r="K9" s="763" t="e">
        <f t="shared" si="1"/>
        <v>#REF!</v>
      </c>
      <c r="L9" s="774" t="e">
        <f t="shared" si="2"/>
        <v>#REF!</v>
      </c>
    </row>
    <row r="10" spans="1:12" s="717" customFormat="1" ht="65.099999999999994" customHeight="1" x14ac:dyDescent="0.25">
      <c r="A10" s="775" t="e">
        <f>#REF!</f>
        <v>#REF!</v>
      </c>
      <c r="B10" s="763" t="s">
        <v>510</v>
      </c>
      <c r="C10" s="763">
        <v>1</v>
      </c>
      <c r="D10" s="764" t="e">
        <f>#REF!</f>
        <v>#REF!</v>
      </c>
      <c r="E10" s="765" t="e">
        <f>#REF!</f>
        <v>#REF!</v>
      </c>
      <c r="F10" s="763" t="e">
        <f>#REF!</f>
        <v>#REF!</v>
      </c>
      <c r="G10" s="763" t="e">
        <f>#REF!</f>
        <v>#REF!</v>
      </c>
      <c r="H10" s="762" t="e">
        <f t="shared" si="0"/>
        <v>#REF!</v>
      </c>
      <c r="I10" s="763">
        <v>1</v>
      </c>
      <c r="J10" s="763" t="e">
        <f>G10*I10</f>
        <v>#REF!</v>
      </c>
      <c r="K10" s="763" t="e">
        <f t="shared" si="1"/>
        <v>#REF!</v>
      </c>
      <c r="L10" s="774" t="e">
        <f t="shared" si="2"/>
        <v>#REF!</v>
      </c>
    </row>
    <row r="11" spans="1:12" s="717" customFormat="1" ht="65.099999999999994" customHeight="1" x14ac:dyDescent="0.25">
      <c r="A11" s="760" t="e">
        <f>#REF!</f>
        <v>#REF!</v>
      </c>
      <c r="B11" s="763" t="s">
        <v>510</v>
      </c>
      <c r="C11" s="763">
        <v>1</v>
      </c>
      <c r="D11" s="764"/>
      <c r="E11" s="765"/>
      <c r="F11" s="763"/>
      <c r="G11" s="763" t="e">
        <f>#REF!</f>
        <v>#REF!</v>
      </c>
      <c r="H11" s="762" t="e">
        <f t="shared" si="0"/>
        <v>#REF!</v>
      </c>
      <c r="I11" s="766">
        <v>2.5</v>
      </c>
      <c r="J11" s="763" t="e">
        <f>H11*I11</f>
        <v>#REF!</v>
      </c>
      <c r="K11" s="763" t="e">
        <f t="shared" si="1"/>
        <v>#REF!</v>
      </c>
      <c r="L11" s="774" t="e">
        <f t="shared" si="2"/>
        <v>#REF!</v>
      </c>
    </row>
    <row r="12" spans="1:12" s="717" customFormat="1" ht="65.099999999999994" customHeight="1" x14ac:dyDescent="0.25">
      <c r="A12" s="775" t="e">
        <f>#REF!</f>
        <v>#REF!</v>
      </c>
      <c r="B12" s="763" t="s">
        <v>510</v>
      </c>
      <c r="C12" s="763">
        <v>1</v>
      </c>
      <c r="D12" s="764"/>
      <c r="E12" s="765"/>
      <c r="F12" s="763"/>
      <c r="G12" s="763" t="e">
        <f>#REF!</f>
        <v>#REF!</v>
      </c>
      <c r="H12" s="762" t="e">
        <f t="shared" si="0"/>
        <v>#REF!</v>
      </c>
      <c r="I12" s="763">
        <v>1</v>
      </c>
      <c r="J12" s="763" t="e">
        <f>C12*G12*I12</f>
        <v>#REF!</v>
      </c>
      <c r="K12" s="763" t="e">
        <f t="shared" si="1"/>
        <v>#REF!</v>
      </c>
      <c r="L12" s="774" t="e">
        <f t="shared" si="2"/>
        <v>#REF!</v>
      </c>
    </row>
    <row r="13" spans="1:12" s="717" customFormat="1" ht="65.099999999999994" customHeight="1" thickBot="1" x14ac:dyDescent="0.3">
      <c r="A13" s="776" t="e">
        <f>#REF!</f>
        <v>#REF!</v>
      </c>
      <c r="B13" s="770" t="s">
        <v>510</v>
      </c>
      <c r="C13" s="770">
        <v>1</v>
      </c>
      <c r="D13" s="771"/>
      <c r="E13" s="772"/>
      <c r="F13" s="770"/>
      <c r="G13" s="770" t="e">
        <f>#REF!</f>
        <v>#REF!</v>
      </c>
      <c r="H13" s="773" t="e">
        <f t="shared" si="0"/>
        <v>#REF!</v>
      </c>
      <c r="I13" s="770">
        <v>1</v>
      </c>
      <c r="J13" s="770" t="e">
        <f>C13*G13*I13</f>
        <v>#REF!</v>
      </c>
      <c r="K13" s="770" t="e">
        <f>J13*K6</f>
        <v>#REF!</v>
      </c>
      <c r="L13" s="777" t="e">
        <f t="shared" si="2"/>
        <v>#REF!</v>
      </c>
    </row>
    <row r="14" spans="1:12" s="717" customFormat="1" ht="65.099999999999994" customHeight="1" thickBot="1" x14ac:dyDescent="0.3">
      <c r="A14" s="1273"/>
      <c r="B14" s="1273"/>
      <c r="C14" s="1273"/>
      <c r="D14" s="1273"/>
      <c r="E14" s="1273"/>
      <c r="F14" s="1273"/>
      <c r="G14" s="1273"/>
      <c r="H14" s="1273"/>
      <c r="I14" s="1265" t="s">
        <v>515</v>
      </c>
      <c r="J14" s="1266"/>
      <c r="K14" s="1266"/>
      <c r="L14" s="778" t="e">
        <f>SUM(L7:L13)</f>
        <v>#REF!</v>
      </c>
    </row>
    <row r="15" spans="1:12" s="717" customFormat="1" ht="65.099999999999994" customHeight="1" thickBot="1" x14ac:dyDescent="0.3">
      <c r="A15" s="1268" t="s">
        <v>512</v>
      </c>
      <c r="B15" s="1269"/>
      <c r="C15" s="1269"/>
      <c r="D15" s="1269"/>
      <c r="E15" s="1269"/>
      <c r="F15" s="1269"/>
      <c r="G15" s="1269"/>
      <c r="H15" s="1269"/>
      <c r="I15" s="1269"/>
      <c r="J15" s="1269"/>
      <c r="K15" s="1269"/>
      <c r="L15" s="1270"/>
    </row>
    <row r="16" spans="1:12" s="717" customFormat="1" ht="65.099999999999994" customHeight="1" thickBot="1" x14ac:dyDescent="0.3">
      <c r="A16" s="784" t="s">
        <v>54</v>
      </c>
      <c r="B16" s="785" t="s">
        <v>0</v>
      </c>
      <c r="C16" s="785" t="s">
        <v>27</v>
      </c>
      <c r="D16" s="785" t="s">
        <v>1</v>
      </c>
      <c r="E16" s="786" t="s">
        <v>17</v>
      </c>
      <c r="F16" s="786" t="s">
        <v>42</v>
      </c>
      <c r="G16" s="785" t="s">
        <v>498</v>
      </c>
      <c r="H16" s="785" t="s">
        <v>2</v>
      </c>
      <c r="I16" s="785" t="s">
        <v>497</v>
      </c>
      <c r="J16" s="785" t="s">
        <v>319</v>
      </c>
      <c r="K16" s="787">
        <v>0.19</v>
      </c>
      <c r="L16" s="788" t="s">
        <v>499</v>
      </c>
    </row>
    <row r="17" spans="1:12" ht="65.099999999999994" customHeight="1" thickTop="1" thickBot="1" x14ac:dyDescent="0.3">
      <c r="A17" s="789" t="e">
        <f>#REF!</f>
        <v>#REF!</v>
      </c>
      <c r="B17" s="790" t="s">
        <v>510</v>
      </c>
      <c r="C17" s="790">
        <v>4</v>
      </c>
      <c r="D17" s="791"/>
      <c r="E17" s="792"/>
      <c r="F17" s="790"/>
      <c r="G17" s="790" t="e">
        <f>#REF!</f>
        <v>#REF!</v>
      </c>
      <c r="H17" s="793" t="e">
        <f>C17*G17</f>
        <v>#REF!</v>
      </c>
      <c r="I17" s="790">
        <v>3</v>
      </c>
      <c r="J17" s="790" t="e">
        <f>C17*G17*I17</f>
        <v>#REF!</v>
      </c>
      <c r="K17" s="790" t="e">
        <f>J17*K$6</f>
        <v>#REF!</v>
      </c>
      <c r="L17" s="794" t="e">
        <f t="shared" si="2"/>
        <v>#REF!</v>
      </c>
    </row>
    <row r="18" spans="1:12" ht="65.099999999999994" customHeight="1" thickBot="1" x14ac:dyDescent="0.3">
      <c r="A18" s="717"/>
      <c r="B18" s="717"/>
      <c r="C18" s="717"/>
      <c r="D18" s="768"/>
      <c r="E18" s="769"/>
      <c r="F18" s="717"/>
      <c r="G18" s="717"/>
      <c r="H18" s="761"/>
      <c r="I18" s="1265" t="s">
        <v>516</v>
      </c>
      <c r="J18" s="1266"/>
      <c r="K18" s="1266"/>
      <c r="L18" s="778" t="e">
        <f>SUM(L17)</f>
        <v>#REF!</v>
      </c>
    </row>
    <row r="19" spans="1:12" ht="65.099999999999994" customHeight="1" thickBot="1" x14ac:dyDescent="0.3">
      <c r="A19" s="1268" t="s">
        <v>513</v>
      </c>
      <c r="B19" s="1269"/>
      <c r="C19" s="1269"/>
      <c r="D19" s="1269"/>
      <c r="E19" s="1269"/>
      <c r="F19" s="1269"/>
      <c r="G19" s="1269"/>
      <c r="H19" s="1269"/>
      <c r="I19" s="1269"/>
      <c r="J19" s="1269"/>
      <c r="K19" s="1269"/>
      <c r="L19" s="1270"/>
    </row>
    <row r="20" spans="1:12" ht="65.099999999999994" customHeight="1" thickBot="1" x14ac:dyDescent="0.3">
      <c r="A20" s="784" t="s">
        <v>54</v>
      </c>
      <c r="B20" s="785" t="s">
        <v>0</v>
      </c>
      <c r="C20" s="785" t="s">
        <v>27</v>
      </c>
      <c r="D20" s="785"/>
      <c r="E20" s="785"/>
      <c r="F20" s="785"/>
      <c r="G20" s="785" t="s">
        <v>498</v>
      </c>
      <c r="H20" s="785" t="s">
        <v>2</v>
      </c>
      <c r="I20" s="785" t="s">
        <v>497</v>
      </c>
      <c r="J20" s="785" t="s">
        <v>319</v>
      </c>
      <c r="K20" s="787">
        <v>0.19</v>
      </c>
      <c r="L20" s="788" t="s">
        <v>499</v>
      </c>
    </row>
    <row r="21" spans="1:12" ht="65.099999999999994" customHeight="1" thickTop="1" thickBot="1" x14ac:dyDescent="0.3">
      <c r="A21" s="789" t="e">
        <f>#REF!</f>
        <v>#REF!</v>
      </c>
      <c r="B21" s="790" t="s">
        <v>509</v>
      </c>
      <c r="C21" s="790">
        <v>41</v>
      </c>
      <c r="D21" s="791"/>
      <c r="E21" s="792"/>
      <c r="F21" s="790"/>
      <c r="G21" s="790" t="e">
        <f>#REF!</f>
        <v>#REF!</v>
      </c>
      <c r="H21" s="793" t="e">
        <f>C21*G21</f>
        <v>#REF!</v>
      </c>
      <c r="I21" s="790">
        <v>1</v>
      </c>
      <c r="J21" s="790" t="e">
        <f>C21*G21*I21</f>
        <v>#REF!</v>
      </c>
      <c r="K21" s="790" t="e">
        <f>J21*K$6</f>
        <v>#REF!</v>
      </c>
      <c r="L21" s="794" t="e">
        <f t="shared" si="2"/>
        <v>#REF!</v>
      </c>
    </row>
    <row r="22" spans="1:12" ht="65.099999999999994" customHeight="1" thickBot="1" x14ac:dyDescent="0.3">
      <c r="A22" s="795"/>
      <c r="B22" s="717"/>
      <c r="C22" s="717"/>
      <c r="D22" s="768"/>
      <c r="E22" s="769"/>
      <c r="F22" s="717"/>
      <c r="G22" s="717"/>
      <c r="H22" s="761"/>
      <c r="I22" s="1265" t="s">
        <v>517</v>
      </c>
      <c r="J22" s="1266"/>
      <c r="K22" s="1266"/>
      <c r="L22" s="778" t="e">
        <f>SUM(L21)</f>
        <v>#REF!</v>
      </c>
    </row>
    <row r="23" spans="1:12" ht="65.099999999999994" customHeight="1" thickBot="1" x14ac:dyDescent="0.3">
      <c r="A23" s="1268" t="s">
        <v>514</v>
      </c>
      <c r="B23" s="1269"/>
      <c r="C23" s="1269"/>
      <c r="D23" s="1269"/>
      <c r="E23" s="1269"/>
      <c r="F23" s="1269"/>
      <c r="G23" s="1269"/>
      <c r="H23" s="1269"/>
      <c r="I23" s="1269"/>
      <c r="J23" s="1269"/>
      <c r="K23" s="1269"/>
      <c r="L23" s="1270"/>
    </row>
    <row r="24" spans="1:12" ht="65.099999999999994" customHeight="1" thickBot="1" x14ac:dyDescent="0.3">
      <c r="A24" s="796" t="s">
        <v>54</v>
      </c>
      <c r="B24" s="797" t="s">
        <v>0</v>
      </c>
      <c r="C24" s="797" t="s">
        <v>27</v>
      </c>
      <c r="D24" s="797"/>
      <c r="E24" s="797"/>
      <c r="F24" s="797"/>
      <c r="G24" s="797" t="s">
        <v>498</v>
      </c>
      <c r="H24" s="797" t="s">
        <v>2</v>
      </c>
      <c r="I24" s="797" t="s">
        <v>497</v>
      </c>
      <c r="J24" s="797" t="s">
        <v>319</v>
      </c>
      <c r="K24" s="798">
        <v>0.19</v>
      </c>
      <c r="L24" s="799" t="s">
        <v>499</v>
      </c>
    </row>
    <row r="25" spans="1:12" ht="65.099999999999994" customHeight="1" thickTop="1" x14ac:dyDescent="0.25">
      <c r="A25" s="779" t="s">
        <v>37</v>
      </c>
      <c r="B25" s="780" t="s">
        <v>347</v>
      </c>
      <c r="C25" s="780">
        <v>1</v>
      </c>
      <c r="D25" s="781"/>
      <c r="E25" s="782"/>
      <c r="F25" s="780"/>
      <c r="G25" s="780" t="e">
        <f>#REF!</f>
        <v>#REF!</v>
      </c>
      <c r="H25" s="767" t="e">
        <f t="shared" ref="H25:H32" si="3">C25*G25</f>
        <v>#REF!</v>
      </c>
      <c r="I25" s="780">
        <v>1</v>
      </c>
      <c r="J25" s="780" t="e">
        <f t="shared" ref="J25:J32" si="4">C25*G25*I25</f>
        <v>#REF!</v>
      </c>
      <c r="K25" s="780" t="e">
        <f t="shared" ref="K25:K32" si="5">J25*K$6</f>
        <v>#REF!</v>
      </c>
      <c r="L25" s="783" t="e">
        <f t="shared" ref="L25:L32" si="6">J25+K25</f>
        <v>#REF!</v>
      </c>
    </row>
    <row r="26" spans="1:12" ht="65.099999999999994" customHeight="1" x14ac:dyDescent="0.25">
      <c r="A26" s="760" t="s">
        <v>43</v>
      </c>
      <c r="B26" s="763" t="s">
        <v>347</v>
      </c>
      <c r="C26" s="763">
        <v>1</v>
      </c>
      <c r="D26" s="764"/>
      <c r="E26" s="765"/>
      <c r="F26" s="763"/>
      <c r="G26" s="763" t="e">
        <f>#REF!</f>
        <v>#REF!</v>
      </c>
      <c r="H26" s="762" t="e">
        <f t="shared" si="3"/>
        <v>#REF!</v>
      </c>
      <c r="I26" s="763">
        <v>1</v>
      </c>
      <c r="J26" s="763" t="e">
        <f t="shared" si="4"/>
        <v>#REF!</v>
      </c>
      <c r="K26" s="763" t="e">
        <f>J26*K$6</f>
        <v>#REF!</v>
      </c>
      <c r="L26" s="774" t="e">
        <f>J26+K26</f>
        <v>#REF!</v>
      </c>
    </row>
    <row r="27" spans="1:12" ht="65.099999999999994" customHeight="1" x14ac:dyDescent="0.25">
      <c r="A27" s="760" t="s">
        <v>37</v>
      </c>
      <c r="B27" s="763" t="s">
        <v>347</v>
      </c>
      <c r="C27" s="763">
        <v>1</v>
      </c>
      <c r="D27" s="764"/>
      <c r="E27" s="765"/>
      <c r="F27" s="763"/>
      <c r="G27" s="763" t="e">
        <f>#REF!</f>
        <v>#REF!</v>
      </c>
      <c r="H27" s="762" t="e">
        <f t="shared" si="3"/>
        <v>#REF!</v>
      </c>
      <c r="I27" s="763">
        <v>1</v>
      </c>
      <c r="J27" s="763" t="e">
        <f t="shared" si="4"/>
        <v>#REF!</v>
      </c>
      <c r="K27" s="763" t="e">
        <f>J27*K$6</f>
        <v>#REF!</v>
      </c>
      <c r="L27" s="774" t="e">
        <f>J27+K27</f>
        <v>#REF!</v>
      </c>
    </row>
    <row r="28" spans="1:12" ht="65.099999999999994" customHeight="1" x14ac:dyDescent="0.25">
      <c r="A28" s="760" t="s">
        <v>4</v>
      </c>
      <c r="B28" s="763" t="s">
        <v>344</v>
      </c>
      <c r="C28" s="763">
        <v>3</v>
      </c>
      <c r="D28" s="764"/>
      <c r="E28" s="765"/>
      <c r="F28" s="763"/>
      <c r="G28" s="763" t="e">
        <f>#REF!</f>
        <v>#REF!</v>
      </c>
      <c r="H28" s="762" t="e">
        <f t="shared" si="3"/>
        <v>#REF!</v>
      </c>
      <c r="I28" s="763">
        <v>1</v>
      </c>
      <c r="J28" s="763" t="e">
        <f t="shared" si="4"/>
        <v>#REF!</v>
      </c>
      <c r="K28" s="763" t="e">
        <f>J28*K$6</f>
        <v>#REF!</v>
      </c>
      <c r="L28" s="774" t="e">
        <f>J28+K28</f>
        <v>#REF!</v>
      </c>
    </row>
    <row r="29" spans="1:12" ht="65.099999999999994" customHeight="1" x14ac:dyDescent="0.25">
      <c r="A29" s="760" t="s">
        <v>507</v>
      </c>
      <c r="B29" s="763" t="s">
        <v>344</v>
      </c>
      <c r="C29" s="763">
        <v>1</v>
      </c>
      <c r="D29" s="764"/>
      <c r="E29" s="765"/>
      <c r="F29" s="763"/>
      <c r="G29" s="763" t="e">
        <f>#REF!</f>
        <v>#REF!</v>
      </c>
      <c r="H29" s="762" t="e">
        <f t="shared" si="3"/>
        <v>#REF!</v>
      </c>
      <c r="I29" s="763">
        <v>1</v>
      </c>
      <c r="J29" s="763" t="e">
        <f t="shared" si="4"/>
        <v>#REF!</v>
      </c>
      <c r="K29" s="763" t="e">
        <f>J29*K$6</f>
        <v>#REF!</v>
      </c>
      <c r="L29" s="774" t="e">
        <f>J29+K29</f>
        <v>#REF!</v>
      </c>
    </row>
    <row r="30" spans="1:12" ht="65.099999999999994" customHeight="1" x14ac:dyDescent="0.25">
      <c r="A30" s="760" t="s">
        <v>503</v>
      </c>
      <c r="B30" s="763" t="s">
        <v>347</v>
      </c>
      <c r="C30" s="763">
        <v>37</v>
      </c>
      <c r="D30" s="764"/>
      <c r="E30" s="765"/>
      <c r="F30" s="763"/>
      <c r="G30" s="763" t="e">
        <f>#REF!</f>
        <v>#REF!</v>
      </c>
      <c r="H30" s="762" t="e">
        <f t="shared" si="3"/>
        <v>#REF!</v>
      </c>
      <c r="I30" s="763">
        <v>1</v>
      </c>
      <c r="J30" s="763" t="e">
        <f t="shared" si="4"/>
        <v>#REF!</v>
      </c>
      <c r="K30" s="763" t="e">
        <f t="shared" si="5"/>
        <v>#REF!</v>
      </c>
      <c r="L30" s="774" t="e">
        <f t="shared" si="6"/>
        <v>#REF!</v>
      </c>
    </row>
    <row r="31" spans="1:12" ht="65.099999999999994" customHeight="1" x14ac:dyDescent="0.25">
      <c r="A31" s="760" t="s">
        <v>502</v>
      </c>
      <c r="B31" s="763" t="s">
        <v>347</v>
      </c>
      <c r="C31" s="763">
        <v>37</v>
      </c>
      <c r="D31" s="764"/>
      <c r="E31" s="765"/>
      <c r="F31" s="763"/>
      <c r="G31" s="763" t="e">
        <f>#REF!</f>
        <v>#REF!</v>
      </c>
      <c r="H31" s="762" t="e">
        <f t="shared" si="3"/>
        <v>#REF!</v>
      </c>
      <c r="I31" s="763">
        <v>1</v>
      </c>
      <c r="J31" s="763" t="e">
        <f t="shared" si="4"/>
        <v>#REF!</v>
      </c>
      <c r="K31" s="763" t="e">
        <f t="shared" si="5"/>
        <v>#REF!</v>
      </c>
      <c r="L31" s="774" t="e">
        <f t="shared" si="6"/>
        <v>#REF!</v>
      </c>
    </row>
    <row r="32" spans="1:12" ht="65.099999999999994" customHeight="1" thickBot="1" x14ac:dyDescent="0.3">
      <c r="A32" s="800" t="s">
        <v>504</v>
      </c>
      <c r="B32" s="770" t="s">
        <v>347</v>
      </c>
      <c r="C32" s="770">
        <v>1</v>
      </c>
      <c r="D32" s="771"/>
      <c r="E32" s="772"/>
      <c r="F32" s="770"/>
      <c r="G32" s="770" t="e">
        <f>#REF!</f>
        <v>#REF!</v>
      </c>
      <c r="H32" s="773" t="e">
        <f t="shared" si="3"/>
        <v>#REF!</v>
      </c>
      <c r="I32" s="770">
        <v>1</v>
      </c>
      <c r="J32" s="770" t="e">
        <f t="shared" si="4"/>
        <v>#REF!</v>
      </c>
      <c r="K32" s="770" t="e">
        <f t="shared" si="5"/>
        <v>#REF!</v>
      </c>
      <c r="L32" s="777" t="e">
        <f t="shared" si="6"/>
        <v>#REF!</v>
      </c>
    </row>
    <row r="33" spans="1:12" s="718" customFormat="1" ht="64.900000000000006" customHeight="1" thickBot="1" x14ac:dyDescent="0.3">
      <c r="I33" s="1265" t="s">
        <v>518</v>
      </c>
      <c r="J33" s="1266"/>
      <c r="K33" s="1266"/>
      <c r="L33" s="778" t="e">
        <f>SUM(L25:L32)</f>
        <v>#REF!</v>
      </c>
    </row>
    <row r="34" spans="1:12" s="718" customFormat="1" ht="30" customHeight="1" x14ac:dyDescent="0.25">
      <c r="L34" s="720"/>
    </row>
    <row r="35" spans="1:12" s="721" customFormat="1" ht="69.95" customHeight="1" x14ac:dyDescent="0.25">
      <c r="A35" s="712"/>
      <c r="B35" s="712"/>
      <c r="C35" s="712"/>
      <c r="D35" s="712"/>
      <c r="E35" s="712"/>
      <c r="F35" s="712"/>
      <c r="G35" s="712"/>
      <c r="H35" s="712"/>
      <c r="I35" s="712"/>
      <c r="J35" s="712"/>
      <c r="K35" s="712"/>
      <c r="L35" s="801" t="e">
        <f>L33+L22+L18+L14</f>
        <v>#REF!</v>
      </c>
    </row>
    <row r="36" spans="1:12" s="721" customFormat="1" ht="69.95" customHeight="1" x14ac:dyDescent="0.25">
      <c r="A36" s="712"/>
      <c r="B36" s="712"/>
      <c r="C36" s="712"/>
      <c r="D36" s="712"/>
      <c r="E36" s="712"/>
      <c r="F36" s="712"/>
      <c r="G36" s="712"/>
      <c r="H36" s="712"/>
      <c r="I36" s="712"/>
      <c r="J36" s="712"/>
      <c r="K36" s="712"/>
      <c r="L36" s="712"/>
    </row>
    <row r="37" spans="1:12" s="721" customFormat="1" ht="30" customHeight="1" x14ac:dyDescent="0.25">
      <c r="A37" s="712"/>
      <c r="B37" s="712"/>
      <c r="C37" s="712"/>
      <c r="D37" s="712"/>
      <c r="E37" s="712"/>
      <c r="F37" s="712"/>
      <c r="G37" s="712"/>
      <c r="H37" s="712"/>
      <c r="I37" s="712"/>
      <c r="J37" s="712"/>
      <c r="K37" s="712"/>
      <c r="L37" s="712"/>
    </row>
    <row r="38" spans="1:12" s="721" customFormat="1" ht="57.6" customHeight="1" x14ac:dyDescent="0.25">
      <c r="A38" s="712"/>
      <c r="B38" s="712"/>
      <c r="C38" s="712"/>
      <c r="D38" s="712"/>
      <c r="E38" s="712"/>
      <c r="F38" s="712"/>
      <c r="G38" s="712"/>
      <c r="H38" s="712"/>
      <c r="I38" s="712"/>
      <c r="J38" s="712"/>
      <c r="K38" s="712"/>
      <c r="L38" s="712"/>
    </row>
    <row r="39" spans="1:12" s="721" customFormat="1" ht="14.45" customHeight="1" x14ac:dyDescent="0.25">
      <c r="A39" s="712"/>
      <c r="B39" s="712"/>
      <c r="C39" s="712"/>
      <c r="D39" s="712"/>
      <c r="E39" s="712"/>
      <c r="F39" s="712"/>
      <c r="G39" s="712"/>
      <c r="H39" s="712"/>
      <c r="I39" s="712"/>
      <c r="J39" s="712"/>
      <c r="K39" s="712"/>
      <c r="L39" s="712"/>
    </row>
    <row r="40" spans="1:12" s="721" customFormat="1" ht="14.45" customHeight="1" x14ac:dyDescent="0.25">
      <c r="A40" s="712"/>
      <c r="B40" s="712"/>
      <c r="C40" s="712"/>
      <c r="D40" s="712"/>
      <c r="E40" s="712"/>
      <c r="F40" s="712"/>
      <c r="G40" s="712"/>
      <c r="H40" s="712"/>
      <c r="I40" s="712"/>
      <c r="J40" s="712"/>
      <c r="K40" s="712"/>
      <c r="L40" s="712"/>
    </row>
    <row r="41" spans="1:12" s="721" customFormat="1" ht="18" customHeight="1" x14ac:dyDescent="0.25">
      <c r="A41" s="712"/>
      <c r="B41" s="712"/>
      <c r="C41" s="712"/>
      <c r="D41" s="712"/>
      <c r="E41" s="712"/>
      <c r="F41" s="712"/>
      <c r="G41" s="712"/>
      <c r="H41" s="712"/>
      <c r="I41" s="712"/>
      <c r="J41" s="712"/>
      <c r="K41" s="712"/>
      <c r="L41" s="712"/>
    </row>
    <row r="42" spans="1:12" s="721" customFormat="1" ht="14.45" customHeight="1" x14ac:dyDescent="0.25">
      <c r="A42" s="712"/>
      <c r="B42" s="712"/>
      <c r="C42" s="712"/>
      <c r="D42" s="712"/>
      <c r="E42" s="712"/>
      <c r="F42" s="712"/>
      <c r="G42" s="712"/>
      <c r="H42" s="712"/>
      <c r="I42" s="712"/>
      <c r="J42" s="712"/>
      <c r="K42" s="712"/>
      <c r="L42" s="712"/>
    </row>
    <row r="43" spans="1:12" s="721" customFormat="1" ht="14.45" customHeight="1" x14ac:dyDescent="0.25">
      <c r="A43" s="712"/>
      <c r="B43" s="712"/>
      <c r="C43" s="712"/>
      <c r="D43" s="712"/>
      <c r="E43" s="712"/>
      <c r="F43" s="712"/>
      <c r="G43" s="712"/>
      <c r="H43" s="712"/>
      <c r="I43" s="712"/>
      <c r="J43" s="712"/>
      <c r="K43" s="712"/>
      <c r="L43" s="712"/>
    </row>
    <row r="44" spans="1:12" s="721" customFormat="1" ht="14.45" customHeight="1" x14ac:dyDescent="0.25">
      <c r="A44" s="712"/>
      <c r="B44" s="712"/>
      <c r="C44" s="712"/>
      <c r="D44" s="712"/>
      <c r="E44" s="712"/>
      <c r="F44" s="712"/>
      <c r="G44" s="712"/>
      <c r="H44" s="712"/>
      <c r="I44" s="712"/>
      <c r="J44" s="712"/>
      <c r="K44" s="712"/>
      <c r="L44" s="712"/>
    </row>
    <row r="45" spans="1:12" s="721" customFormat="1" ht="14.45" customHeight="1" x14ac:dyDescent="0.25">
      <c r="A45" s="712"/>
      <c r="B45" s="712"/>
      <c r="C45" s="712"/>
      <c r="D45" s="712"/>
      <c r="E45" s="712"/>
      <c r="F45" s="712"/>
      <c r="G45" s="712"/>
      <c r="H45" s="712"/>
      <c r="I45" s="712"/>
      <c r="J45" s="712"/>
      <c r="K45" s="712"/>
      <c r="L45" s="712"/>
    </row>
    <row r="46" spans="1:12" s="721" customFormat="1" ht="14.45" customHeight="1" x14ac:dyDescent="0.25">
      <c r="A46" s="712"/>
      <c r="B46" s="712"/>
      <c r="C46" s="712"/>
      <c r="D46" s="712"/>
      <c r="E46" s="712"/>
      <c r="F46" s="712"/>
      <c r="G46" s="712"/>
      <c r="H46" s="712"/>
      <c r="I46" s="712"/>
      <c r="J46" s="712"/>
      <c r="K46" s="712"/>
      <c r="L46" s="712"/>
    </row>
    <row r="47" spans="1:12" s="721" customFormat="1" ht="14.45" customHeight="1" x14ac:dyDescent="0.25">
      <c r="A47" s="712"/>
      <c r="B47" s="712"/>
      <c r="C47" s="712"/>
      <c r="D47" s="712"/>
      <c r="E47" s="712"/>
      <c r="F47" s="712"/>
      <c r="G47" s="712"/>
      <c r="H47" s="712"/>
      <c r="I47" s="712"/>
      <c r="J47" s="712"/>
      <c r="K47" s="712"/>
      <c r="L47" s="712"/>
    </row>
    <row r="48" spans="1:12" s="721" customFormat="1" ht="31.15" customHeight="1" x14ac:dyDescent="0.25">
      <c r="A48" s="712"/>
      <c r="B48" s="712"/>
      <c r="C48" s="712"/>
      <c r="D48" s="712"/>
      <c r="E48" s="712"/>
      <c r="F48" s="712"/>
      <c r="G48" s="712"/>
      <c r="H48" s="712"/>
      <c r="I48" s="712"/>
      <c r="J48" s="712"/>
      <c r="K48" s="712"/>
      <c r="L48" s="712"/>
    </row>
    <row r="49" spans="1:12" s="721" customFormat="1" ht="34.9" customHeight="1" x14ac:dyDescent="0.25">
      <c r="A49" s="712"/>
      <c r="B49" s="712"/>
      <c r="C49" s="712"/>
      <c r="D49" s="712"/>
      <c r="E49" s="712"/>
      <c r="F49" s="712"/>
      <c r="G49" s="712"/>
      <c r="H49" s="712"/>
      <c r="I49" s="712"/>
      <c r="J49" s="712"/>
      <c r="K49" s="712"/>
      <c r="L49" s="712"/>
    </row>
    <row r="50" spans="1:12" s="721" customFormat="1" ht="28.9" customHeight="1" x14ac:dyDescent="0.25">
      <c r="A50" s="712"/>
      <c r="B50" s="712"/>
      <c r="C50" s="712"/>
      <c r="D50" s="712"/>
      <c r="E50" s="712"/>
      <c r="F50" s="712"/>
      <c r="G50" s="712"/>
      <c r="H50" s="712"/>
      <c r="I50" s="712"/>
      <c r="J50" s="712"/>
      <c r="K50" s="712"/>
      <c r="L50" s="712"/>
    </row>
    <row r="51" spans="1:12" ht="25.5" customHeight="1" x14ac:dyDescent="0.25"/>
    <row r="52" spans="1:12" ht="26.25" customHeight="1" x14ac:dyDescent="0.25"/>
    <row r="53" spans="1:12" ht="22.5" customHeight="1" x14ac:dyDescent="0.25"/>
  </sheetData>
  <mergeCells count="13">
    <mergeCell ref="I33:K33"/>
    <mergeCell ref="A4:L4"/>
    <mergeCell ref="A19:L19"/>
    <mergeCell ref="A1:L1"/>
    <mergeCell ref="A2:L2"/>
    <mergeCell ref="A3:L3"/>
    <mergeCell ref="A5:L5"/>
    <mergeCell ref="A15:L15"/>
    <mergeCell ref="A23:L23"/>
    <mergeCell ref="I14:K14"/>
    <mergeCell ref="A14:H14"/>
    <mergeCell ref="I18:K18"/>
    <mergeCell ref="I22:K22"/>
  </mergeCells>
  <printOptions horizontalCentered="1" verticalCentered="1"/>
  <pageMargins left="0.19685039370078741" right="0.19685039370078741" top="0.33" bottom="0.28000000000000003" header="0.21" footer="0.18"/>
  <pageSetup paperSize="256" scale="22"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ED8B4-28FC-4EFC-8FB6-045B2436A96B}">
  <sheetPr>
    <tabColor theme="5" tint="-0.249977111117893"/>
  </sheetPr>
  <dimension ref="A1:O44"/>
  <sheetViews>
    <sheetView topLeftCell="A13" workbookViewId="0">
      <selection activeCell="Q30" sqref="Q30"/>
    </sheetView>
  </sheetViews>
  <sheetFormatPr baseColWidth="10" defaultRowHeight="15" x14ac:dyDescent="0.25"/>
  <cols>
    <col min="1" max="6" width="9" customWidth="1"/>
    <col min="7" max="7" width="11.140625" customWidth="1"/>
    <col min="8" max="10" width="4.5703125" customWidth="1"/>
    <col min="11" max="11" width="9.28515625" customWidth="1"/>
    <col min="12" max="15" width="3.42578125" customWidth="1"/>
    <col min="16" max="16" width="14.140625" bestFit="1" customWidth="1"/>
  </cols>
  <sheetData>
    <row r="1" spans="1:15" ht="48" customHeight="1" x14ac:dyDescent="0.25">
      <c r="A1" s="1313" t="s">
        <v>17</v>
      </c>
      <c r="B1" s="1314"/>
      <c r="C1" s="1314"/>
      <c r="D1" s="1314"/>
      <c r="E1" s="1314"/>
      <c r="F1" s="1314"/>
      <c r="G1" s="1314"/>
      <c r="H1" s="1314"/>
      <c r="I1" s="1314"/>
      <c r="J1" s="1314"/>
      <c r="K1" s="1314"/>
      <c r="L1" s="1314"/>
      <c r="M1" s="1314"/>
      <c r="N1" s="1314"/>
      <c r="O1" s="1315"/>
    </row>
    <row r="2" spans="1:15" x14ac:dyDescent="0.25">
      <c r="A2" s="1316"/>
      <c r="B2" s="1317"/>
      <c r="C2" s="1317"/>
      <c r="D2" s="1317"/>
      <c r="E2" s="1317"/>
      <c r="F2" s="1317"/>
      <c r="G2" s="1317"/>
      <c r="H2" s="1317"/>
      <c r="I2" s="1317"/>
      <c r="J2" s="1317"/>
      <c r="K2" s="1317"/>
      <c r="L2" s="1317"/>
      <c r="M2" s="1317"/>
      <c r="N2" s="1317"/>
      <c r="O2" s="1318"/>
    </row>
    <row r="3" spans="1:15" x14ac:dyDescent="0.25">
      <c r="A3" s="1319" t="s">
        <v>54</v>
      </c>
      <c r="B3" s="1302"/>
      <c r="C3" s="1302"/>
      <c r="D3" s="1302"/>
      <c r="E3" s="1302"/>
      <c r="F3" s="1302"/>
      <c r="G3" s="1303"/>
      <c r="H3" s="1301" t="s">
        <v>532</v>
      </c>
      <c r="I3" s="1302"/>
      <c r="J3" s="1302"/>
      <c r="K3" s="1303"/>
      <c r="L3" s="1301" t="s">
        <v>397</v>
      </c>
      <c r="M3" s="1302"/>
      <c r="N3" s="1302"/>
      <c r="O3" s="1320"/>
    </row>
    <row r="4" spans="1:15" x14ac:dyDescent="0.25">
      <c r="A4" s="1298" t="s">
        <v>533</v>
      </c>
      <c r="B4" s="1299"/>
      <c r="C4" s="1299"/>
      <c r="D4" s="1299"/>
      <c r="E4" s="1299"/>
      <c r="F4" s="1299"/>
      <c r="G4" s="1300"/>
      <c r="H4" s="1307"/>
      <c r="I4" s="1308"/>
      <c r="J4" s="1308"/>
      <c r="K4" s="1309"/>
      <c r="L4" s="1304">
        <f>+L5</f>
        <v>1</v>
      </c>
      <c r="M4" s="1305"/>
      <c r="N4" s="1305"/>
      <c r="O4" s="1306"/>
    </row>
    <row r="5" spans="1:15" x14ac:dyDescent="0.25">
      <c r="A5" s="1289" t="s">
        <v>534</v>
      </c>
      <c r="B5" s="1290"/>
      <c r="C5" s="1290"/>
      <c r="D5" s="1290"/>
      <c r="E5" s="1290"/>
      <c r="F5" s="1290"/>
      <c r="G5" s="1291"/>
      <c r="H5" s="1295"/>
      <c r="I5" s="1296"/>
      <c r="J5" s="1296"/>
      <c r="K5" s="1297"/>
      <c r="L5" s="1292">
        <v>1</v>
      </c>
      <c r="M5" s="1293"/>
      <c r="N5" s="1293"/>
      <c r="O5" s="1294"/>
    </row>
    <row r="6" spans="1:15" x14ac:dyDescent="0.25">
      <c r="A6" s="1298" t="s">
        <v>535</v>
      </c>
      <c r="B6" s="1299"/>
      <c r="C6" s="1299"/>
      <c r="D6" s="1299"/>
      <c r="E6" s="1299"/>
      <c r="F6" s="1299"/>
      <c r="G6" s="1300"/>
      <c r="H6" s="1307"/>
      <c r="I6" s="1308"/>
      <c r="J6" s="1308"/>
      <c r="K6" s="1309"/>
      <c r="L6" s="1304">
        <f>SUM(L7:O13)</f>
        <v>0.61413300000000004</v>
      </c>
      <c r="M6" s="1305"/>
      <c r="N6" s="1305"/>
      <c r="O6" s="1306"/>
    </row>
    <row r="7" spans="1:15" x14ac:dyDescent="0.25">
      <c r="A7" s="1289" t="s">
        <v>549</v>
      </c>
      <c r="B7" s="1290"/>
      <c r="C7" s="1290"/>
      <c r="D7" s="1290"/>
      <c r="E7" s="1290"/>
      <c r="F7" s="1290"/>
      <c r="G7" s="1291"/>
      <c r="H7" s="1295"/>
      <c r="I7" s="1296"/>
      <c r="J7" s="1296"/>
      <c r="K7" s="1297"/>
      <c r="L7" s="1292">
        <v>8.3299999999999999E-2</v>
      </c>
      <c r="M7" s="1293"/>
      <c r="N7" s="1293"/>
      <c r="O7" s="1294"/>
    </row>
    <row r="8" spans="1:15" x14ac:dyDescent="0.25">
      <c r="A8" s="1289" t="s">
        <v>550</v>
      </c>
      <c r="B8" s="1290"/>
      <c r="C8" s="1290"/>
      <c r="D8" s="1290"/>
      <c r="E8" s="1290"/>
      <c r="F8" s="1290"/>
      <c r="G8" s="1291"/>
      <c r="H8" s="1295"/>
      <c r="I8" s="1296"/>
      <c r="J8" s="1296"/>
      <c r="K8" s="1297"/>
      <c r="L8" s="1292">
        <v>8.3299999999999999E-2</v>
      </c>
      <c r="M8" s="1293"/>
      <c r="N8" s="1293"/>
      <c r="O8" s="1294"/>
    </row>
    <row r="9" spans="1:15" x14ac:dyDescent="0.25">
      <c r="A9" s="1289" t="s">
        <v>536</v>
      </c>
      <c r="B9" s="1290"/>
      <c r="C9" s="1290"/>
      <c r="D9" s="1290"/>
      <c r="E9" s="1290"/>
      <c r="F9" s="1290"/>
      <c r="G9" s="1291"/>
      <c r="H9" s="1295"/>
      <c r="I9" s="1296"/>
      <c r="J9" s="1296"/>
      <c r="K9" s="1297"/>
      <c r="L9" s="1292">
        <f>L8*1%</f>
        <v>8.3299999999999997E-4</v>
      </c>
      <c r="M9" s="1293"/>
      <c r="N9" s="1293"/>
      <c r="O9" s="1294"/>
    </row>
    <row r="10" spans="1:15" x14ac:dyDescent="0.25">
      <c r="A10" s="1289" t="s">
        <v>551</v>
      </c>
      <c r="B10" s="1290"/>
      <c r="C10" s="1290"/>
      <c r="D10" s="1290"/>
      <c r="E10" s="1290"/>
      <c r="F10" s="1290"/>
      <c r="G10" s="1291"/>
      <c r="H10" s="1295"/>
      <c r="I10" s="1296"/>
      <c r="J10" s="1296"/>
      <c r="K10" s="1297"/>
      <c r="L10" s="1292">
        <v>4.1700000000000001E-2</v>
      </c>
      <c r="M10" s="1293"/>
      <c r="N10" s="1293"/>
      <c r="O10" s="1294"/>
    </row>
    <row r="11" spans="1:15" x14ac:dyDescent="0.25">
      <c r="A11" s="1310" t="s">
        <v>554</v>
      </c>
      <c r="B11" s="1311"/>
      <c r="C11" s="1311"/>
      <c r="D11" s="1311"/>
      <c r="E11" s="1311"/>
      <c r="F11" s="1311"/>
      <c r="G11" s="1312"/>
      <c r="H11" s="1295"/>
      <c r="I11" s="1296"/>
      <c r="J11" s="1296"/>
      <c r="K11" s="1297"/>
      <c r="L11" s="1292">
        <v>0.35499999999999998</v>
      </c>
      <c r="M11" s="1293"/>
      <c r="N11" s="1293"/>
      <c r="O11" s="1294"/>
    </row>
    <row r="12" spans="1:15" x14ac:dyDescent="0.25">
      <c r="A12" s="1310" t="s">
        <v>552</v>
      </c>
      <c r="B12" s="1311"/>
      <c r="C12" s="1311"/>
      <c r="D12" s="1311"/>
      <c r="E12" s="1311"/>
      <c r="F12" s="1311"/>
      <c r="G12" s="1312"/>
      <c r="H12" s="1295"/>
      <c r="I12" s="1296"/>
      <c r="J12" s="1296"/>
      <c r="K12" s="1297"/>
      <c r="L12" s="1292">
        <v>0.04</v>
      </c>
      <c r="M12" s="1293"/>
      <c r="N12" s="1293"/>
      <c r="O12" s="1294"/>
    </row>
    <row r="13" spans="1:15" x14ac:dyDescent="0.25">
      <c r="A13" s="1310" t="s">
        <v>555</v>
      </c>
      <c r="B13" s="1311"/>
      <c r="C13" s="1311"/>
      <c r="D13" s="1311"/>
      <c r="E13" s="1311"/>
      <c r="F13" s="1311"/>
      <c r="G13" s="1312"/>
      <c r="H13" s="1295"/>
      <c r="I13" s="1296"/>
      <c r="J13" s="1296"/>
      <c r="K13" s="1297"/>
      <c r="L13" s="1292">
        <v>0.01</v>
      </c>
      <c r="M13" s="1293"/>
      <c r="N13" s="1293"/>
      <c r="O13" s="1294"/>
    </row>
    <row r="14" spans="1:15" x14ac:dyDescent="0.25">
      <c r="A14" s="1298" t="s">
        <v>553</v>
      </c>
      <c r="B14" s="1299"/>
      <c r="C14" s="1299"/>
      <c r="D14" s="1299"/>
      <c r="E14" s="1299"/>
      <c r="F14" s="1299"/>
      <c r="G14" s="1300"/>
      <c r="H14" s="1301"/>
      <c r="I14" s="1302"/>
      <c r="J14" s="1302"/>
      <c r="K14" s="1303"/>
      <c r="L14" s="1304">
        <f>SUM(L15:O20)</f>
        <v>0.115</v>
      </c>
      <c r="M14" s="1305"/>
      <c r="N14" s="1305"/>
      <c r="O14" s="1306"/>
    </row>
    <row r="15" spans="1:15" x14ac:dyDescent="0.25">
      <c r="A15" s="1289" t="s">
        <v>543</v>
      </c>
      <c r="B15" s="1290"/>
      <c r="C15" s="1290"/>
      <c r="D15" s="1290"/>
      <c r="E15" s="1290"/>
      <c r="F15" s="1290"/>
      <c r="G15" s="1291"/>
      <c r="H15" s="1295"/>
      <c r="I15" s="1296"/>
      <c r="J15" s="1296"/>
      <c r="K15" s="1297"/>
      <c r="L15" s="1292">
        <v>0.02</v>
      </c>
      <c r="M15" s="1293"/>
      <c r="N15" s="1293"/>
      <c r="O15" s="1294"/>
    </row>
    <row r="16" spans="1:15" x14ac:dyDescent="0.25">
      <c r="A16" s="1289" t="s">
        <v>544</v>
      </c>
      <c r="B16" s="1290"/>
      <c r="C16" s="1290"/>
      <c r="D16" s="1290"/>
      <c r="E16" s="1290"/>
      <c r="F16" s="1290"/>
      <c r="G16" s="1291"/>
      <c r="H16" s="1295"/>
      <c r="I16" s="1296"/>
      <c r="J16" s="1296"/>
      <c r="K16" s="1297"/>
      <c r="L16" s="1292">
        <v>1.4999999999999999E-2</v>
      </c>
      <c r="M16" s="1293"/>
      <c r="N16" s="1293"/>
      <c r="O16" s="1294"/>
    </row>
    <row r="17" spans="1:15" x14ac:dyDescent="0.25">
      <c r="A17" s="1289" t="s">
        <v>545</v>
      </c>
      <c r="B17" s="1290"/>
      <c r="C17" s="1290"/>
      <c r="D17" s="1290"/>
      <c r="E17" s="1290"/>
      <c r="F17" s="1290"/>
      <c r="G17" s="1291"/>
      <c r="H17" s="1295"/>
      <c r="I17" s="1296"/>
      <c r="J17" s="1296"/>
      <c r="K17" s="1297"/>
      <c r="L17" s="1292">
        <v>5.0000000000000001E-3</v>
      </c>
      <c r="M17" s="1293"/>
      <c r="N17" s="1293"/>
      <c r="O17" s="1294"/>
    </row>
    <row r="18" spans="1:15" x14ac:dyDescent="0.25">
      <c r="A18" s="1289" t="s">
        <v>563</v>
      </c>
      <c r="B18" s="1290"/>
      <c r="C18" s="1290"/>
      <c r="D18" s="1290"/>
      <c r="E18" s="1290"/>
      <c r="F18" s="1290"/>
      <c r="G18" s="1291"/>
      <c r="H18" s="1295"/>
      <c r="I18" s="1296"/>
      <c r="J18" s="1296"/>
      <c r="K18" s="1297"/>
      <c r="L18" s="1292">
        <v>1.4999999999999999E-2</v>
      </c>
      <c r="M18" s="1293"/>
      <c r="N18" s="1293"/>
      <c r="O18" s="1294"/>
    </row>
    <row r="19" spans="1:15" x14ac:dyDescent="0.25">
      <c r="A19" s="1289" t="s">
        <v>556</v>
      </c>
      <c r="B19" s="1290"/>
      <c r="C19" s="1290"/>
      <c r="D19" s="1290"/>
      <c r="E19" s="1290"/>
      <c r="F19" s="1290"/>
      <c r="G19" s="1291"/>
      <c r="H19" s="1295"/>
      <c r="I19" s="1296"/>
      <c r="J19" s="1296"/>
      <c r="K19" s="1297"/>
      <c r="L19" s="1292">
        <v>0.05</v>
      </c>
      <c r="M19" s="1293"/>
      <c r="N19" s="1293"/>
      <c r="O19" s="1294"/>
    </row>
    <row r="20" spans="1:15" x14ac:dyDescent="0.25">
      <c r="A20" s="1289" t="s">
        <v>557</v>
      </c>
      <c r="B20" s="1290"/>
      <c r="C20" s="1290"/>
      <c r="D20" s="1290"/>
      <c r="E20" s="1290"/>
      <c r="F20" s="1290"/>
      <c r="G20" s="1291"/>
      <c r="H20" s="1295"/>
      <c r="I20" s="1296"/>
      <c r="J20" s="1296"/>
      <c r="K20" s="1297"/>
      <c r="L20" s="1292">
        <v>0.01</v>
      </c>
      <c r="M20" s="1293"/>
      <c r="N20" s="1293"/>
      <c r="O20" s="1294"/>
    </row>
    <row r="21" spans="1:15" x14ac:dyDescent="0.25">
      <c r="A21" s="1298" t="s">
        <v>560</v>
      </c>
      <c r="B21" s="1299"/>
      <c r="C21" s="1299"/>
      <c r="D21" s="1299"/>
      <c r="E21" s="1299"/>
      <c r="F21" s="1299"/>
      <c r="G21" s="1300"/>
      <c r="H21" s="1307"/>
      <c r="I21" s="1308"/>
      <c r="J21" s="1308"/>
      <c r="K21" s="1309"/>
      <c r="L21" s="1304">
        <f>SUM(L22:O23)</f>
        <v>0.1</v>
      </c>
      <c r="M21" s="1305"/>
      <c r="N21" s="1305"/>
      <c r="O21" s="1306"/>
    </row>
    <row r="22" spans="1:15" x14ac:dyDescent="0.25">
      <c r="A22" s="1289" t="s">
        <v>558</v>
      </c>
      <c r="B22" s="1290"/>
      <c r="C22" s="1290"/>
      <c r="D22" s="1290"/>
      <c r="E22" s="1290"/>
      <c r="F22" s="1290"/>
      <c r="G22" s="1291"/>
      <c r="H22" s="1295"/>
      <c r="I22" s="1296"/>
      <c r="J22" s="1296"/>
      <c r="K22" s="1297"/>
      <c r="L22" s="1292">
        <v>0.03</v>
      </c>
      <c r="M22" s="1293"/>
      <c r="N22" s="1293"/>
      <c r="O22" s="1294"/>
    </row>
    <row r="23" spans="1:15" x14ac:dyDescent="0.25">
      <c r="A23" s="1289" t="s">
        <v>564</v>
      </c>
      <c r="B23" s="1290"/>
      <c r="C23" s="1290"/>
      <c r="D23" s="1290"/>
      <c r="E23" s="1290"/>
      <c r="F23" s="1290"/>
      <c r="G23" s="1291"/>
      <c r="H23" s="1295"/>
      <c r="I23" s="1296"/>
      <c r="J23" s="1296"/>
      <c r="K23" s="1297"/>
      <c r="L23" s="1292">
        <v>7.0000000000000007E-2</v>
      </c>
      <c r="M23" s="1293"/>
      <c r="N23" s="1293"/>
      <c r="O23" s="1294"/>
    </row>
    <row r="24" spans="1:15" x14ac:dyDescent="0.25">
      <c r="A24" s="1298" t="s">
        <v>559</v>
      </c>
      <c r="B24" s="1299"/>
      <c r="C24" s="1299"/>
      <c r="D24" s="1299"/>
      <c r="E24" s="1299"/>
      <c r="F24" s="1299"/>
      <c r="G24" s="1300"/>
      <c r="H24" s="1307"/>
      <c r="I24" s="1308"/>
      <c r="J24" s="1308"/>
      <c r="K24" s="1309"/>
      <c r="L24" s="1304">
        <f>SUM(L25:O27)</f>
        <v>7.0900000000000005E-2</v>
      </c>
      <c r="M24" s="1305"/>
      <c r="N24" s="1305"/>
      <c r="O24" s="1306"/>
    </row>
    <row r="25" spans="1:15" x14ac:dyDescent="0.25">
      <c r="A25" s="1289" t="s">
        <v>561</v>
      </c>
      <c r="B25" s="1290"/>
      <c r="C25" s="1290"/>
      <c r="D25" s="1290"/>
      <c r="E25" s="1290"/>
      <c r="F25" s="1290"/>
      <c r="G25" s="1291"/>
      <c r="H25" s="1295"/>
      <c r="I25" s="1296"/>
      <c r="J25" s="1296"/>
      <c r="K25" s="1297"/>
      <c r="L25" s="1292">
        <v>2.0899999999999998E-2</v>
      </c>
      <c r="M25" s="1293"/>
      <c r="N25" s="1293"/>
      <c r="O25" s="1294"/>
    </row>
    <row r="26" spans="1:15" x14ac:dyDescent="0.25">
      <c r="A26" s="1289" t="s">
        <v>562</v>
      </c>
      <c r="B26" s="1290"/>
      <c r="C26" s="1290"/>
      <c r="D26" s="1290"/>
      <c r="E26" s="1290"/>
      <c r="F26" s="1290"/>
      <c r="G26" s="1291"/>
      <c r="H26" s="1295"/>
      <c r="I26" s="1296"/>
      <c r="J26" s="1296"/>
      <c r="K26" s="1297"/>
      <c r="L26" s="1292">
        <v>0.03</v>
      </c>
      <c r="M26" s="1293"/>
      <c r="N26" s="1293"/>
      <c r="O26" s="1294"/>
    </row>
    <row r="27" spans="1:15" x14ac:dyDescent="0.25">
      <c r="A27" s="1289" t="s">
        <v>567</v>
      </c>
      <c r="B27" s="1290"/>
      <c r="C27" s="1290"/>
      <c r="D27" s="1290"/>
      <c r="E27" s="1290"/>
      <c r="F27" s="1290"/>
      <c r="G27" s="1291"/>
      <c r="H27" s="1295"/>
      <c r="I27" s="1296"/>
      <c r="J27" s="1296"/>
      <c r="K27" s="1297"/>
      <c r="L27" s="1292">
        <v>0.02</v>
      </c>
      <c r="M27" s="1293"/>
      <c r="N27" s="1293"/>
      <c r="O27" s="1294"/>
    </row>
    <row r="28" spans="1:15" x14ac:dyDescent="0.25">
      <c r="A28" s="1298" t="s">
        <v>565</v>
      </c>
      <c r="B28" s="1299"/>
      <c r="C28" s="1299"/>
      <c r="D28" s="1299"/>
      <c r="E28" s="1299"/>
      <c r="F28" s="1299"/>
      <c r="G28" s="1300"/>
      <c r="H28" s="1301"/>
      <c r="I28" s="1302"/>
      <c r="J28" s="1302"/>
      <c r="K28" s="1303"/>
      <c r="L28" s="1304">
        <v>0.06</v>
      </c>
      <c r="M28" s="1305"/>
      <c r="N28" s="1305"/>
      <c r="O28" s="1306"/>
    </row>
    <row r="29" spans="1:15" x14ac:dyDescent="0.25">
      <c r="A29" s="841"/>
      <c r="B29" s="842"/>
      <c r="C29" s="842"/>
      <c r="D29" s="842"/>
      <c r="E29" s="842"/>
      <c r="F29" s="842"/>
      <c r="G29" s="842"/>
      <c r="H29" s="843"/>
      <c r="I29" s="843"/>
      <c r="J29" s="843"/>
      <c r="K29" s="843"/>
      <c r="L29" s="844"/>
      <c r="M29" s="844"/>
      <c r="N29" s="844"/>
      <c r="O29" s="845"/>
    </row>
    <row r="30" spans="1:15" x14ac:dyDescent="0.25">
      <c r="A30" s="841"/>
      <c r="B30" s="842"/>
      <c r="C30" s="842"/>
      <c r="D30" s="842"/>
      <c r="E30" s="842"/>
      <c r="F30" s="842"/>
      <c r="G30" s="842"/>
      <c r="H30" s="843"/>
      <c r="I30" s="843"/>
      <c r="J30" s="843"/>
      <c r="K30" s="843"/>
      <c r="L30" s="844"/>
      <c r="M30" s="844"/>
      <c r="N30" s="844"/>
      <c r="O30" s="845"/>
    </row>
    <row r="31" spans="1:15" ht="15.75" thickBot="1" x14ac:dyDescent="0.3">
      <c r="A31" s="1276"/>
      <c r="B31" s="1277"/>
      <c r="C31" s="1277"/>
      <c r="D31" s="1277"/>
      <c r="E31" s="1277"/>
      <c r="F31" s="1277"/>
      <c r="G31" s="1277"/>
      <c r="H31" s="1277"/>
      <c r="I31" s="1277"/>
      <c r="J31" s="1277"/>
      <c r="K31" s="1277"/>
      <c r="L31" s="1277"/>
      <c r="M31" s="1277"/>
      <c r="N31" s="1277"/>
      <c r="O31" s="1278"/>
    </row>
    <row r="32" spans="1:15" ht="15.75" thickBot="1" x14ac:dyDescent="0.3">
      <c r="A32" s="821"/>
      <c r="B32" s="822"/>
      <c r="C32" s="822"/>
      <c r="D32" s="822"/>
      <c r="E32" s="822"/>
      <c r="F32" s="822"/>
      <c r="G32" s="822"/>
      <c r="H32" s="822"/>
      <c r="I32" s="822"/>
      <c r="J32" s="822"/>
      <c r="K32" s="822"/>
      <c r="L32" s="822"/>
      <c r="M32" s="822"/>
      <c r="N32" s="822"/>
      <c r="O32" s="823"/>
    </row>
    <row r="33" spans="1:15" ht="15.75" thickBot="1" x14ac:dyDescent="0.3">
      <c r="A33" s="821"/>
      <c r="B33" s="822"/>
      <c r="C33" s="822"/>
      <c r="D33" s="822"/>
      <c r="E33" s="822"/>
      <c r="F33" s="822"/>
      <c r="G33" s="822"/>
      <c r="H33" s="822"/>
      <c r="I33" s="822"/>
      <c r="J33" s="822"/>
      <c r="K33" s="822"/>
      <c r="L33" s="822"/>
      <c r="M33" s="822"/>
      <c r="N33" s="822"/>
      <c r="O33" s="823"/>
    </row>
    <row r="34" spans="1:15" ht="15.75" thickBot="1" x14ac:dyDescent="0.3">
      <c r="A34" s="1279" t="s">
        <v>17</v>
      </c>
      <c r="B34" s="1280"/>
      <c r="C34" s="1280"/>
      <c r="D34" s="1280"/>
      <c r="E34" s="1280"/>
      <c r="F34" s="1280"/>
      <c r="G34" s="1281"/>
      <c r="H34" s="1282">
        <f>L28+L24+L21+L14+L6+L4</f>
        <v>1.9600330000000001</v>
      </c>
      <c r="I34" s="1283"/>
      <c r="J34" s="1283"/>
      <c r="K34" s="1284"/>
      <c r="L34" s="1285">
        <f>ROUND(H34,2)</f>
        <v>1.96</v>
      </c>
      <c r="M34" s="1286"/>
      <c r="N34" s="1286"/>
      <c r="O34" s="1287"/>
    </row>
    <row r="35" spans="1:15" x14ac:dyDescent="0.25">
      <c r="A35" s="824"/>
      <c r="B35" s="825"/>
      <c r="C35" s="826"/>
      <c r="D35" s="827"/>
      <c r="E35" s="828"/>
      <c r="F35" s="829"/>
      <c r="G35" s="830"/>
      <c r="H35" s="830"/>
      <c r="I35" s="830"/>
      <c r="J35" s="830"/>
      <c r="K35" s="830"/>
      <c r="L35" s="830"/>
      <c r="M35" s="830"/>
      <c r="N35" s="830"/>
      <c r="O35" s="830"/>
    </row>
    <row r="36" spans="1:15" x14ac:dyDescent="0.25">
      <c r="A36" s="824"/>
      <c r="B36" s="825"/>
      <c r="C36" s="826"/>
      <c r="D36" s="827"/>
      <c r="E36" s="828"/>
      <c r="F36" s="829"/>
      <c r="G36" s="830"/>
      <c r="H36" s="830"/>
      <c r="I36" s="830"/>
      <c r="J36" s="830"/>
      <c r="K36" s="830"/>
      <c r="L36" s="830"/>
      <c r="M36" s="830"/>
      <c r="N36" s="830"/>
      <c r="O36" s="830"/>
    </row>
    <row r="37" spans="1:15" x14ac:dyDescent="0.25">
      <c r="A37" s="824"/>
      <c r="B37" s="825"/>
      <c r="C37" s="826"/>
      <c r="D37" s="827"/>
      <c r="E37" s="828"/>
      <c r="F37" s="829"/>
      <c r="G37" s="830"/>
      <c r="H37" s="830"/>
      <c r="I37" s="830"/>
      <c r="J37" s="830"/>
      <c r="K37" s="830"/>
      <c r="L37" s="830"/>
      <c r="M37" s="830"/>
      <c r="N37" s="830"/>
      <c r="O37" s="830"/>
    </row>
    <row r="38" spans="1:15" x14ac:dyDescent="0.25">
      <c r="A38" s="831"/>
      <c r="B38" s="831"/>
      <c r="C38" s="831"/>
      <c r="D38" s="831"/>
      <c r="E38" s="831"/>
      <c r="F38" s="831"/>
      <c r="G38" s="831"/>
      <c r="H38" s="831"/>
      <c r="I38" s="831"/>
      <c r="J38" s="831"/>
      <c r="K38" s="831"/>
      <c r="L38" s="831"/>
      <c r="M38" s="832"/>
      <c r="N38" s="831"/>
      <c r="O38" s="831"/>
    </row>
    <row r="39" spans="1:15" x14ac:dyDescent="0.25">
      <c r="A39" s="824"/>
      <c r="B39" s="824"/>
      <c r="C39" s="830"/>
      <c r="D39" s="826"/>
      <c r="E39" s="828"/>
      <c r="F39" s="829"/>
      <c r="G39" s="830"/>
      <c r="H39" s="830"/>
      <c r="I39" s="830"/>
      <c r="J39" s="830"/>
      <c r="K39" s="830"/>
      <c r="L39" s="830"/>
      <c r="M39" s="830"/>
      <c r="N39" s="830"/>
      <c r="O39" s="830"/>
    </row>
    <row r="40" spans="1:15" x14ac:dyDescent="0.25">
      <c r="A40" s="833"/>
      <c r="B40" s="833"/>
      <c r="C40" s="830"/>
      <c r="D40" s="826"/>
      <c r="E40" s="828"/>
      <c r="F40" s="829"/>
      <c r="G40" s="830"/>
      <c r="H40" s="830"/>
      <c r="I40" s="830"/>
      <c r="J40" s="830"/>
      <c r="K40" s="830"/>
      <c r="L40" s="830"/>
      <c r="M40" s="830"/>
      <c r="N40" s="830"/>
      <c r="O40" s="830"/>
    </row>
    <row r="41" spans="1:15" x14ac:dyDescent="0.25">
      <c r="A41" s="1274"/>
      <c r="B41" s="1274"/>
      <c r="C41" s="1274"/>
      <c r="D41" s="1274"/>
      <c r="E41" s="1274"/>
      <c r="F41" s="1274"/>
      <c r="G41" s="1274"/>
      <c r="H41" s="1274"/>
      <c r="I41" s="1274"/>
      <c r="J41" s="1274"/>
      <c r="K41" s="1274"/>
      <c r="L41" s="1274"/>
      <c r="M41" s="1274"/>
      <c r="N41" s="1274"/>
      <c r="O41" s="1274"/>
    </row>
    <row r="42" spans="1:15" x14ac:dyDescent="0.25">
      <c r="A42" s="1288"/>
      <c r="B42" s="1288"/>
      <c r="C42" s="1288"/>
      <c r="D42" s="1288"/>
      <c r="E42" s="1288"/>
      <c r="F42" s="1288"/>
      <c r="G42" s="1288"/>
      <c r="H42" s="1288"/>
      <c r="I42" s="1288"/>
      <c r="J42" s="1288"/>
      <c r="K42" s="1288"/>
      <c r="L42" s="1288"/>
      <c r="M42" s="1288"/>
      <c r="N42" s="1288"/>
      <c r="O42" s="1288"/>
    </row>
    <row r="43" spans="1:15" x14ac:dyDescent="0.25">
      <c r="A43" s="1274"/>
      <c r="B43" s="1274"/>
      <c r="C43" s="1274"/>
      <c r="D43" s="1274"/>
      <c r="E43" s="1274"/>
      <c r="F43" s="1274"/>
      <c r="G43" s="1274"/>
      <c r="H43" s="1274"/>
      <c r="I43" s="1274"/>
      <c r="J43" s="1274"/>
      <c r="K43" s="1274"/>
      <c r="L43" s="1274"/>
      <c r="M43" s="1274"/>
      <c r="N43" s="1274"/>
      <c r="O43" s="1274"/>
    </row>
    <row r="44" spans="1:15" x14ac:dyDescent="0.25">
      <c r="A44" s="1275"/>
      <c r="B44" s="1275"/>
      <c r="C44" s="1275"/>
      <c r="D44" s="1275"/>
      <c r="E44" s="1275"/>
      <c r="F44" s="1275"/>
      <c r="G44" s="1275"/>
      <c r="H44" s="1275"/>
      <c r="I44" s="1275"/>
      <c r="J44" s="1275"/>
      <c r="K44" s="1275"/>
      <c r="L44" s="1275"/>
      <c r="M44" s="1275"/>
      <c r="N44" s="1275"/>
      <c r="O44" s="1275"/>
    </row>
  </sheetData>
  <mergeCells count="88">
    <mergeCell ref="A4:G4"/>
    <mergeCell ref="H4:K4"/>
    <mergeCell ref="L4:O4"/>
    <mergeCell ref="A1:O1"/>
    <mergeCell ref="A2:O2"/>
    <mergeCell ref="A3:G3"/>
    <mergeCell ref="H3:K3"/>
    <mergeCell ref="L3:O3"/>
    <mergeCell ref="A5:G5"/>
    <mergeCell ref="H5:K5"/>
    <mergeCell ref="L5:O5"/>
    <mergeCell ref="A6:G6"/>
    <mergeCell ref="H6:K6"/>
    <mergeCell ref="L6:O6"/>
    <mergeCell ref="A7:G7"/>
    <mergeCell ref="H7:K7"/>
    <mergeCell ref="L7:O7"/>
    <mergeCell ref="A8:G8"/>
    <mergeCell ref="H8:K8"/>
    <mergeCell ref="L8:O8"/>
    <mergeCell ref="A11:G11"/>
    <mergeCell ref="H11:K11"/>
    <mergeCell ref="L11:O11"/>
    <mergeCell ref="A9:G9"/>
    <mergeCell ref="H9:K9"/>
    <mergeCell ref="L9:O9"/>
    <mergeCell ref="A10:G10"/>
    <mergeCell ref="H10:K10"/>
    <mergeCell ref="L10:O10"/>
    <mergeCell ref="A13:G13"/>
    <mergeCell ref="H13:K13"/>
    <mergeCell ref="L13:O13"/>
    <mergeCell ref="A12:G12"/>
    <mergeCell ref="H12:K12"/>
    <mergeCell ref="L12:O12"/>
    <mergeCell ref="A14:G14"/>
    <mergeCell ref="H14:K14"/>
    <mergeCell ref="L14:O14"/>
    <mergeCell ref="A27:G27"/>
    <mergeCell ref="H27:K27"/>
    <mergeCell ref="L27:O27"/>
    <mergeCell ref="A24:G24"/>
    <mergeCell ref="H24:K24"/>
    <mergeCell ref="L24:O24"/>
    <mergeCell ref="A25:G25"/>
    <mergeCell ref="H25:K25"/>
    <mergeCell ref="L25:O25"/>
    <mergeCell ref="A23:G23"/>
    <mergeCell ref="H23:K23"/>
    <mergeCell ref="L23:O23"/>
    <mergeCell ref="A26:G26"/>
    <mergeCell ref="A28:G28"/>
    <mergeCell ref="H28:K28"/>
    <mergeCell ref="L28:O28"/>
    <mergeCell ref="A15:G15"/>
    <mergeCell ref="H15:K15"/>
    <mergeCell ref="L15:O15"/>
    <mergeCell ref="H26:K26"/>
    <mergeCell ref="L26:O26"/>
    <mergeCell ref="A21:G21"/>
    <mergeCell ref="H21:K21"/>
    <mergeCell ref="L21:O21"/>
    <mergeCell ref="A22:G22"/>
    <mergeCell ref="H22:K22"/>
    <mergeCell ref="L22:O22"/>
    <mergeCell ref="A16:G16"/>
    <mergeCell ref="H16:K16"/>
    <mergeCell ref="L16:O16"/>
    <mergeCell ref="A17:G17"/>
    <mergeCell ref="H17:K17"/>
    <mergeCell ref="L17:O17"/>
    <mergeCell ref="A18:G18"/>
    <mergeCell ref="H18:K18"/>
    <mergeCell ref="L18:O18"/>
    <mergeCell ref="A20:G20"/>
    <mergeCell ref="L20:O20"/>
    <mergeCell ref="H20:K20"/>
    <mergeCell ref="A19:G19"/>
    <mergeCell ref="H19:K19"/>
    <mergeCell ref="L19:O19"/>
    <mergeCell ref="A43:O43"/>
    <mergeCell ref="A44:O44"/>
    <mergeCell ref="A31:O31"/>
    <mergeCell ref="A34:G34"/>
    <mergeCell ref="H34:K34"/>
    <mergeCell ref="L34:O34"/>
    <mergeCell ref="A41:O41"/>
    <mergeCell ref="A42:O4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52"/>
  <sheetViews>
    <sheetView view="pageBreakPreview" zoomScale="70" zoomScaleSheetLayoutView="70" workbookViewId="0">
      <selection activeCell="M53" sqref="M53"/>
    </sheetView>
  </sheetViews>
  <sheetFormatPr baseColWidth="10" defaultColWidth="11.42578125" defaultRowHeight="15" x14ac:dyDescent="0.3"/>
  <cols>
    <col min="1" max="1" width="7.7109375" style="671" customWidth="1"/>
    <col min="2" max="2" width="36.28515625" style="671" customWidth="1"/>
    <col min="3" max="3" width="4.28515625" style="671" customWidth="1"/>
    <col min="4" max="4" width="11.5703125" style="45" hidden="1" customWidth="1"/>
    <col min="5" max="6" width="11.42578125" style="45"/>
    <col min="7" max="7" width="5.140625" style="45" customWidth="1"/>
    <col min="8" max="12" width="11.42578125" style="45"/>
    <col min="13" max="13" width="16.140625" style="45" customWidth="1"/>
    <col min="14" max="14" width="11.42578125" style="45"/>
    <col min="15" max="15" width="17.28515625" style="45" customWidth="1"/>
    <col min="16" max="16384" width="11.42578125" style="45"/>
  </cols>
  <sheetData>
    <row r="1" spans="1:13" ht="21" customHeight="1" x14ac:dyDescent="0.45">
      <c r="B1" s="672"/>
      <c r="C1" s="672"/>
      <c r="D1" s="672"/>
      <c r="E1" s="672"/>
      <c r="F1" s="672"/>
      <c r="G1" s="672"/>
      <c r="H1" s="672"/>
      <c r="I1" s="672"/>
    </row>
    <row r="2" spans="1:13" ht="19.899999999999999" customHeight="1" x14ac:dyDescent="0.45">
      <c r="A2" s="1326" t="s">
        <v>459</v>
      </c>
      <c r="B2" s="1326"/>
      <c r="C2" s="1326"/>
      <c r="D2" s="1326"/>
      <c r="E2" s="1326"/>
      <c r="F2" s="1326"/>
      <c r="G2" s="1326"/>
      <c r="H2" s="1326"/>
      <c r="I2" s="1326"/>
    </row>
    <row r="4" spans="1:13" ht="18" x14ac:dyDescent="0.25">
      <c r="A4" s="1324" t="s">
        <v>396</v>
      </c>
      <c r="B4" s="1325"/>
      <c r="C4" s="1325"/>
      <c r="D4" s="1325"/>
      <c r="E4" s="1325"/>
      <c r="F4" s="1325"/>
      <c r="G4" s="1325"/>
      <c r="H4" s="1325"/>
      <c r="I4" s="1325"/>
    </row>
    <row r="5" spans="1:13" ht="12.75" x14ac:dyDescent="0.2">
      <c r="A5" s="1327"/>
      <c r="B5" s="1328"/>
      <c r="C5" s="1328"/>
      <c r="D5" s="1328"/>
      <c r="E5" s="1328"/>
      <c r="F5" s="1328"/>
      <c r="G5" s="1328"/>
      <c r="H5" s="1328"/>
      <c r="I5" s="673"/>
    </row>
    <row r="6" spans="1:13" ht="15.75" x14ac:dyDescent="0.25">
      <c r="A6" s="674"/>
      <c r="B6" s="675"/>
      <c r="C6" s="676" t="s">
        <v>257</v>
      </c>
      <c r="D6" s="677"/>
      <c r="E6" s="677"/>
      <c r="F6" s="677"/>
      <c r="G6" s="677"/>
      <c r="H6" s="678"/>
      <c r="I6" s="679" t="s">
        <v>397</v>
      </c>
    </row>
    <row r="7" spans="1:13" ht="15.75" x14ac:dyDescent="0.25">
      <c r="A7" s="680" t="s">
        <v>398</v>
      </c>
      <c r="B7" s="1329" t="s">
        <v>399</v>
      </c>
      <c r="C7" s="1330"/>
      <c r="D7" s="1330"/>
      <c r="E7" s="1330"/>
      <c r="F7" s="1330"/>
      <c r="G7" s="1330"/>
      <c r="H7" s="1330"/>
      <c r="I7" s="1330"/>
    </row>
    <row r="8" spans="1:13" x14ac:dyDescent="0.2">
      <c r="A8" s="674"/>
      <c r="B8" s="681"/>
      <c r="C8" s="682"/>
      <c r="D8" s="682"/>
      <c r="E8" s="682"/>
      <c r="F8" s="683"/>
      <c r="G8" s="1331" t="s">
        <v>400</v>
      </c>
      <c r="H8" s="1331"/>
      <c r="I8" s="684"/>
    </row>
    <row r="9" spans="1:13" x14ac:dyDescent="0.2">
      <c r="A9" s="685" t="s">
        <v>401</v>
      </c>
      <c r="B9" s="1321" t="s">
        <v>402</v>
      </c>
      <c r="C9" s="1322"/>
      <c r="D9" s="1322"/>
      <c r="E9" s="1322"/>
      <c r="F9" s="1322"/>
      <c r="G9" s="1322"/>
      <c r="H9" s="1323"/>
      <c r="I9" s="686">
        <v>1</v>
      </c>
    </row>
    <row r="10" spans="1:13" x14ac:dyDescent="0.2">
      <c r="A10" s="685" t="s">
        <v>403</v>
      </c>
      <c r="B10" s="1321" t="s">
        <v>404</v>
      </c>
      <c r="C10" s="1322"/>
      <c r="D10" s="1322"/>
      <c r="E10" s="687">
        <v>1</v>
      </c>
      <c r="F10" s="688" t="s">
        <v>405</v>
      </c>
      <c r="G10" s="689" t="s">
        <v>406</v>
      </c>
      <c r="H10" s="690"/>
      <c r="I10" s="686">
        <f>1/12</f>
        <v>8.3333333333333329E-2</v>
      </c>
    </row>
    <row r="11" spans="1:13" x14ac:dyDescent="0.2">
      <c r="A11" s="685" t="s">
        <v>407</v>
      </c>
      <c r="B11" s="1321" t="s">
        <v>408</v>
      </c>
      <c r="C11" s="1322"/>
      <c r="D11" s="1322"/>
      <c r="E11" s="687">
        <v>1</v>
      </c>
      <c r="F11" s="688" t="s">
        <v>405</v>
      </c>
      <c r="G11" s="689" t="s">
        <v>406</v>
      </c>
      <c r="H11" s="690"/>
      <c r="I11" s="686">
        <f>1/12</f>
        <v>8.3333333333333329E-2</v>
      </c>
    </row>
    <row r="12" spans="1:13" x14ac:dyDescent="0.2">
      <c r="A12" s="685" t="s">
        <v>409</v>
      </c>
      <c r="B12" s="1321" t="s">
        <v>410</v>
      </c>
      <c r="C12" s="1322"/>
      <c r="D12" s="1322"/>
      <c r="E12" s="687">
        <v>0.01</v>
      </c>
      <c r="F12" s="688" t="s">
        <v>411</v>
      </c>
      <c r="G12" s="689" t="s">
        <v>406</v>
      </c>
      <c r="H12" s="690"/>
      <c r="I12" s="686">
        <v>0.01</v>
      </c>
    </row>
    <row r="13" spans="1:13" x14ac:dyDescent="0.2">
      <c r="A13" s="685" t="s">
        <v>412</v>
      </c>
      <c r="B13" s="1321" t="s">
        <v>413</v>
      </c>
      <c r="C13" s="1322"/>
      <c r="D13" s="1322"/>
      <c r="E13" s="1322"/>
      <c r="F13" s="1322"/>
      <c r="G13" s="1322"/>
      <c r="H13" s="1323"/>
      <c r="I13" s="686">
        <f>+I11/2</f>
        <v>4.1666666666666664E-2</v>
      </c>
    </row>
    <row r="14" spans="1:13" ht="15.75" x14ac:dyDescent="0.25">
      <c r="A14" s="685" t="s">
        <v>414</v>
      </c>
      <c r="B14" s="1321" t="s">
        <v>415</v>
      </c>
      <c r="C14" s="1322"/>
      <c r="D14" s="1322"/>
      <c r="E14" s="1322"/>
      <c r="F14" s="1322"/>
      <c r="G14" s="1322"/>
      <c r="H14" s="1323"/>
      <c r="I14" s="686">
        <v>0.28499999999999998</v>
      </c>
      <c r="M14" s="691"/>
    </row>
    <row r="15" spans="1:13" x14ac:dyDescent="0.2">
      <c r="A15" s="685" t="s">
        <v>416</v>
      </c>
      <c r="B15" s="1321" t="s">
        <v>417</v>
      </c>
      <c r="C15" s="1322"/>
      <c r="D15" s="1322"/>
      <c r="E15" s="1322"/>
      <c r="F15" s="1322"/>
      <c r="G15" s="1322"/>
      <c r="H15" s="1323"/>
      <c r="I15" s="686">
        <v>0.04</v>
      </c>
      <c r="M15" s="692"/>
    </row>
    <row r="16" spans="1:13" ht="15.75" x14ac:dyDescent="0.25">
      <c r="A16" s="685" t="s">
        <v>418</v>
      </c>
      <c r="B16" s="1321" t="s">
        <v>419</v>
      </c>
      <c r="C16" s="1322"/>
      <c r="D16" s="1322"/>
      <c r="E16" s="1322"/>
      <c r="F16" s="1322"/>
      <c r="G16" s="1322"/>
      <c r="H16" s="1323"/>
      <c r="I16" s="686">
        <v>2.5000000000000001E-2</v>
      </c>
      <c r="M16" s="691"/>
    </row>
    <row r="17" spans="1:15" ht="15.75" x14ac:dyDescent="0.25">
      <c r="A17" s="685" t="s">
        <v>420</v>
      </c>
      <c r="B17" s="1321" t="s">
        <v>421</v>
      </c>
      <c r="C17" s="1322"/>
      <c r="D17" s="1322"/>
      <c r="E17" s="1322"/>
      <c r="F17" s="1322"/>
      <c r="G17" s="1322"/>
      <c r="H17" s="1323"/>
      <c r="I17" s="686">
        <v>0.02</v>
      </c>
      <c r="M17" s="691"/>
    </row>
    <row r="18" spans="1:15" x14ac:dyDescent="0.2">
      <c r="A18" s="685" t="s">
        <v>422</v>
      </c>
      <c r="B18" s="1321" t="s">
        <v>423</v>
      </c>
      <c r="C18" s="1322"/>
      <c r="D18" s="1322"/>
      <c r="E18" s="1322"/>
      <c r="F18" s="1322"/>
      <c r="G18" s="1322"/>
      <c r="H18" s="1323"/>
      <c r="I18" s="686">
        <v>0.03</v>
      </c>
    </row>
    <row r="19" spans="1:15" x14ac:dyDescent="0.2">
      <c r="A19" s="685" t="s">
        <v>424</v>
      </c>
      <c r="B19" s="1321" t="s">
        <v>425</v>
      </c>
      <c r="C19" s="1322"/>
      <c r="D19" s="1322"/>
      <c r="E19" s="1322"/>
      <c r="F19" s="1322"/>
      <c r="G19" s="1322"/>
      <c r="H19" s="1323"/>
      <c r="I19" s="686">
        <v>0.01</v>
      </c>
    </row>
    <row r="20" spans="1:15" x14ac:dyDescent="0.2">
      <c r="A20" s="685" t="s">
        <v>426</v>
      </c>
      <c r="B20" s="1321" t="s">
        <v>427</v>
      </c>
      <c r="C20" s="1322"/>
      <c r="D20" s="1322"/>
      <c r="E20" s="1322"/>
      <c r="F20" s="1322"/>
      <c r="G20" s="1322"/>
      <c r="H20" s="1323"/>
      <c r="I20" s="686">
        <v>0.05</v>
      </c>
    </row>
    <row r="21" spans="1:15" ht="15.75" x14ac:dyDescent="0.25">
      <c r="A21" s="674"/>
      <c r="B21" s="675"/>
      <c r="C21" s="689"/>
      <c r="D21" s="689"/>
      <c r="E21" s="689"/>
      <c r="F21" s="1332" t="s">
        <v>428</v>
      </c>
      <c r="G21" s="1322"/>
      <c r="H21" s="1323"/>
      <c r="I21" s="693">
        <f>SUM(I9:I20)</f>
        <v>1.6783333333333332</v>
      </c>
      <c r="M21" s="691"/>
      <c r="O21" s="691"/>
    </row>
    <row r="22" spans="1:15" x14ac:dyDescent="0.2">
      <c r="A22" s="694"/>
      <c r="B22" s="689"/>
      <c r="C22" s="689"/>
      <c r="D22" s="689"/>
      <c r="E22" s="689"/>
      <c r="F22" s="695"/>
      <c r="G22" s="689"/>
      <c r="H22" s="687"/>
      <c r="I22" s="690"/>
    </row>
    <row r="23" spans="1:15" ht="15.75" x14ac:dyDescent="0.25">
      <c r="A23" s="680" t="s">
        <v>429</v>
      </c>
      <c r="B23" s="1333" t="s">
        <v>430</v>
      </c>
      <c r="C23" s="1322"/>
      <c r="D23" s="1322"/>
      <c r="E23" s="1322"/>
      <c r="F23" s="1322"/>
      <c r="G23" s="1322"/>
      <c r="H23" s="1322"/>
      <c r="I23" s="1322"/>
    </row>
    <row r="24" spans="1:15" x14ac:dyDescent="0.2">
      <c r="A24" s="674"/>
      <c r="B24" s="675"/>
      <c r="C24" s="689"/>
      <c r="D24" s="689"/>
      <c r="E24" s="689"/>
      <c r="F24" s="695"/>
      <c r="G24" s="689"/>
      <c r="H24" s="687"/>
      <c r="I24" s="690"/>
    </row>
    <row r="25" spans="1:15" x14ac:dyDescent="0.2">
      <c r="A25" s="685" t="s">
        <v>431</v>
      </c>
      <c r="B25" s="1321" t="s">
        <v>432</v>
      </c>
      <c r="C25" s="1322"/>
      <c r="D25" s="1322"/>
      <c r="E25" s="1322"/>
      <c r="F25" s="1322"/>
      <c r="G25" s="1322"/>
      <c r="H25" s="1323"/>
      <c r="I25" s="686">
        <v>1.4999999999999999E-2</v>
      </c>
    </row>
    <row r="26" spans="1:15" x14ac:dyDescent="0.2">
      <c r="A26" s="685" t="s">
        <v>433</v>
      </c>
      <c r="B26" s="1321" t="s">
        <v>434</v>
      </c>
      <c r="C26" s="1322"/>
      <c r="D26" s="1322"/>
      <c r="E26" s="1322"/>
      <c r="F26" s="1322"/>
      <c r="G26" s="1322"/>
      <c r="H26" s="1323"/>
      <c r="I26" s="686">
        <v>4.0000000000000001E-3</v>
      </c>
    </row>
    <row r="27" spans="1:15" x14ac:dyDescent="0.2">
      <c r="A27" s="685" t="s">
        <v>435</v>
      </c>
      <c r="B27" s="1321" t="s">
        <v>436</v>
      </c>
      <c r="C27" s="1322"/>
      <c r="D27" s="1322"/>
      <c r="E27" s="1322"/>
      <c r="F27" s="1322"/>
      <c r="G27" s="1322"/>
      <c r="H27" s="1323"/>
      <c r="I27" s="686">
        <v>5.0000000000000001E-3</v>
      </c>
    </row>
    <row r="28" spans="1:15" ht="15.75" x14ac:dyDescent="0.25">
      <c r="A28" s="674"/>
      <c r="B28" s="675"/>
      <c r="C28" s="689"/>
      <c r="D28" s="689"/>
      <c r="E28" s="689"/>
      <c r="F28" s="1332" t="s">
        <v>428</v>
      </c>
      <c r="G28" s="1322"/>
      <c r="H28" s="1323"/>
      <c r="I28" s="693">
        <f>SUM(I25:I27)</f>
        <v>2.4E-2</v>
      </c>
    </row>
    <row r="29" spans="1:15" x14ac:dyDescent="0.2">
      <c r="A29" s="694"/>
      <c r="B29" s="689"/>
      <c r="C29" s="689"/>
      <c r="D29" s="689"/>
      <c r="E29" s="689"/>
      <c r="F29" s="695"/>
      <c r="G29" s="689"/>
      <c r="H29" s="687"/>
      <c r="I29" s="690"/>
    </row>
    <row r="30" spans="1:15" ht="15.75" x14ac:dyDescent="0.25">
      <c r="A30" s="680" t="s">
        <v>437</v>
      </c>
      <c r="B30" s="1333" t="s">
        <v>438</v>
      </c>
      <c r="C30" s="1322"/>
      <c r="D30" s="1322"/>
      <c r="E30" s="1322"/>
      <c r="F30" s="1322"/>
      <c r="G30" s="1322"/>
      <c r="H30" s="1322"/>
      <c r="I30" s="1322"/>
    </row>
    <row r="31" spans="1:15" x14ac:dyDescent="0.2">
      <c r="A31" s="685" t="s">
        <v>439</v>
      </c>
      <c r="B31" s="1321" t="s">
        <v>440</v>
      </c>
      <c r="C31" s="1322"/>
      <c r="D31" s="1322"/>
      <c r="E31" s="1322"/>
      <c r="F31" s="1322"/>
      <c r="G31" s="1322"/>
      <c r="H31" s="1323"/>
      <c r="I31" s="686">
        <v>1.4999999999999999E-2</v>
      </c>
    </row>
    <row r="32" spans="1:15" x14ac:dyDescent="0.2">
      <c r="A32" s="685" t="s">
        <v>441</v>
      </c>
      <c r="B32" s="1321" t="s">
        <v>442</v>
      </c>
      <c r="C32" s="1334"/>
      <c r="D32" s="1334"/>
      <c r="E32" s="1334"/>
      <c r="F32" s="1334"/>
      <c r="G32" s="1334"/>
      <c r="H32" s="1335"/>
      <c r="I32" s="686">
        <v>0.02</v>
      </c>
    </row>
    <row r="33" spans="1:9" x14ac:dyDescent="0.2">
      <c r="A33" s="685" t="s">
        <v>443</v>
      </c>
      <c r="B33" s="1321" t="s">
        <v>444</v>
      </c>
      <c r="C33" s="1322"/>
      <c r="D33" s="1322"/>
      <c r="E33" s="1322"/>
      <c r="F33" s="1322"/>
      <c r="G33" s="1322"/>
      <c r="H33" s="1323"/>
      <c r="I33" s="686">
        <v>0.01</v>
      </c>
    </row>
    <row r="34" spans="1:9" x14ac:dyDescent="0.2">
      <c r="A34" s="685" t="s">
        <v>445</v>
      </c>
      <c r="B34" s="1321" t="s">
        <v>446</v>
      </c>
      <c r="C34" s="1322"/>
      <c r="D34" s="1322"/>
      <c r="E34" s="1322"/>
      <c r="F34" s="1322"/>
      <c r="G34" s="1322"/>
      <c r="H34" s="1323"/>
      <c r="I34" s="686">
        <v>0.01</v>
      </c>
    </row>
    <row r="35" spans="1:9" x14ac:dyDescent="0.2">
      <c r="A35" s="685" t="s">
        <v>447</v>
      </c>
      <c r="B35" s="1321" t="s">
        <v>448</v>
      </c>
      <c r="C35" s="1322"/>
      <c r="D35" s="1322"/>
      <c r="E35" s="1322"/>
      <c r="F35" s="1322"/>
      <c r="G35" s="1322"/>
      <c r="H35" s="1323"/>
      <c r="I35" s="686">
        <v>0.01</v>
      </c>
    </row>
    <row r="36" spans="1:9" ht="15.75" x14ac:dyDescent="0.25">
      <c r="A36" s="674"/>
      <c r="B36" s="675"/>
      <c r="C36" s="689"/>
      <c r="D36" s="689"/>
      <c r="E36" s="689"/>
      <c r="F36" s="1332" t="s">
        <v>428</v>
      </c>
      <c r="G36" s="1322"/>
      <c r="H36" s="1323"/>
      <c r="I36" s="693">
        <f>SUM(I31:I35)</f>
        <v>6.5000000000000002E-2</v>
      </c>
    </row>
    <row r="37" spans="1:9" x14ac:dyDescent="0.2">
      <c r="A37" s="694"/>
      <c r="B37" s="689"/>
      <c r="C37" s="689"/>
      <c r="D37" s="689"/>
      <c r="E37" s="689"/>
      <c r="F37" s="695"/>
      <c r="G37" s="689"/>
      <c r="H37" s="687"/>
      <c r="I37" s="690"/>
    </row>
    <row r="38" spans="1:9" ht="15.75" x14ac:dyDescent="0.25">
      <c r="A38" s="680" t="s">
        <v>449</v>
      </c>
      <c r="B38" s="1333" t="s">
        <v>450</v>
      </c>
      <c r="C38" s="1322"/>
      <c r="D38" s="1322"/>
      <c r="E38" s="1322"/>
      <c r="F38" s="1322"/>
      <c r="G38" s="1322"/>
      <c r="H38" s="1322"/>
      <c r="I38" s="1322"/>
    </row>
    <row r="39" spans="1:9" x14ac:dyDescent="0.2">
      <c r="A39" s="674"/>
      <c r="B39" s="675"/>
      <c r="C39" s="689"/>
      <c r="D39" s="689"/>
      <c r="E39" s="689"/>
      <c r="F39" s="695"/>
      <c r="G39" s="689"/>
      <c r="H39" s="687"/>
      <c r="I39" s="690"/>
    </row>
    <row r="40" spans="1:9" x14ac:dyDescent="0.2">
      <c r="A40" s="685">
        <v>4.0999999999999996</v>
      </c>
      <c r="B40" s="1321" t="s">
        <v>451</v>
      </c>
      <c r="C40" s="1322"/>
      <c r="D40" s="1322"/>
      <c r="E40" s="1322"/>
      <c r="F40" s="1322"/>
      <c r="G40" s="1322"/>
      <c r="H40" s="1323"/>
      <c r="I40" s="686">
        <v>5.3E-3</v>
      </c>
    </row>
    <row r="41" spans="1:9" x14ac:dyDescent="0.2">
      <c r="A41" s="685">
        <v>4.2</v>
      </c>
      <c r="B41" s="1321" t="s">
        <v>452</v>
      </c>
      <c r="C41" s="1322"/>
      <c r="D41" s="1322"/>
      <c r="E41" s="1322"/>
      <c r="F41" s="1322"/>
      <c r="G41" s="1322"/>
      <c r="H41" s="1323"/>
      <c r="I41" s="686">
        <v>9.9000000000000008E-3</v>
      </c>
    </row>
    <row r="42" spans="1:9" x14ac:dyDescent="0.2">
      <c r="A42" s="685">
        <v>4.3</v>
      </c>
      <c r="B42" s="1321" t="s">
        <v>453</v>
      </c>
      <c r="C42" s="1322"/>
      <c r="D42" s="1322"/>
      <c r="E42" s="1322"/>
      <c r="F42" s="1322"/>
      <c r="G42" s="1322"/>
      <c r="H42" s="1323"/>
      <c r="I42" s="686">
        <v>2.6499999999999999E-2</v>
      </c>
    </row>
    <row r="43" spans="1:9" x14ac:dyDescent="0.2">
      <c r="A43" s="685">
        <v>4.4000000000000004</v>
      </c>
      <c r="B43" s="1321" t="s">
        <v>454</v>
      </c>
      <c r="C43" s="1322"/>
      <c r="D43" s="1322"/>
      <c r="E43" s="1322"/>
      <c r="F43" s="1322"/>
      <c r="G43" s="1322"/>
      <c r="H43" s="1323"/>
      <c r="I43" s="686">
        <v>0.1</v>
      </c>
    </row>
    <row r="44" spans="1:9" x14ac:dyDescent="0.2">
      <c r="A44" s="685">
        <v>4.5</v>
      </c>
      <c r="B44" s="1321" t="s">
        <v>455</v>
      </c>
      <c r="C44" s="1322"/>
      <c r="D44" s="1322"/>
      <c r="E44" s="1322"/>
      <c r="F44" s="1322"/>
      <c r="G44" s="1322"/>
      <c r="H44" s="1323"/>
      <c r="I44" s="686">
        <v>1.0999999999999999E-2</v>
      </c>
    </row>
    <row r="45" spans="1:9" ht="15.75" x14ac:dyDescent="0.25">
      <c r="A45" s="674"/>
      <c r="B45" s="675"/>
      <c r="C45" s="689"/>
      <c r="D45" s="689"/>
      <c r="E45" s="689"/>
      <c r="F45" s="1332" t="s">
        <v>428</v>
      </c>
      <c r="G45" s="1322"/>
      <c r="H45" s="1323"/>
      <c r="I45" s="693">
        <f>SUM(I40:I44)</f>
        <v>0.1527</v>
      </c>
    </row>
    <row r="46" spans="1:9" x14ac:dyDescent="0.2">
      <c r="A46" s="694"/>
      <c r="B46" s="689"/>
      <c r="C46" s="689"/>
      <c r="D46" s="689"/>
      <c r="E46" s="689"/>
      <c r="F46" s="695"/>
      <c r="G46" s="689"/>
      <c r="H46" s="687"/>
      <c r="I46" s="690"/>
    </row>
    <row r="47" spans="1:9" ht="15.75" x14ac:dyDescent="0.25">
      <c r="A47" s="696"/>
      <c r="B47" s="697"/>
      <c r="C47" s="689"/>
      <c r="D47" s="689"/>
      <c r="E47" s="689"/>
      <c r="F47" s="695"/>
      <c r="G47" s="689"/>
      <c r="H47" s="687"/>
      <c r="I47" s="690"/>
    </row>
    <row r="48" spans="1:9" ht="15.75" x14ac:dyDescent="0.25">
      <c r="A48" s="680" t="s">
        <v>456</v>
      </c>
      <c r="B48" s="1336" t="s">
        <v>457</v>
      </c>
      <c r="C48" s="1322"/>
      <c r="D48" s="1322"/>
      <c r="E48" s="1322"/>
      <c r="F48" s="1332" t="s">
        <v>428</v>
      </c>
      <c r="G48" s="1322"/>
      <c r="H48" s="1323"/>
      <c r="I48" s="693">
        <v>0.05</v>
      </c>
    </row>
    <row r="49" spans="1:9" x14ac:dyDescent="0.2">
      <c r="A49" s="694"/>
      <c r="B49" s="689"/>
      <c r="C49" s="689"/>
      <c r="D49" s="689"/>
      <c r="E49" s="689"/>
      <c r="F49" s="695"/>
      <c r="G49" s="689"/>
      <c r="H49" s="687"/>
      <c r="I49" s="690"/>
    </row>
    <row r="50" spans="1:9" x14ac:dyDescent="0.2">
      <c r="A50" s="694"/>
      <c r="B50" s="689"/>
      <c r="C50" s="689"/>
      <c r="D50" s="689"/>
      <c r="E50" s="689"/>
      <c r="F50" s="695"/>
      <c r="G50" s="689"/>
      <c r="H50" s="687"/>
      <c r="I50" s="690"/>
    </row>
    <row r="51" spans="1:9" ht="18" x14ac:dyDescent="0.25">
      <c r="A51" s="1337" t="s">
        <v>458</v>
      </c>
      <c r="B51" s="1322"/>
      <c r="C51" s="1322"/>
      <c r="D51" s="1322"/>
      <c r="E51" s="1322"/>
      <c r="F51" s="1322"/>
      <c r="G51" s="1322"/>
      <c r="H51" s="1322"/>
      <c r="I51" s="698">
        <f>SUM(I48,I45,I36,I28,I21)</f>
        <v>1.9700333333333333</v>
      </c>
    </row>
    <row r="52" spans="1:9" ht="12.75" x14ac:dyDescent="0.2">
      <c r="A52" s="699"/>
      <c r="B52" s="699"/>
      <c r="C52" s="699"/>
      <c r="D52" s="699"/>
      <c r="E52" s="699"/>
      <c r="F52" s="699"/>
      <c r="G52" s="699"/>
      <c r="H52" s="699"/>
      <c r="I52" s="699"/>
    </row>
  </sheetData>
  <mergeCells count="40">
    <mergeCell ref="F45:H45"/>
    <mergeCell ref="B48:E48"/>
    <mergeCell ref="F48:H48"/>
    <mergeCell ref="A51:H51"/>
    <mergeCell ref="B38:I38"/>
    <mergeCell ref="B40:H40"/>
    <mergeCell ref="B41:H41"/>
    <mergeCell ref="B42:H42"/>
    <mergeCell ref="B43:H43"/>
    <mergeCell ref="B44:H44"/>
    <mergeCell ref="F36:H36"/>
    <mergeCell ref="B23:I23"/>
    <mergeCell ref="B25:H25"/>
    <mergeCell ref="B26:H26"/>
    <mergeCell ref="B27:H27"/>
    <mergeCell ref="F28:H28"/>
    <mergeCell ref="B30:I30"/>
    <mergeCell ref="B31:H31"/>
    <mergeCell ref="B32:H32"/>
    <mergeCell ref="B33:H33"/>
    <mergeCell ref="B34:H34"/>
    <mergeCell ref="B35:H35"/>
    <mergeCell ref="F21:H21"/>
    <mergeCell ref="B10:D10"/>
    <mergeCell ref="B11:D11"/>
    <mergeCell ref="B12:D12"/>
    <mergeCell ref="B13:H13"/>
    <mergeCell ref="B14:H14"/>
    <mergeCell ref="B15:H15"/>
    <mergeCell ref="B16:H16"/>
    <mergeCell ref="B17:H17"/>
    <mergeCell ref="B18:H18"/>
    <mergeCell ref="B19:H19"/>
    <mergeCell ref="B20:H20"/>
    <mergeCell ref="B9:H9"/>
    <mergeCell ref="A4:I4"/>
    <mergeCell ref="A2:I2"/>
    <mergeCell ref="A5:H5"/>
    <mergeCell ref="B7:I7"/>
    <mergeCell ref="G8:H8"/>
  </mergeCells>
  <pageMargins left="0.7" right="0.7" top="0.75" bottom="0.75" header="0.3" footer="0.3"/>
  <pageSetup scale="7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5" tint="-0.249977111117893"/>
    <pageSetUpPr fitToPage="1"/>
  </sheetPr>
  <dimension ref="A1:AI52"/>
  <sheetViews>
    <sheetView zoomScale="60" zoomScaleNormal="60" workbookViewId="0">
      <pane xSplit="8" ySplit="4" topLeftCell="I20" activePane="bottomRight" state="frozen"/>
      <selection pane="topRight" activeCell="I1" sqref="I1"/>
      <selection pane="bottomLeft" activeCell="A5" sqref="A5"/>
      <selection pane="bottomRight" activeCell="H23" sqref="H23"/>
    </sheetView>
  </sheetViews>
  <sheetFormatPr baseColWidth="10" defaultColWidth="91.28515625" defaultRowHeight="13.5" x14ac:dyDescent="0.25"/>
  <cols>
    <col min="1" max="1" width="18.42578125" style="434" customWidth="1"/>
    <col min="2" max="2" width="21.85546875" style="434" customWidth="1"/>
    <col min="3" max="3" width="25.85546875" style="434" customWidth="1"/>
    <col min="4" max="4" width="27.28515625" style="434" customWidth="1"/>
    <col min="5" max="5" width="16.42578125" style="434" customWidth="1"/>
    <col min="6" max="6" width="9.28515625" style="434" customWidth="1"/>
    <col min="7" max="7" width="15.7109375" style="434" customWidth="1"/>
    <col min="8" max="8" width="41" style="434" customWidth="1"/>
    <col min="9" max="9" width="85.7109375" style="434" customWidth="1"/>
    <col min="10" max="10" width="19.42578125" style="434" customWidth="1"/>
    <col min="11" max="11" width="17.85546875" style="434" customWidth="1"/>
    <col min="12" max="12" width="17.7109375" style="434" customWidth="1"/>
    <col min="13" max="13" width="17.28515625" style="434" customWidth="1"/>
    <col min="14" max="14" width="24.28515625" style="434" customWidth="1"/>
    <col min="15" max="15" width="18.5703125" style="434" customWidth="1"/>
    <col min="16" max="16" width="23.28515625" style="434" customWidth="1"/>
    <col min="17" max="25" width="26" style="434" customWidth="1"/>
    <col min="26" max="26" width="40.28515625" style="434" customWidth="1"/>
    <col min="27" max="27" width="24.5703125" style="434" bestFit="1" customWidth="1"/>
    <col min="28" max="29" width="9" style="434" bestFit="1" customWidth="1"/>
    <col min="30" max="30" width="9.28515625" style="434" bestFit="1" customWidth="1"/>
    <col min="31" max="31" width="10.85546875" style="434" bestFit="1" customWidth="1"/>
    <col min="32" max="32" width="9.5703125" style="434" bestFit="1" customWidth="1"/>
    <col min="33" max="33" width="10.85546875" style="434" bestFit="1" customWidth="1"/>
    <col min="34" max="34" width="12.28515625" style="434" bestFit="1" customWidth="1"/>
    <col min="35" max="16384" width="91.28515625" style="434"/>
  </cols>
  <sheetData>
    <row r="1" spans="1:35" ht="31.15" customHeight="1" x14ac:dyDescent="0.25">
      <c r="A1" s="1357" t="s">
        <v>322</v>
      </c>
      <c r="B1" s="1357"/>
      <c r="C1" s="1357"/>
      <c r="D1" s="1357"/>
      <c r="E1" s="1357"/>
      <c r="F1" s="1357"/>
      <c r="G1" s="1357"/>
      <c r="H1" s="1357"/>
      <c r="I1" s="1357"/>
      <c r="J1" s="1357"/>
      <c r="K1" s="1357"/>
      <c r="L1" s="1357"/>
      <c r="M1" s="1357"/>
      <c r="N1" s="1357"/>
      <c r="O1" s="1357"/>
      <c r="P1" s="1357"/>
      <c r="Q1" s="1357"/>
      <c r="R1" s="554"/>
      <c r="S1" s="554"/>
      <c r="T1" s="554"/>
      <c r="U1" s="554"/>
      <c r="V1" s="554"/>
      <c r="W1" s="554"/>
      <c r="X1" s="554"/>
      <c r="Y1" s="554"/>
      <c r="AA1" s="441"/>
      <c r="AB1" s="441"/>
      <c r="AC1" s="441"/>
      <c r="AD1" s="441"/>
      <c r="AE1" s="441"/>
      <c r="AF1" s="441"/>
      <c r="AG1" s="441"/>
      <c r="AH1" s="441"/>
    </row>
    <row r="2" spans="1:35" ht="25.5" customHeight="1" x14ac:dyDescent="0.25">
      <c r="A2" s="1357" t="s">
        <v>326</v>
      </c>
      <c r="B2" s="1357"/>
      <c r="C2" s="1357"/>
      <c r="D2" s="1357"/>
      <c r="E2" s="1357"/>
      <c r="F2" s="1357"/>
      <c r="G2" s="1357"/>
      <c r="H2" s="1357"/>
      <c r="I2" s="1357"/>
      <c r="J2" s="1357"/>
      <c r="K2" s="1357"/>
      <c r="L2" s="1357"/>
      <c r="M2" s="1357"/>
      <c r="N2" s="1357"/>
      <c r="O2" s="1357"/>
      <c r="P2" s="1357"/>
      <c r="Q2" s="1357"/>
      <c r="R2" s="554"/>
      <c r="S2" s="554"/>
      <c r="T2" s="554"/>
      <c r="U2" s="554"/>
      <c r="V2" s="554"/>
      <c r="W2" s="554"/>
      <c r="X2" s="554"/>
      <c r="Y2" s="554"/>
      <c r="AA2" s="441"/>
      <c r="AB2" s="441"/>
      <c r="AC2" s="441"/>
      <c r="AD2" s="441"/>
      <c r="AE2" s="441"/>
      <c r="AF2" s="441"/>
      <c r="AG2" s="441"/>
      <c r="AH2" s="441"/>
    </row>
    <row r="3" spans="1:35" ht="66" customHeight="1" thickBot="1" x14ac:dyDescent="0.3">
      <c r="R3" s="441"/>
      <c r="S3" s="441"/>
      <c r="T3" s="441"/>
      <c r="U3" s="441"/>
      <c r="V3" s="441"/>
      <c r="W3" s="441"/>
      <c r="X3" s="441"/>
      <c r="Y3" s="441"/>
      <c r="Z3" s="441"/>
      <c r="AA3" s="441"/>
      <c r="AB3" s="441"/>
      <c r="AC3" s="441"/>
      <c r="AD3" s="441"/>
      <c r="AE3" s="441"/>
      <c r="AF3" s="441"/>
      <c r="AG3" s="441"/>
      <c r="AH3" s="441"/>
    </row>
    <row r="4" spans="1:35" ht="48.6" customHeight="1" thickBot="1" x14ac:dyDescent="0.3">
      <c r="A4" s="515" t="s">
        <v>221</v>
      </c>
      <c r="B4" s="516" t="s">
        <v>223</v>
      </c>
      <c r="C4" s="516" t="s">
        <v>224</v>
      </c>
      <c r="D4" s="516" t="s">
        <v>329</v>
      </c>
      <c r="E4" s="516" t="s">
        <v>227</v>
      </c>
      <c r="F4" s="516" t="s">
        <v>228</v>
      </c>
      <c r="G4" s="516" t="s">
        <v>183</v>
      </c>
      <c r="H4" s="516" t="s">
        <v>353</v>
      </c>
      <c r="I4" s="516" t="s">
        <v>236</v>
      </c>
      <c r="J4" s="516" t="s">
        <v>135</v>
      </c>
      <c r="K4" s="516" t="s">
        <v>136</v>
      </c>
      <c r="L4" s="516" t="s">
        <v>137</v>
      </c>
      <c r="M4" s="516" t="s">
        <v>179</v>
      </c>
      <c r="N4" s="516" t="s">
        <v>181</v>
      </c>
      <c r="O4" s="516" t="s">
        <v>138</v>
      </c>
      <c r="P4" s="516" t="s">
        <v>6</v>
      </c>
      <c r="Q4" s="517" t="s">
        <v>180</v>
      </c>
      <c r="R4" s="573" t="s">
        <v>135</v>
      </c>
      <c r="S4" s="573" t="s">
        <v>136</v>
      </c>
      <c r="T4" s="573" t="s">
        <v>137</v>
      </c>
      <c r="U4" s="573" t="s">
        <v>179</v>
      </c>
      <c r="V4" s="573" t="s">
        <v>181</v>
      </c>
      <c r="W4" s="573" t="s">
        <v>138</v>
      </c>
      <c r="X4" s="573"/>
      <c r="Y4" s="573" t="s">
        <v>6</v>
      </c>
      <c r="Z4" s="441"/>
      <c r="AA4" s="441"/>
      <c r="AB4" s="441"/>
      <c r="AC4" s="441"/>
      <c r="AD4" s="441"/>
      <c r="AE4" s="441"/>
      <c r="AF4" s="441"/>
      <c r="AG4" s="441"/>
      <c r="AH4" s="441"/>
      <c r="AI4" s="509"/>
    </row>
    <row r="5" spans="1:35" ht="105" customHeight="1" x14ac:dyDescent="0.25">
      <c r="A5" s="1358" t="s">
        <v>326</v>
      </c>
      <c r="B5" s="1361" t="str">
        <f>'PRESUPUESTO MODIFICADO (2)'!B5:B19</f>
        <v>Elaborar un instrumento de ordenamiento para el departamento del Huila que permita una eficiente planificación física y socioeconómica del territorio, mediante la emisión de directrices  y lineamientos a los para los POT Municipales; estrategias para optimizar las inversiones públicas territoriales, y mecanismos para la participación y la gobernanza para del ordenamiento territorial.</v>
      </c>
      <c r="C5" s="1364" t="str">
        <f>'PRESUPUESTO MODIFICADO (2)'!C5:C16</f>
        <v>A. Formular los documentos técnicos del plan de ordenamiento departamental del Huila, para atender  a las nuevas demandas globales en materia ambiental, tecnológica y logística; con el fin de consolidar una plataforma territorial para la competitividad regional basada en el fomento de los proyectos regionales de desarrollo económico, potenciando los circuitos económicos existentes para reducir las desigualdades socio-espaciales, aportando a la consolidación de un territorio regional, funcionalmente integrado y conectado en su movilidad y que promueve la conservación de su base natural y estructura ecológica como principal elemento de articulación con los demás municipios del Departamento del Huila..</v>
      </c>
      <c r="D5" s="1366" t="s">
        <v>352</v>
      </c>
      <c r="E5" s="1369" t="s">
        <v>230</v>
      </c>
      <c r="F5" s="1369">
        <v>1</v>
      </c>
      <c r="G5" s="1369">
        <v>3</v>
      </c>
      <c r="H5" s="563" t="s">
        <v>354</v>
      </c>
      <c r="I5" s="518" t="s">
        <v>378</v>
      </c>
      <c r="J5" s="519" t="e">
        <f>#REF!*G5+Z5</f>
        <v>#REF!</v>
      </c>
      <c r="K5" s="519" t="e">
        <f>#REF!*G5</f>
        <v>#REF!</v>
      </c>
      <c r="L5" s="519" t="e">
        <f>#REF!*37</f>
        <v>#REF!</v>
      </c>
      <c r="M5" s="519"/>
      <c r="N5" s="519"/>
      <c r="O5" s="519" t="e">
        <f>#REF!</f>
        <v>#REF!</v>
      </c>
      <c r="P5" s="520" t="e">
        <f>SUM(J5:O5)</f>
        <v>#REF!</v>
      </c>
      <c r="Q5" s="1372" t="e">
        <f>SUM(P5:P8)</f>
        <v>#REF!</v>
      </c>
      <c r="R5" s="574" t="e">
        <f>+J5*0.19+J5</f>
        <v>#REF!</v>
      </c>
      <c r="S5" s="574" t="e">
        <f t="shared" ref="S5:W19" si="0">+K5*0.19+K5</f>
        <v>#REF!</v>
      </c>
      <c r="T5" s="574" t="e">
        <f t="shared" si="0"/>
        <v>#REF!</v>
      </c>
      <c r="U5" s="574">
        <f t="shared" si="0"/>
        <v>0</v>
      </c>
      <c r="V5" s="574">
        <f t="shared" si="0"/>
        <v>0</v>
      </c>
      <c r="W5" s="574" t="e">
        <f t="shared" si="0"/>
        <v>#REF!</v>
      </c>
      <c r="X5" s="574" t="e">
        <f>SUM(R5:W5)</f>
        <v>#REF!</v>
      </c>
      <c r="Y5" s="574" t="e">
        <f>P5*0.19+P5</f>
        <v>#REF!</v>
      </c>
      <c r="Z5" s="441">
        <v>3492500</v>
      </c>
      <c r="AA5" s="441">
        <v>23100000.000000004</v>
      </c>
      <c r="AB5" s="489">
        <v>4950000.0000000009</v>
      </c>
      <c r="AC5" s="489">
        <v>12950000</v>
      </c>
      <c r="AD5" s="489"/>
      <c r="AE5" s="489"/>
      <c r="AF5" s="489">
        <v>43000000</v>
      </c>
      <c r="AG5" s="489">
        <v>84000000</v>
      </c>
      <c r="AH5" s="1347">
        <v>260000000</v>
      </c>
      <c r="AI5" s="510"/>
    </row>
    <row r="6" spans="1:35" ht="233.25" customHeight="1" x14ac:dyDescent="0.25">
      <c r="A6" s="1359"/>
      <c r="B6" s="1362"/>
      <c r="C6" s="1365"/>
      <c r="D6" s="1367"/>
      <c r="E6" s="1370"/>
      <c r="F6" s="1370"/>
      <c r="G6" s="1370"/>
      <c r="H6" s="564" t="s">
        <v>355</v>
      </c>
      <c r="I6" s="521" t="s">
        <v>389</v>
      </c>
      <c r="J6" s="522" t="e">
        <f>#REF!+#REF!*G5</f>
        <v>#REF!</v>
      </c>
      <c r="K6" s="522" t="e">
        <f>#REF!*G5</f>
        <v>#REF!</v>
      </c>
      <c r="L6" s="522" t="e">
        <f>#REF!*4</f>
        <v>#REF!</v>
      </c>
      <c r="M6" s="522"/>
      <c r="N6" s="522"/>
      <c r="O6" s="522" t="e">
        <f>#REF!+#REF!</f>
        <v>#REF!</v>
      </c>
      <c r="P6" s="523" t="e">
        <f t="shared" ref="P6:P8" si="1">SUM(J6:O6)</f>
        <v>#REF!</v>
      </c>
      <c r="Q6" s="1373"/>
      <c r="R6" s="574" t="e">
        <f t="shared" ref="R6:R19" si="2">+J6*0.19+J6</f>
        <v>#REF!</v>
      </c>
      <c r="S6" s="574" t="e">
        <f t="shared" si="0"/>
        <v>#REF!</v>
      </c>
      <c r="T6" s="574" t="e">
        <f t="shared" si="0"/>
        <v>#REF!</v>
      </c>
      <c r="U6" s="574">
        <f t="shared" si="0"/>
        <v>0</v>
      </c>
      <c r="V6" s="574">
        <f t="shared" si="0"/>
        <v>0</v>
      </c>
      <c r="W6" s="574" t="e">
        <f t="shared" si="0"/>
        <v>#REF!</v>
      </c>
      <c r="X6" s="574" t="e">
        <f t="shared" ref="X6:X19" si="3">+P6*0.19+P6</f>
        <v>#REF!</v>
      </c>
      <c r="Y6" s="574" t="e">
        <f t="shared" ref="Y6:Y22" si="4">P6*0.19+P6</f>
        <v>#REF!</v>
      </c>
      <c r="Z6" s="489" t="e">
        <f>AH5-Q5</f>
        <v>#REF!</v>
      </c>
      <c r="AA6" s="441">
        <v>19800000</v>
      </c>
      <c r="AB6" s="489">
        <v>4950000.0000000009</v>
      </c>
      <c r="AC6" s="489"/>
      <c r="AD6" s="489"/>
      <c r="AE6" s="489"/>
      <c r="AF6" s="489">
        <v>35000000</v>
      </c>
      <c r="AG6" s="489">
        <v>59750000</v>
      </c>
      <c r="AH6" s="1347"/>
      <c r="AI6" s="510"/>
    </row>
    <row r="7" spans="1:35" ht="97.5" customHeight="1" x14ac:dyDescent="0.25">
      <c r="A7" s="1359"/>
      <c r="B7" s="1362"/>
      <c r="C7" s="1365"/>
      <c r="D7" s="1367"/>
      <c r="E7" s="1370"/>
      <c r="F7" s="1370"/>
      <c r="G7" s="1370"/>
      <c r="H7" s="564" t="s">
        <v>356</v>
      </c>
      <c r="I7" s="521" t="s">
        <v>379</v>
      </c>
      <c r="J7" s="522" t="e">
        <f>#REF!+#REF!*G5</f>
        <v>#REF!</v>
      </c>
      <c r="K7" s="522" t="e">
        <f>#REF!*G5</f>
        <v>#REF!</v>
      </c>
      <c r="L7" s="522"/>
      <c r="M7" s="522"/>
      <c r="N7" s="522"/>
      <c r="O7" s="522" t="e">
        <f>#REF!</f>
        <v>#REF!</v>
      </c>
      <c r="P7" s="523" t="e">
        <f t="shared" si="1"/>
        <v>#REF!</v>
      </c>
      <c r="Q7" s="1373"/>
      <c r="R7" s="574" t="e">
        <f t="shared" si="2"/>
        <v>#REF!</v>
      </c>
      <c r="S7" s="574" t="e">
        <f t="shared" si="0"/>
        <v>#REF!</v>
      </c>
      <c r="T7" s="574">
        <f t="shared" si="0"/>
        <v>0</v>
      </c>
      <c r="U7" s="574">
        <f t="shared" si="0"/>
        <v>0</v>
      </c>
      <c r="V7" s="574">
        <f t="shared" si="0"/>
        <v>0</v>
      </c>
      <c r="W7" s="574" t="e">
        <f t="shared" si="0"/>
        <v>#REF!</v>
      </c>
      <c r="X7" s="574" t="e">
        <f t="shared" si="3"/>
        <v>#REF!</v>
      </c>
      <c r="Y7" s="574" t="e">
        <f t="shared" si="4"/>
        <v>#REF!</v>
      </c>
      <c r="Z7" s="441"/>
      <c r="AA7" s="441">
        <v>20900000</v>
      </c>
      <c r="AB7" s="489">
        <v>1650000.0000000002</v>
      </c>
      <c r="AC7" s="489"/>
      <c r="AD7" s="489"/>
      <c r="AE7" s="489"/>
      <c r="AF7" s="489"/>
      <c r="AG7" s="489">
        <v>22550000</v>
      </c>
      <c r="AH7" s="1347"/>
      <c r="AI7" s="510"/>
    </row>
    <row r="8" spans="1:35" ht="87.75" customHeight="1" thickBot="1" x14ac:dyDescent="0.3">
      <c r="A8" s="1359"/>
      <c r="B8" s="1362"/>
      <c r="C8" s="1365"/>
      <c r="D8" s="1368"/>
      <c r="E8" s="1371"/>
      <c r="F8" s="1371"/>
      <c r="G8" s="1371"/>
      <c r="H8" s="565" t="s">
        <v>357</v>
      </c>
      <c r="I8" s="524" t="s">
        <v>387</v>
      </c>
      <c r="J8" s="525" t="e">
        <f>#REF!*G5</f>
        <v>#REF!</v>
      </c>
      <c r="K8" s="525" t="e">
        <f>#REF!*G5</f>
        <v>#REF!</v>
      </c>
      <c r="L8" s="525"/>
      <c r="M8" s="525"/>
      <c r="N8" s="525"/>
      <c r="O8" s="525"/>
      <c r="P8" s="526" t="e">
        <f t="shared" si="1"/>
        <v>#REF!</v>
      </c>
      <c r="Q8" s="1374"/>
      <c r="R8" s="574" t="e">
        <f t="shared" si="2"/>
        <v>#REF!</v>
      </c>
      <c r="S8" s="574" t="e">
        <f t="shared" si="0"/>
        <v>#REF!</v>
      </c>
      <c r="T8" s="574">
        <f t="shared" si="0"/>
        <v>0</v>
      </c>
      <c r="U8" s="574">
        <f t="shared" si="0"/>
        <v>0</v>
      </c>
      <c r="V8" s="574">
        <f t="shared" si="0"/>
        <v>0</v>
      </c>
      <c r="W8" s="574">
        <f t="shared" si="0"/>
        <v>0</v>
      </c>
      <c r="X8" s="574" t="e">
        <f t="shared" si="3"/>
        <v>#REF!</v>
      </c>
      <c r="Y8" s="574" t="e">
        <f t="shared" si="4"/>
        <v>#REF!</v>
      </c>
      <c r="Z8" s="441"/>
      <c r="AA8" s="441">
        <v>7700000.0000000009</v>
      </c>
      <c r="AB8" s="489"/>
      <c r="AC8" s="489"/>
      <c r="AD8" s="489">
        <v>86000000</v>
      </c>
      <c r="AE8" s="489"/>
      <c r="AF8" s="489"/>
      <c r="AG8" s="489">
        <v>93700000</v>
      </c>
      <c r="AH8" s="1347"/>
      <c r="AI8" s="510"/>
    </row>
    <row r="9" spans="1:35" ht="334.15" customHeight="1" x14ac:dyDescent="0.25">
      <c r="A9" s="1359"/>
      <c r="B9" s="1362"/>
      <c r="C9" s="1365"/>
      <c r="D9" s="1348" t="s">
        <v>358</v>
      </c>
      <c r="E9" s="1351" t="s">
        <v>230</v>
      </c>
      <c r="F9" s="1351">
        <v>1</v>
      </c>
      <c r="G9" s="1351">
        <v>8</v>
      </c>
      <c r="H9" s="568" t="s">
        <v>359</v>
      </c>
      <c r="I9" s="527" t="s">
        <v>380</v>
      </c>
      <c r="J9" s="528" t="e">
        <f>#REF!+#REF!+#REF!+#REF!+#REF!+#REF!+#REF!+#REF!+#REF!+#REF!+#REF!+#REF!+#REF!*G9</f>
        <v>#REF!</v>
      </c>
      <c r="K9" s="528" t="e">
        <f>#REF!*G9</f>
        <v>#REF!</v>
      </c>
      <c r="L9" s="528"/>
      <c r="M9" s="528"/>
      <c r="N9" s="528"/>
      <c r="O9" s="528" t="e">
        <f>#REF!</f>
        <v>#REF!</v>
      </c>
      <c r="P9" s="529" t="e">
        <f>SUM(J9:O9)</f>
        <v>#REF!</v>
      </c>
      <c r="Q9" s="1354" t="e">
        <f>SUM(P9:P11)</f>
        <v>#REF!</v>
      </c>
      <c r="R9" s="574" t="e">
        <f t="shared" si="2"/>
        <v>#REF!</v>
      </c>
      <c r="S9" s="574" t="e">
        <f t="shared" si="0"/>
        <v>#REF!</v>
      </c>
      <c r="T9" s="574">
        <f t="shared" si="0"/>
        <v>0</v>
      </c>
      <c r="U9" s="574">
        <f t="shared" si="0"/>
        <v>0</v>
      </c>
      <c r="V9" s="574">
        <f t="shared" si="0"/>
        <v>0</v>
      </c>
      <c r="W9" s="574" t="e">
        <f t="shared" si="0"/>
        <v>#REF!</v>
      </c>
      <c r="X9" s="574" t="e">
        <f t="shared" si="3"/>
        <v>#REF!</v>
      </c>
      <c r="Y9" s="574" t="e">
        <f t="shared" si="4"/>
        <v>#REF!</v>
      </c>
      <c r="Z9" s="513" t="e">
        <f>AH9-Q9</f>
        <v>#REF!</v>
      </c>
      <c r="AA9" s="441">
        <v>86075000</v>
      </c>
      <c r="AB9" s="489">
        <v>13200000.000000002</v>
      </c>
      <c r="AC9" s="489">
        <v>12950000</v>
      </c>
      <c r="AD9" s="489"/>
      <c r="AE9" s="489"/>
      <c r="AF9" s="489">
        <v>51000000</v>
      </c>
      <c r="AG9" s="489">
        <v>163225000</v>
      </c>
      <c r="AH9" s="489">
        <v>2927416201.4161892</v>
      </c>
      <c r="AI9" s="510"/>
    </row>
    <row r="10" spans="1:35" ht="159" customHeight="1" x14ac:dyDescent="0.25">
      <c r="A10" s="1359"/>
      <c r="B10" s="1362"/>
      <c r="C10" s="1365"/>
      <c r="D10" s="1349"/>
      <c r="E10" s="1352"/>
      <c r="F10" s="1352"/>
      <c r="G10" s="1352"/>
      <c r="H10" s="569" t="s">
        <v>360</v>
      </c>
      <c r="I10" s="530" t="s">
        <v>390</v>
      </c>
      <c r="J10" s="531" t="e">
        <f>#REF!*G9</f>
        <v>#REF!</v>
      </c>
      <c r="K10" s="531"/>
      <c r="L10" s="531"/>
      <c r="M10" s="531"/>
      <c r="N10" s="531">
        <f>'[4]VALOR TOTAL 2809'!$H$57</f>
        <v>2559991201.4161892</v>
      </c>
      <c r="O10" s="531"/>
      <c r="P10" s="532" t="e">
        <f t="shared" ref="P10:P19" si="5">SUM(J10:O10)</f>
        <v>#REF!</v>
      </c>
      <c r="Q10" s="1355"/>
      <c r="R10" s="574" t="e">
        <f t="shared" si="2"/>
        <v>#REF!</v>
      </c>
      <c r="S10" s="574">
        <f t="shared" si="0"/>
        <v>0</v>
      </c>
      <c r="T10" s="574">
        <f t="shared" si="0"/>
        <v>0</v>
      </c>
      <c r="U10" s="574">
        <f t="shared" si="0"/>
        <v>0</v>
      </c>
      <c r="V10" s="574">
        <f t="shared" si="0"/>
        <v>3046389529.6852651</v>
      </c>
      <c r="W10" s="574">
        <f t="shared" si="0"/>
        <v>0</v>
      </c>
      <c r="X10" s="574" t="e">
        <f t="shared" si="3"/>
        <v>#REF!</v>
      </c>
      <c r="Y10" s="574" t="e">
        <f t="shared" si="4"/>
        <v>#REF!</v>
      </c>
      <c r="Z10" s="441">
        <v>21920000</v>
      </c>
      <c r="AA10" s="441">
        <v>39600000</v>
      </c>
      <c r="AB10" s="489"/>
      <c r="AC10" s="489"/>
      <c r="AD10" s="489"/>
      <c r="AE10" s="489">
        <v>2559991201.4161892</v>
      </c>
      <c r="AF10" s="489"/>
      <c r="AG10" s="489">
        <v>2599591201.4161892</v>
      </c>
      <c r="AH10" s="489"/>
      <c r="AI10" s="510"/>
    </row>
    <row r="11" spans="1:35" ht="113.25" customHeight="1" thickBot="1" x14ac:dyDescent="0.3">
      <c r="A11" s="1359"/>
      <c r="B11" s="1362"/>
      <c r="C11" s="1365"/>
      <c r="D11" s="1350"/>
      <c r="E11" s="1353"/>
      <c r="F11" s="1353"/>
      <c r="G11" s="1353"/>
      <c r="H11" s="570" t="s">
        <v>361</v>
      </c>
      <c r="I11" s="533" t="s">
        <v>375</v>
      </c>
      <c r="J11" s="534" t="e">
        <f>#REF!*G9</f>
        <v>#REF!</v>
      </c>
      <c r="K11" s="534" t="e">
        <f>#REF!*G9</f>
        <v>#REF!</v>
      </c>
      <c r="L11" s="534"/>
      <c r="M11" s="534" t="e">
        <f>#REF!</f>
        <v>#REF!</v>
      </c>
      <c r="N11" s="534"/>
      <c r="O11" s="534">
        <f>Z10</f>
        <v>21920000</v>
      </c>
      <c r="P11" s="535" t="e">
        <f t="shared" si="5"/>
        <v>#REF!</v>
      </c>
      <c r="Q11" s="1356"/>
      <c r="R11" s="574" t="e">
        <f t="shared" si="2"/>
        <v>#REF!</v>
      </c>
      <c r="S11" s="574" t="e">
        <f t="shared" si="0"/>
        <v>#REF!</v>
      </c>
      <c r="T11" s="574">
        <f t="shared" si="0"/>
        <v>0</v>
      </c>
      <c r="U11" s="574" t="e">
        <f t="shared" si="0"/>
        <v>#REF!</v>
      </c>
      <c r="V11" s="574">
        <f t="shared" si="0"/>
        <v>0</v>
      </c>
      <c r="W11" s="574">
        <f t="shared" si="0"/>
        <v>26084800</v>
      </c>
      <c r="X11" s="574" t="e">
        <f t="shared" si="3"/>
        <v>#REF!</v>
      </c>
      <c r="Y11" s="574" t="e">
        <f t="shared" si="4"/>
        <v>#REF!</v>
      </c>
      <c r="Z11" s="441"/>
      <c r="AA11" s="441">
        <v>105600000.00000001</v>
      </c>
      <c r="AB11" s="489">
        <v>16000000</v>
      </c>
      <c r="AC11" s="489"/>
      <c r="AD11" s="489"/>
      <c r="AE11" s="489"/>
      <c r="AF11" s="489">
        <v>43000000</v>
      </c>
      <c r="AG11" s="489">
        <v>164600000</v>
      </c>
      <c r="AH11" s="489"/>
      <c r="AI11" s="510"/>
    </row>
    <row r="12" spans="1:35" ht="295.5" customHeight="1" x14ac:dyDescent="0.25">
      <c r="A12" s="1359"/>
      <c r="B12" s="1362"/>
      <c r="C12" s="1365"/>
      <c r="D12" s="1182" t="s">
        <v>362</v>
      </c>
      <c r="E12" s="1129" t="s">
        <v>230</v>
      </c>
      <c r="F12" s="1129">
        <v>1</v>
      </c>
      <c r="G12" s="1129">
        <v>6</v>
      </c>
      <c r="H12" s="560" t="s">
        <v>363</v>
      </c>
      <c r="I12" s="511" t="s">
        <v>383</v>
      </c>
      <c r="J12" s="536" t="e">
        <f>#REF!+#REF!+#REF!+#REF!+#REF!*G12</f>
        <v>#REF!</v>
      </c>
      <c r="K12" s="536" t="e">
        <f>#REF!*G12</f>
        <v>#REF!</v>
      </c>
      <c r="L12" s="536"/>
      <c r="M12" s="536"/>
      <c r="N12" s="536"/>
      <c r="O12" s="536">
        <v>15000000</v>
      </c>
      <c r="P12" s="537" t="e">
        <f t="shared" si="5"/>
        <v>#REF!</v>
      </c>
      <c r="Q12" s="1342" t="e">
        <f>SUM(P12:P16)</f>
        <v>#REF!</v>
      </c>
      <c r="R12" s="574" t="e">
        <f t="shared" si="2"/>
        <v>#REF!</v>
      </c>
      <c r="S12" s="574" t="e">
        <f t="shared" si="0"/>
        <v>#REF!</v>
      </c>
      <c r="T12" s="574">
        <f t="shared" si="0"/>
        <v>0</v>
      </c>
      <c r="U12" s="574">
        <f t="shared" si="0"/>
        <v>0</v>
      </c>
      <c r="V12" s="574">
        <f t="shared" si="0"/>
        <v>0</v>
      </c>
      <c r="W12" s="574">
        <f t="shared" si="0"/>
        <v>17850000</v>
      </c>
      <c r="X12" s="574" t="e">
        <f t="shared" si="3"/>
        <v>#REF!</v>
      </c>
      <c r="Y12" s="574" t="e">
        <f t="shared" si="4"/>
        <v>#REF!</v>
      </c>
      <c r="Z12" s="441"/>
      <c r="AA12" s="441">
        <v>108350000</v>
      </c>
      <c r="AB12" s="489">
        <v>9075000</v>
      </c>
      <c r="AC12" s="489">
        <v>12950000</v>
      </c>
      <c r="AD12" s="489"/>
      <c r="AE12" s="489"/>
      <c r="AF12" s="489">
        <v>51000000</v>
      </c>
      <c r="AG12" s="489">
        <v>181375000</v>
      </c>
      <c r="AH12" s="489">
        <v>315575000</v>
      </c>
      <c r="AI12" s="510"/>
    </row>
    <row r="13" spans="1:35" ht="309" customHeight="1" x14ac:dyDescent="0.25">
      <c r="A13" s="1359"/>
      <c r="B13" s="1362"/>
      <c r="C13" s="1365"/>
      <c r="D13" s="1183"/>
      <c r="E13" s="1130"/>
      <c r="F13" s="1130"/>
      <c r="G13" s="1130"/>
      <c r="H13" s="561" t="s">
        <v>364</v>
      </c>
      <c r="I13" s="493" t="s">
        <v>382</v>
      </c>
      <c r="J13" s="538">
        <f>62012500-Z13</f>
        <v>61585000</v>
      </c>
      <c r="K13" s="538" t="e">
        <f>#REF!*G12</f>
        <v>#REF!</v>
      </c>
      <c r="L13" s="538"/>
      <c r="M13" s="538"/>
      <c r="N13" s="538"/>
      <c r="O13" s="538">
        <v>15000000</v>
      </c>
      <c r="P13" s="539" t="e">
        <f t="shared" si="5"/>
        <v>#REF!</v>
      </c>
      <c r="Q13" s="1343"/>
      <c r="R13" s="574">
        <f t="shared" si="2"/>
        <v>73286150</v>
      </c>
      <c r="S13" s="574" t="e">
        <f t="shared" si="0"/>
        <v>#REF!</v>
      </c>
      <c r="T13" s="574">
        <f t="shared" si="0"/>
        <v>0</v>
      </c>
      <c r="U13" s="574">
        <f t="shared" si="0"/>
        <v>0</v>
      </c>
      <c r="V13" s="574">
        <f t="shared" si="0"/>
        <v>0</v>
      </c>
      <c r="W13" s="574">
        <f t="shared" si="0"/>
        <v>17850000</v>
      </c>
      <c r="X13" s="574" t="e">
        <f t="shared" si="3"/>
        <v>#REF!</v>
      </c>
      <c r="Y13" s="574" t="e">
        <f t="shared" si="4"/>
        <v>#REF!</v>
      </c>
      <c r="Z13" s="441">
        <v>427500</v>
      </c>
      <c r="AA13" s="441"/>
      <c r="AB13" s="489"/>
      <c r="AC13" s="489"/>
      <c r="AD13" s="489"/>
      <c r="AE13" s="489"/>
      <c r="AF13" s="489"/>
      <c r="AG13" s="489"/>
      <c r="AH13" s="489"/>
      <c r="AI13" s="510"/>
    </row>
    <row r="14" spans="1:35" ht="150" customHeight="1" x14ac:dyDescent="0.25">
      <c r="A14" s="1359"/>
      <c r="B14" s="1362"/>
      <c r="C14" s="1365"/>
      <c r="D14" s="1183"/>
      <c r="E14" s="1130"/>
      <c r="F14" s="1130"/>
      <c r="G14" s="1130"/>
      <c r="H14" s="561" t="s">
        <v>365</v>
      </c>
      <c r="I14" s="493" t="s">
        <v>381</v>
      </c>
      <c r="J14" s="538" t="e">
        <f>#REF!+#REF!+#REF!+#REF!*G12</f>
        <v>#REF!</v>
      </c>
      <c r="K14" s="538" t="e">
        <f>#REF!*G12</f>
        <v>#REF!</v>
      </c>
      <c r="L14" s="538"/>
      <c r="M14" s="538"/>
      <c r="N14" s="538"/>
      <c r="O14" s="538"/>
      <c r="P14" s="539" t="e">
        <f t="shared" si="5"/>
        <v>#REF!</v>
      </c>
      <c r="Q14" s="1343"/>
      <c r="R14" s="574" t="e">
        <f t="shared" si="2"/>
        <v>#REF!</v>
      </c>
      <c r="S14" s="574" t="e">
        <f t="shared" si="0"/>
        <v>#REF!</v>
      </c>
      <c r="T14" s="574">
        <f t="shared" si="0"/>
        <v>0</v>
      </c>
      <c r="U14" s="574">
        <f t="shared" si="0"/>
        <v>0</v>
      </c>
      <c r="V14" s="574">
        <f t="shared" si="0"/>
        <v>0</v>
      </c>
      <c r="W14" s="574">
        <f t="shared" si="0"/>
        <v>0</v>
      </c>
      <c r="X14" s="574" t="e">
        <f t="shared" si="3"/>
        <v>#REF!</v>
      </c>
      <c r="Y14" s="574" t="e">
        <f t="shared" si="4"/>
        <v>#REF!</v>
      </c>
      <c r="Z14" s="489" t="e">
        <f>AI14-Q12</f>
        <v>#REF!</v>
      </c>
      <c r="AA14" s="441"/>
      <c r="AB14" s="489"/>
      <c r="AC14" s="489"/>
      <c r="AD14" s="489"/>
      <c r="AE14" s="489"/>
      <c r="AF14" s="489"/>
      <c r="AG14" s="489"/>
      <c r="AH14" s="489"/>
      <c r="AI14" s="510">
        <f>AH12+AH16</f>
        <v>375325000</v>
      </c>
    </row>
    <row r="15" spans="1:35" ht="219" customHeight="1" x14ac:dyDescent="0.25">
      <c r="A15" s="1359"/>
      <c r="B15" s="1362"/>
      <c r="C15" s="1365"/>
      <c r="D15" s="1183"/>
      <c r="E15" s="1130"/>
      <c r="F15" s="1130"/>
      <c r="G15" s="1130"/>
      <c r="H15" s="561" t="s">
        <v>366</v>
      </c>
      <c r="I15" s="493" t="s">
        <v>376</v>
      </c>
      <c r="J15" s="538" t="e">
        <f>#REF!+#REF!*G12</f>
        <v>#REF!</v>
      </c>
      <c r="K15" s="538" t="e">
        <f>#REF!*G12</f>
        <v>#REF!</v>
      </c>
      <c r="L15" s="538"/>
      <c r="M15" s="538"/>
      <c r="N15" s="538"/>
      <c r="O15" s="538"/>
      <c r="P15" s="539" t="e">
        <f t="shared" si="5"/>
        <v>#REF!</v>
      </c>
      <c r="Q15" s="1343"/>
      <c r="R15" s="574" t="e">
        <f t="shared" si="2"/>
        <v>#REF!</v>
      </c>
      <c r="S15" s="574" t="e">
        <f t="shared" si="0"/>
        <v>#REF!</v>
      </c>
      <c r="T15" s="574">
        <f t="shared" si="0"/>
        <v>0</v>
      </c>
      <c r="U15" s="574">
        <f t="shared" si="0"/>
        <v>0</v>
      </c>
      <c r="V15" s="574">
        <f t="shared" si="0"/>
        <v>0</v>
      </c>
      <c r="W15" s="574">
        <f t="shared" si="0"/>
        <v>0</v>
      </c>
      <c r="X15" s="574" t="e">
        <f t="shared" si="3"/>
        <v>#REF!</v>
      </c>
      <c r="Y15" s="574" t="e">
        <f t="shared" si="4"/>
        <v>#REF!</v>
      </c>
      <c r="Z15" s="441"/>
      <c r="AA15" s="441">
        <v>79200000.000000015</v>
      </c>
      <c r="AB15" s="489">
        <v>12000000</v>
      </c>
      <c r="AC15" s="489"/>
      <c r="AD15" s="489"/>
      <c r="AE15" s="489"/>
      <c r="AF15" s="489">
        <v>43000000</v>
      </c>
      <c r="AG15" s="489">
        <v>134200000.00000001</v>
      </c>
      <c r="AH15" s="489"/>
      <c r="AI15" s="510"/>
    </row>
    <row r="16" spans="1:35" ht="262.5" customHeight="1" thickBot="1" x14ac:dyDescent="0.3">
      <c r="A16" s="1359"/>
      <c r="B16" s="1362"/>
      <c r="C16" s="1365"/>
      <c r="D16" s="1184"/>
      <c r="E16" s="1131"/>
      <c r="F16" s="1131"/>
      <c r="G16" s="1131"/>
      <c r="H16" s="562" t="s">
        <v>367</v>
      </c>
      <c r="I16" s="512" t="s">
        <v>384</v>
      </c>
      <c r="J16" s="540" t="e">
        <f>#REF!+#REF!*G12</f>
        <v>#REF!</v>
      </c>
      <c r="K16" s="540" t="e">
        <f>#REF!*G12</f>
        <v>#REF!</v>
      </c>
      <c r="L16" s="540"/>
      <c r="M16" s="540"/>
      <c r="N16" s="540"/>
      <c r="O16" s="540">
        <v>15000000</v>
      </c>
      <c r="P16" s="541" t="e">
        <f t="shared" si="5"/>
        <v>#REF!</v>
      </c>
      <c r="Q16" s="1344"/>
      <c r="R16" s="574" t="e">
        <f t="shared" si="2"/>
        <v>#REF!</v>
      </c>
      <c r="S16" s="574" t="e">
        <f t="shared" si="0"/>
        <v>#REF!</v>
      </c>
      <c r="T16" s="574">
        <f t="shared" si="0"/>
        <v>0</v>
      </c>
      <c r="U16" s="574">
        <f t="shared" si="0"/>
        <v>0</v>
      </c>
      <c r="V16" s="574">
        <f t="shared" si="0"/>
        <v>0</v>
      </c>
      <c r="W16" s="574">
        <f t="shared" si="0"/>
        <v>17850000</v>
      </c>
      <c r="X16" s="574" t="e">
        <f t="shared" si="3"/>
        <v>#REF!</v>
      </c>
      <c r="Y16" s="574" t="e">
        <f t="shared" si="4"/>
        <v>#REF!</v>
      </c>
      <c r="Z16" s="441"/>
      <c r="AA16" s="441">
        <v>24750000</v>
      </c>
      <c r="AB16" s="489"/>
      <c r="AC16" s="489"/>
      <c r="AD16" s="489"/>
      <c r="AE16" s="489"/>
      <c r="AF16" s="489">
        <v>35000000</v>
      </c>
      <c r="AG16" s="489">
        <v>59750000</v>
      </c>
      <c r="AH16" s="489">
        <v>59750000</v>
      </c>
      <c r="AI16" s="510"/>
    </row>
    <row r="17" spans="1:35" ht="409.5" customHeight="1" x14ac:dyDescent="0.25">
      <c r="A17" s="1359"/>
      <c r="B17" s="1362"/>
      <c r="C17" s="1365" t="str">
        <f>'PRESUPUESTO MODIFICADO (2)'!C17:C19</f>
        <v>B. Implementar la estrategia de comunicación, participación, gobernanza y fortalecimiento institucional para todos los actores, preparando a la sociedad para la resolución pacífica de conflictos territoriales y del postconflicto en la formulación del Plan de Ordenamiento Departamental.</v>
      </c>
      <c r="D17" s="1376" t="s">
        <v>388</v>
      </c>
      <c r="E17" s="566" t="s">
        <v>373</v>
      </c>
      <c r="F17" s="566">
        <v>12</v>
      </c>
      <c r="G17" s="1379">
        <v>4</v>
      </c>
      <c r="H17" s="566" t="s">
        <v>369</v>
      </c>
      <c r="I17" s="542" t="s">
        <v>385</v>
      </c>
      <c r="J17" s="543">
        <v>26400000</v>
      </c>
      <c r="K17" s="543" t="e">
        <f>#REF!*G17</f>
        <v>#REF!</v>
      </c>
      <c r="L17" s="543"/>
      <c r="M17" s="543"/>
      <c r="N17" s="543"/>
      <c r="O17" s="543">
        <v>20000000</v>
      </c>
      <c r="P17" s="544" t="e">
        <f t="shared" si="5"/>
        <v>#REF!</v>
      </c>
      <c r="Q17" s="1382" t="e">
        <f>SUM(P17:P19)</f>
        <v>#REF!</v>
      </c>
      <c r="R17" s="574">
        <f t="shared" si="2"/>
        <v>31416000</v>
      </c>
      <c r="S17" s="574" t="e">
        <f t="shared" si="0"/>
        <v>#REF!</v>
      </c>
      <c r="T17" s="574">
        <f t="shared" si="0"/>
        <v>0</v>
      </c>
      <c r="U17" s="574">
        <f t="shared" si="0"/>
        <v>0</v>
      </c>
      <c r="V17" s="574">
        <f t="shared" si="0"/>
        <v>0</v>
      </c>
      <c r="W17" s="574">
        <f t="shared" si="0"/>
        <v>23800000</v>
      </c>
      <c r="X17" s="574" t="e">
        <f t="shared" si="3"/>
        <v>#REF!</v>
      </c>
      <c r="Y17" s="574" t="e">
        <f t="shared" si="4"/>
        <v>#REF!</v>
      </c>
      <c r="Z17" s="441">
        <v>26400000</v>
      </c>
      <c r="AA17" s="441"/>
      <c r="AB17" s="489"/>
      <c r="AC17" s="489"/>
      <c r="AD17" s="489"/>
      <c r="AE17" s="489"/>
      <c r="AF17" s="489"/>
      <c r="AG17" s="489"/>
      <c r="AH17" s="489"/>
      <c r="AI17" s="510"/>
    </row>
    <row r="18" spans="1:35" ht="367.5" customHeight="1" x14ac:dyDescent="0.25">
      <c r="A18" s="1359"/>
      <c r="B18" s="1362"/>
      <c r="C18" s="1365"/>
      <c r="D18" s="1377"/>
      <c r="E18" s="567" t="s">
        <v>372</v>
      </c>
      <c r="F18" s="567">
        <v>12</v>
      </c>
      <c r="G18" s="1380"/>
      <c r="H18" s="567" t="s">
        <v>370</v>
      </c>
      <c r="I18" s="545" t="s">
        <v>386</v>
      </c>
      <c r="J18" s="546" t="e">
        <f>#REF!+#REF!+#REF!*G17</f>
        <v>#REF!</v>
      </c>
      <c r="K18" s="546" t="e">
        <f>#REF!*G17</f>
        <v>#REF!</v>
      </c>
      <c r="L18" s="546"/>
      <c r="M18" s="546"/>
      <c r="N18" s="546"/>
      <c r="O18" s="546">
        <v>10000000</v>
      </c>
      <c r="P18" s="547" t="e">
        <f t="shared" si="5"/>
        <v>#REF!</v>
      </c>
      <c r="Q18" s="1383"/>
      <c r="R18" s="574" t="e">
        <f t="shared" si="2"/>
        <v>#REF!</v>
      </c>
      <c r="S18" s="574" t="e">
        <f t="shared" si="0"/>
        <v>#REF!</v>
      </c>
      <c r="T18" s="574">
        <f t="shared" si="0"/>
        <v>0</v>
      </c>
      <c r="U18" s="574">
        <f t="shared" si="0"/>
        <v>0</v>
      </c>
      <c r="V18" s="574">
        <f t="shared" si="0"/>
        <v>0</v>
      </c>
      <c r="W18" s="574">
        <f t="shared" si="0"/>
        <v>11900000</v>
      </c>
      <c r="X18" s="574" t="e">
        <f t="shared" si="3"/>
        <v>#REF!</v>
      </c>
      <c r="Y18" s="574" t="e">
        <f t="shared" si="4"/>
        <v>#REF!</v>
      </c>
      <c r="Z18" s="489" t="e">
        <f>AH19-Q17</f>
        <v>#REF!</v>
      </c>
      <c r="AA18" s="441"/>
      <c r="AB18" s="489"/>
      <c r="AC18" s="489"/>
      <c r="AD18" s="489"/>
      <c r="AE18" s="489"/>
      <c r="AF18" s="489"/>
      <c r="AG18" s="489"/>
      <c r="AH18" s="489"/>
      <c r="AI18" s="510"/>
    </row>
    <row r="19" spans="1:35" ht="129.75" customHeight="1" thickBot="1" x14ac:dyDescent="0.3">
      <c r="A19" s="1360"/>
      <c r="B19" s="1363"/>
      <c r="C19" s="1375"/>
      <c r="D19" s="1378"/>
      <c r="E19" s="551" t="s">
        <v>374</v>
      </c>
      <c r="F19" s="551">
        <v>12</v>
      </c>
      <c r="G19" s="1381"/>
      <c r="H19" s="551" t="s">
        <v>371</v>
      </c>
      <c r="I19" s="548" t="s">
        <v>377</v>
      </c>
      <c r="J19" s="549">
        <v>24130000</v>
      </c>
      <c r="K19" s="549" t="e">
        <f>#REF!*G17</f>
        <v>#REF!</v>
      </c>
      <c r="L19" s="549"/>
      <c r="M19" s="549"/>
      <c r="N19" s="549"/>
      <c r="O19" s="549">
        <v>20000000</v>
      </c>
      <c r="P19" s="550" t="e">
        <f t="shared" si="5"/>
        <v>#REF!</v>
      </c>
      <c r="Q19" s="1384"/>
      <c r="R19" s="574">
        <f t="shared" si="2"/>
        <v>28714700</v>
      </c>
      <c r="S19" s="574" t="e">
        <f t="shared" si="0"/>
        <v>#REF!</v>
      </c>
      <c r="T19" s="574">
        <f t="shared" si="0"/>
        <v>0</v>
      </c>
      <c r="U19" s="574">
        <f t="shared" si="0"/>
        <v>0</v>
      </c>
      <c r="V19" s="574">
        <f t="shared" si="0"/>
        <v>0</v>
      </c>
      <c r="W19" s="574">
        <f t="shared" si="0"/>
        <v>23800000</v>
      </c>
      <c r="X19" s="574" t="e">
        <f t="shared" si="3"/>
        <v>#REF!</v>
      </c>
      <c r="Y19" s="574" t="e">
        <f t="shared" si="4"/>
        <v>#REF!</v>
      </c>
      <c r="Z19" s="441">
        <v>2270000</v>
      </c>
      <c r="AA19" s="441">
        <v>31350000.000000004</v>
      </c>
      <c r="AB19" s="489">
        <v>6600000.0000000009</v>
      </c>
      <c r="AC19" s="489">
        <v>12950000</v>
      </c>
      <c r="AD19" s="489"/>
      <c r="AE19" s="489"/>
      <c r="AF19" s="489">
        <v>102100000</v>
      </c>
      <c r="AG19" s="489">
        <v>153000000</v>
      </c>
      <c r="AH19" s="489">
        <v>153000000</v>
      </c>
      <c r="AI19" s="510"/>
    </row>
    <row r="20" spans="1:35" ht="30" customHeight="1" x14ac:dyDescent="0.25">
      <c r="A20" s="448"/>
      <c r="B20" s="449"/>
      <c r="E20" s="450"/>
      <c r="F20" s="450"/>
      <c r="G20" s="470"/>
      <c r="H20" s="470"/>
      <c r="I20" s="470"/>
      <c r="J20" s="1345" t="s">
        <v>323</v>
      </c>
      <c r="K20" s="1346"/>
      <c r="L20" s="1346"/>
      <c r="M20" s="1346"/>
      <c r="N20" s="1346"/>
      <c r="O20" s="1346"/>
      <c r="P20" s="576"/>
      <c r="Q20" s="577" t="e">
        <f>SUM(Q5:Q19)</f>
        <v>#REF!</v>
      </c>
      <c r="R20" s="575"/>
      <c r="S20" s="575"/>
      <c r="T20" s="575"/>
      <c r="U20" s="575"/>
      <c r="V20" s="575"/>
      <c r="W20" s="575"/>
      <c r="X20" s="575" t="e">
        <f>SUM(X5:X19)</f>
        <v>#REF!</v>
      </c>
      <c r="Y20" s="574" t="e">
        <f>SUM(Y5:Y19)</f>
        <v>#REF!</v>
      </c>
      <c r="Z20" s="514">
        <v>26400000.000000004</v>
      </c>
      <c r="AA20" s="441" t="s">
        <v>323</v>
      </c>
      <c r="AB20" s="489"/>
      <c r="AC20" s="489"/>
      <c r="AD20" s="489"/>
      <c r="AE20" s="489"/>
      <c r="AF20" s="489"/>
      <c r="AG20" s="489"/>
      <c r="AH20" s="489">
        <v>3715741201.4161892</v>
      </c>
      <c r="AI20" s="510"/>
    </row>
    <row r="21" spans="1:35" ht="30" customHeight="1" x14ac:dyDescent="0.25">
      <c r="A21" s="448"/>
      <c r="B21" s="449"/>
      <c r="E21" s="450"/>
      <c r="F21" s="450"/>
      <c r="G21" s="470"/>
      <c r="H21" s="470"/>
      <c r="I21" s="470"/>
      <c r="J21" s="1338" t="s">
        <v>325</v>
      </c>
      <c r="K21" s="1339"/>
      <c r="L21" s="1339"/>
      <c r="M21" s="1339"/>
      <c r="N21" s="1339"/>
      <c r="O21" s="1339"/>
      <c r="P21" s="571"/>
      <c r="Q21" s="552" t="e">
        <f>Q20*19%</f>
        <v>#REF!</v>
      </c>
      <c r="R21" s="575"/>
      <c r="S21" s="575"/>
      <c r="T21" s="575"/>
      <c r="U21" s="575"/>
      <c r="V21" s="575"/>
      <c r="W21" s="575"/>
      <c r="X21" s="575"/>
      <c r="Y21" s="574">
        <f t="shared" si="4"/>
        <v>0</v>
      </c>
      <c r="Z21" s="514"/>
      <c r="AA21" s="441" t="s">
        <v>325</v>
      </c>
      <c r="AB21" s="489"/>
      <c r="AC21" s="489"/>
      <c r="AD21" s="489"/>
      <c r="AE21" s="489"/>
      <c r="AF21" s="489"/>
      <c r="AG21" s="489"/>
      <c r="AH21" s="489">
        <v>705990828.26907599</v>
      </c>
      <c r="AI21" s="510"/>
    </row>
    <row r="22" spans="1:35" ht="30" customHeight="1" x14ac:dyDescent="0.25">
      <c r="A22" s="448"/>
      <c r="B22" s="449"/>
      <c r="E22" s="450"/>
      <c r="F22" s="450"/>
      <c r="G22" s="470"/>
      <c r="H22" s="470"/>
      <c r="I22" s="470"/>
      <c r="J22" s="1338" t="s">
        <v>324</v>
      </c>
      <c r="K22" s="1339"/>
      <c r="L22" s="1339"/>
      <c r="M22" s="1339"/>
      <c r="N22" s="1339"/>
      <c r="O22" s="1339"/>
      <c r="P22" s="571"/>
      <c r="Q22" s="552" t="e">
        <f>Q20+Q21</f>
        <v>#REF!</v>
      </c>
      <c r="R22" s="575"/>
      <c r="S22" s="575"/>
      <c r="T22" s="575"/>
      <c r="U22" s="575"/>
      <c r="V22" s="575"/>
      <c r="W22" s="575"/>
      <c r="X22" s="575"/>
      <c r="Y22" s="574">
        <f t="shared" si="4"/>
        <v>0</v>
      </c>
      <c r="Z22" s="514"/>
      <c r="AA22" s="441" t="s">
        <v>324</v>
      </c>
      <c r="AB22" s="489"/>
      <c r="AC22" s="489"/>
      <c r="AD22" s="489"/>
      <c r="AE22" s="489"/>
      <c r="AF22" s="489"/>
      <c r="AG22" s="489"/>
      <c r="AH22" s="489">
        <v>4421732029.6852655</v>
      </c>
      <c r="AI22" s="510"/>
    </row>
    <row r="23" spans="1:35" ht="30" customHeight="1" x14ac:dyDescent="0.25">
      <c r="A23" s="448"/>
      <c r="B23" s="449"/>
      <c r="E23" s="450"/>
      <c r="F23" s="450"/>
      <c r="G23" s="470"/>
      <c r="H23" s="470"/>
      <c r="I23" s="470"/>
      <c r="J23" s="1338" t="s">
        <v>252</v>
      </c>
      <c r="K23" s="1339"/>
      <c r="L23" s="1339"/>
      <c r="M23" s="1339"/>
      <c r="N23" s="1339"/>
      <c r="O23" s="1339"/>
      <c r="P23" s="571"/>
      <c r="Q23" s="552" t="e">
        <f>Q22*7%</f>
        <v>#REF!</v>
      </c>
      <c r="R23" s="575"/>
      <c r="S23" s="575"/>
      <c r="T23" s="575"/>
      <c r="U23" s="575"/>
      <c r="V23" s="575"/>
      <c r="W23" s="575"/>
      <c r="X23" s="575" t="e">
        <f>Q23</f>
        <v>#REF!</v>
      </c>
      <c r="Y23" s="574" t="e">
        <f>Q23</f>
        <v>#REF!</v>
      </c>
      <c r="Z23" s="441"/>
      <c r="AA23" s="441" t="s">
        <v>252</v>
      </c>
      <c r="AB23" s="489"/>
      <c r="AC23" s="489"/>
      <c r="AD23" s="489"/>
      <c r="AE23" s="489"/>
      <c r="AF23" s="489"/>
      <c r="AG23" s="489"/>
      <c r="AH23" s="489">
        <v>309521242.0779686</v>
      </c>
      <c r="AI23" s="510"/>
    </row>
    <row r="24" spans="1:35" ht="30" customHeight="1" thickBot="1" x14ac:dyDescent="0.3">
      <c r="A24" s="448"/>
      <c r="B24" s="449"/>
      <c r="E24" s="450"/>
      <c r="F24" s="450"/>
      <c r="G24" s="470"/>
      <c r="H24" s="470"/>
      <c r="I24" s="470"/>
      <c r="J24" s="1340" t="s">
        <v>319</v>
      </c>
      <c r="K24" s="1341"/>
      <c r="L24" s="1341"/>
      <c r="M24" s="1341"/>
      <c r="N24" s="1341"/>
      <c r="O24" s="1341"/>
      <c r="P24" s="572"/>
      <c r="Q24" s="553" t="e">
        <f>Q22+Q23</f>
        <v>#REF!</v>
      </c>
      <c r="R24" s="575"/>
      <c r="S24" s="575"/>
      <c r="T24" s="575"/>
      <c r="U24" s="575"/>
      <c r="V24" s="575"/>
      <c r="W24" s="575"/>
      <c r="X24" s="575" t="e">
        <f>X20+X23</f>
        <v>#REF!</v>
      </c>
      <c r="Y24" s="574" t="e">
        <f>Y20+Y23</f>
        <v>#REF!</v>
      </c>
      <c r="Z24" s="441"/>
      <c r="AA24" s="441" t="s">
        <v>319</v>
      </c>
      <c r="AB24" s="489"/>
      <c r="AC24" s="489"/>
      <c r="AD24" s="489"/>
      <c r="AE24" s="489"/>
      <c r="AF24" s="489"/>
      <c r="AG24" s="489"/>
      <c r="AH24" s="489">
        <v>4731253271.7632341</v>
      </c>
      <c r="AI24" s="510"/>
    </row>
    <row r="25" spans="1:35" ht="69.95" customHeight="1" x14ac:dyDescent="0.25">
      <c r="A25" s="448"/>
      <c r="R25" s="441"/>
      <c r="S25" s="441"/>
      <c r="T25" s="441"/>
      <c r="U25" s="441"/>
      <c r="V25" s="441"/>
      <c r="W25" s="441"/>
      <c r="X25" s="441"/>
      <c r="Y25" s="441"/>
      <c r="Z25" s="441"/>
    </row>
    <row r="26" spans="1:35" ht="69.95" customHeight="1" x14ac:dyDescent="0.25">
      <c r="A26" s="448"/>
    </row>
    <row r="27" spans="1:35" ht="30" customHeight="1" x14ac:dyDescent="0.25">
      <c r="A27" s="448"/>
    </row>
    <row r="28" spans="1:35" ht="57.6" customHeight="1" x14ac:dyDescent="0.25">
      <c r="A28" s="448"/>
    </row>
    <row r="29" spans="1:35" ht="14.45" customHeight="1" x14ac:dyDescent="0.25">
      <c r="A29" s="448"/>
    </row>
    <row r="30" spans="1:35" ht="14.45" customHeight="1" x14ac:dyDescent="0.25">
      <c r="A30" s="448"/>
    </row>
    <row r="31" spans="1:35" ht="18" customHeight="1" x14ac:dyDescent="0.25">
      <c r="A31" s="448"/>
    </row>
    <row r="32" spans="1:35" ht="14.45" customHeight="1" x14ac:dyDescent="0.25">
      <c r="A32" s="448"/>
    </row>
    <row r="33" spans="1:1" ht="14.45" customHeight="1" x14ac:dyDescent="0.25">
      <c r="A33" s="448"/>
    </row>
    <row r="34" spans="1:1" ht="14.45" customHeight="1" x14ac:dyDescent="0.25">
      <c r="A34" s="448"/>
    </row>
    <row r="35" spans="1:1" ht="14.45" customHeight="1" x14ac:dyDescent="0.25">
      <c r="A35" s="448"/>
    </row>
    <row r="36" spans="1:1" ht="14.45" customHeight="1" x14ac:dyDescent="0.25">
      <c r="A36" s="448"/>
    </row>
    <row r="37" spans="1:1" ht="14.45" customHeight="1" x14ac:dyDescent="0.25">
      <c r="A37" s="448"/>
    </row>
    <row r="38" spans="1:1" ht="31.15" customHeight="1" x14ac:dyDescent="0.25">
      <c r="A38" s="448"/>
    </row>
    <row r="39" spans="1:1" ht="34.9" customHeight="1" x14ac:dyDescent="0.25">
      <c r="A39" s="448"/>
    </row>
    <row r="40" spans="1:1" ht="28.9" customHeight="1" x14ac:dyDescent="0.25"/>
    <row r="41" spans="1:1" ht="25.5" customHeight="1" x14ac:dyDescent="0.25"/>
    <row r="42" spans="1:1" ht="26.25" customHeight="1" x14ac:dyDescent="0.25"/>
    <row r="43" spans="1:1" ht="22.5" customHeight="1" x14ac:dyDescent="0.25"/>
    <row r="50" spans="1:1" x14ac:dyDescent="0.25">
      <c r="A50" s="452"/>
    </row>
    <row r="51" spans="1:1" x14ac:dyDescent="0.25">
      <c r="A51" s="452"/>
    </row>
    <row r="52" spans="1:1" x14ac:dyDescent="0.25">
      <c r="A52" s="452"/>
    </row>
  </sheetData>
  <mergeCells count="30">
    <mergeCell ref="A1:Q1"/>
    <mergeCell ref="A2:Q2"/>
    <mergeCell ref="A5:A19"/>
    <mergeCell ref="B5:B19"/>
    <mergeCell ref="C5:C16"/>
    <mergeCell ref="D5:D8"/>
    <mergeCell ref="E5:E8"/>
    <mergeCell ref="F5:F8"/>
    <mergeCell ref="G5:G8"/>
    <mergeCell ref="Q5:Q8"/>
    <mergeCell ref="C17:C19"/>
    <mergeCell ref="D17:D19"/>
    <mergeCell ref="G17:G19"/>
    <mergeCell ref="Q17:Q19"/>
    <mergeCell ref="D12:D16"/>
    <mergeCell ref="E12:E16"/>
    <mergeCell ref="Q12:Q16"/>
    <mergeCell ref="J20:O20"/>
    <mergeCell ref="J21:O21"/>
    <mergeCell ref="AH5:AH8"/>
    <mergeCell ref="D9:D11"/>
    <mergeCell ref="E9:E11"/>
    <mergeCell ref="F9:F11"/>
    <mergeCell ref="G9:G11"/>
    <mergeCell ref="Q9:Q11"/>
    <mergeCell ref="J22:O22"/>
    <mergeCell ref="J23:O23"/>
    <mergeCell ref="J24:O24"/>
    <mergeCell ref="F12:F16"/>
    <mergeCell ref="G12:G16"/>
  </mergeCells>
  <printOptions horizontalCentered="1" verticalCentered="1"/>
  <pageMargins left="0.23622047244094491" right="0.23622047244094491" top="0.39370078740157483" bottom="0.43307086614173229" header="0.31496062992125984" footer="0.31496062992125984"/>
  <pageSetup paperSize="5" scale="20" fitToHeight="3"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T63"/>
  <sheetViews>
    <sheetView topLeftCell="D1" zoomScale="60" zoomScaleNormal="60" workbookViewId="0">
      <pane ySplit="4" topLeftCell="A5" activePane="bottomLeft" state="frozen"/>
      <selection activeCell="H54" sqref="H54"/>
      <selection pane="bottomLeft" activeCell="D23" sqref="C23:D23"/>
    </sheetView>
  </sheetViews>
  <sheetFormatPr baseColWidth="10" defaultColWidth="91.28515625" defaultRowHeight="12.75" x14ac:dyDescent="0.2"/>
  <cols>
    <col min="1" max="1" width="18.85546875" style="204" customWidth="1"/>
    <col min="2" max="2" width="24.7109375" style="204" customWidth="1"/>
    <col min="3" max="3" width="10.28515625" style="204" customWidth="1"/>
    <col min="4" max="4" width="73.28515625" style="204" customWidth="1"/>
    <col min="5" max="5" width="14.7109375" style="204" customWidth="1"/>
    <col min="6" max="6" width="18.28515625" style="204" customWidth="1"/>
    <col min="7" max="7" width="17.28515625" style="204" customWidth="1"/>
    <col min="8" max="8" width="17.7109375" style="204" customWidth="1"/>
    <col min="9" max="9" width="16.85546875" style="204" customWidth="1"/>
    <col min="10" max="10" width="17.28515625" style="204" customWidth="1"/>
    <col min="11" max="11" width="17" style="204" customWidth="1"/>
    <col min="12" max="12" width="17.140625" style="204" customWidth="1"/>
    <col min="13" max="13" width="22.28515625" style="204" customWidth="1"/>
    <col min="14" max="16384" width="91.28515625" style="204"/>
  </cols>
  <sheetData>
    <row r="1" spans="1:13" ht="31.15" customHeight="1" x14ac:dyDescent="0.2">
      <c r="A1" s="851" t="s">
        <v>185</v>
      </c>
      <c r="B1" s="851"/>
      <c r="C1" s="851"/>
      <c r="D1" s="851"/>
      <c r="E1" s="851"/>
      <c r="F1" s="851"/>
      <c r="G1" s="851"/>
      <c r="H1" s="851"/>
      <c r="I1" s="851"/>
      <c r="J1" s="851"/>
      <c r="K1" s="851"/>
      <c r="L1" s="851"/>
      <c r="M1" s="851"/>
    </row>
    <row r="2" spans="1:13" ht="25.5" customHeight="1" x14ac:dyDescent="0.2">
      <c r="A2" s="852" t="s">
        <v>132</v>
      </c>
      <c r="B2" s="852"/>
      <c r="C2" s="852"/>
      <c r="D2" s="852"/>
      <c r="E2" s="852"/>
      <c r="F2" s="852"/>
      <c r="G2" s="852"/>
      <c r="H2" s="852"/>
      <c r="I2" s="852"/>
      <c r="J2" s="852"/>
      <c r="K2" s="852"/>
      <c r="L2" s="852"/>
    </row>
    <row r="3" spans="1:13" ht="14.45" customHeight="1" thickBot="1" x14ac:dyDescent="0.25">
      <c r="A3" s="209"/>
      <c r="B3" s="209"/>
      <c r="C3" s="209"/>
      <c r="D3" s="209"/>
      <c r="E3" s="209"/>
      <c r="F3" s="209"/>
      <c r="G3" s="209"/>
      <c r="H3" s="209"/>
      <c r="I3" s="209"/>
      <c r="J3" s="209"/>
      <c r="K3" s="209"/>
    </row>
    <row r="4" spans="1:13" ht="48.6" customHeight="1" thickBot="1" x14ac:dyDescent="0.25">
      <c r="A4" s="205" t="s">
        <v>5</v>
      </c>
      <c r="B4" s="206" t="s">
        <v>134</v>
      </c>
      <c r="C4" s="207" t="s">
        <v>53</v>
      </c>
      <c r="D4" s="218" t="s">
        <v>26</v>
      </c>
      <c r="E4" s="217" t="s">
        <v>183</v>
      </c>
      <c r="F4" s="225" t="s">
        <v>135</v>
      </c>
      <c r="G4" s="207" t="s">
        <v>136</v>
      </c>
      <c r="H4" s="207" t="s">
        <v>137</v>
      </c>
      <c r="I4" s="207" t="s">
        <v>179</v>
      </c>
      <c r="J4" s="207" t="s">
        <v>181</v>
      </c>
      <c r="K4" s="207" t="s">
        <v>138</v>
      </c>
      <c r="L4" s="207" t="s">
        <v>6</v>
      </c>
      <c r="M4" s="217" t="s">
        <v>180</v>
      </c>
    </row>
    <row r="5" spans="1:13" ht="25.5" x14ac:dyDescent="0.2">
      <c r="A5" s="861">
        <v>1</v>
      </c>
      <c r="B5" s="859" t="s">
        <v>133</v>
      </c>
      <c r="C5" s="211">
        <v>1</v>
      </c>
      <c r="D5" s="219" t="s">
        <v>172</v>
      </c>
      <c r="E5" s="864">
        <v>2</v>
      </c>
      <c r="F5" s="226" t="e">
        <f>#REF!</f>
        <v>#REF!</v>
      </c>
      <c r="G5" s="227" t="e">
        <f>#REF!*2</f>
        <v>#REF!</v>
      </c>
      <c r="H5" s="227" t="e">
        <f>#REF!*15</f>
        <v>#REF!</v>
      </c>
      <c r="I5" s="227"/>
      <c r="J5" s="227"/>
      <c r="K5" s="227"/>
      <c r="L5" s="237" t="e">
        <f>SUM(F5:K5)</f>
        <v>#REF!</v>
      </c>
      <c r="M5" s="856" t="e">
        <f>SUM(L5:L9)</f>
        <v>#REF!</v>
      </c>
    </row>
    <row r="6" spans="1:13" ht="25.5" x14ac:dyDescent="0.2">
      <c r="A6" s="862"/>
      <c r="B6" s="876"/>
      <c r="C6" s="210">
        <v>2</v>
      </c>
      <c r="D6" s="220" t="s">
        <v>173</v>
      </c>
      <c r="E6" s="865"/>
      <c r="F6" s="228" t="e">
        <f>#REF!</f>
        <v>#REF!</v>
      </c>
      <c r="G6" s="229"/>
      <c r="H6" s="229"/>
      <c r="I6" s="229"/>
      <c r="J6" s="229"/>
      <c r="K6" s="229"/>
      <c r="L6" s="238" t="e">
        <f t="shared" ref="L6:L9" si="0">SUM(F6:K6)</f>
        <v>#REF!</v>
      </c>
      <c r="M6" s="857"/>
    </row>
    <row r="7" spans="1:13" ht="25.5" x14ac:dyDescent="0.2">
      <c r="A7" s="862"/>
      <c r="B7" s="876"/>
      <c r="C7" s="210">
        <v>3</v>
      </c>
      <c r="D7" s="220" t="s">
        <v>148</v>
      </c>
      <c r="E7" s="865"/>
      <c r="F7" s="228" t="e">
        <f>#REF!*2</f>
        <v>#REF!</v>
      </c>
      <c r="G7" s="229" t="e">
        <f>#REF!*2</f>
        <v>#REF!</v>
      </c>
      <c r="H7" s="229"/>
      <c r="I7" s="229" t="e">
        <f>#REF!</f>
        <v>#REF!</v>
      </c>
      <c r="J7" s="229"/>
      <c r="K7" s="229"/>
      <c r="L7" s="238" t="e">
        <f t="shared" si="0"/>
        <v>#REF!</v>
      </c>
      <c r="M7" s="857"/>
    </row>
    <row r="8" spans="1:13" ht="25.5" x14ac:dyDescent="0.2">
      <c r="A8" s="862"/>
      <c r="B8" s="876"/>
      <c r="C8" s="210">
        <v>4</v>
      </c>
      <c r="D8" s="220" t="s">
        <v>149</v>
      </c>
      <c r="E8" s="865"/>
      <c r="F8" s="228" t="e">
        <f>#REF!</f>
        <v>#REF!</v>
      </c>
      <c r="G8" s="229"/>
      <c r="H8" s="229"/>
      <c r="I8" s="229"/>
      <c r="J8" s="229"/>
      <c r="K8" s="229" t="e">
        <f>#REF!*4</f>
        <v>#REF!</v>
      </c>
      <c r="L8" s="238" t="e">
        <f t="shared" si="0"/>
        <v>#REF!</v>
      </c>
      <c r="M8" s="857"/>
    </row>
    <row r="9" spans="1:13" ht="39" thickBot="1" x14ac:dyDescent="0.25">
      <c r="A9" s="862"/>
      <c r="B9" s="860"/>
      <c r="C9" s="215">
        <v>5</v>
      </c>
      <c r="D9" s="221" t="s">
        <v>150</v>
      </c>
      <c r="E9" s="866"/>
      <c r="F9" s="230" t="e">
        <f>#REF!*E5</f>
        <v>#REF!</v>
      </c>
      <c r="G9" s="231"/>
      <c r="H9" s="231"/>
      <c r="I9" s="231"/>
      <c r="J9" s="231"/>
      <c r="K9" s="231"/>
      <c r="L9" s="239" t="e">
        <f t="shared" si="0"/>
        <v>#REF!</v>
      </c>
      <c r="M9" s="858"/>
    </row>
    <row r="10" spans="1:13" ht="25.5" x14ac:dyDescent="0.2">
      <c r="A10" s="862"/>
      <c r="B10" s="859" t="s">
        <v>139</v>
      </c>
      <c r="C10" s="211">
        <v>1</v>
      </c>
      <c r="D10" s="219" t="s">
        <v>151</v>
      </c>
      <c r="E10" s="864">
        <v>3</v>
      </c>
      <c r="F10" s="226" t="e">
        <f>#REF!+#REF!*E10</f>
        <v>#REF!</v>
      </c>
      <c r="G10" s="227"/>
      <c r="H10" s="227"/>
      <c r="I10" s="227"/>
      <c r="J10" s="227"/>
      <c r="K10" s="227"/>
      <c r="L10" s="237" t="e">
        <f>SUM(F10:K10)</f>
        <v>#REF!</v>
      </c>
      <c r="M10" s="856" t="e">
        <f>SUM(L10:L20)</f>
        <v>#REF!</v>
      </c>
    </row>
    <row r="11" spans="1:13" ht="38.25" x14ac:dyDescent="0.2">
      <c r="A11" s="862"/>
      <c r="B11" s="876"/>
      <c r="C11" s="210">
        <v>2</v>
      </c>
      <c r="D11" s="220" t="s">
        <v>152</v>
      </c>
      <c r="E11" s="865"/>
      <c r="F11" s="228" t="e">
        <f>#REF!*E10</f>
        <v>#REF!</v>
      </c>
      <c r="G11" s="229" t="e">
        <f>#REF!*4</f>
        <v>#REF!</v>
      </c>
      <c r="H11" s="229" t="e">
        <f>#REF!*10</f>
        <v>#REF!</v>
      </c>
      <c r="I11" s="229"/>
      <c r="J11" s="229"/>
      <c r="K11" s="229" t="e">
        <f>#REF!*4+#REF!</f>
        <v>#REF!</v>
      </c>
      <c r="L11" s="240" t="e">
        <f t="shared" ref="L11:L20" si="1">SUM(F11:K11)</f>
        <v>#REF!</v>
      </c>
      <c r="M11" s="857"/>
    </row>
    <row r="12" spans="1:13" s="280" customFormat="1" ht="21" customHeight="1" x14ac:dyDescent="0.2">
      <c r="A12" s="862"/>
      <c r="B12" s="876"/>
      <c r="C12" s="275">
        <v>3</v>
      </c>
      <c r="D12" s="276" t="s">
        <v>174</v>
      </c>
      <c r="E12" s="865"/>
      <c r="F12" s="277" t="e">
        <f>#REF!+#REF!*4</f>
        <v>#REF!</v>
      </c>
      <c r="G12" s="278" t="e">
        <f>#REF!*2</f>
        <v>#REF!</v>
      </c>
      <c r="H12" s="278"/>
      <c r="I12" s="278"/>
      <c r="J12" s="278"/>
      <c r="K12" s="278"/>
      <c r="L12" s="279" t="e">
        <f t="shared" si="1"/>
        <v>#REF!</v>
      </c>
      <c r="M12" s="857"/>
    </row>
    <row r="13" spans="1:13" s="280" customFormat="1" ht="20.25" customHeight="1" x14ac:dyDescent="0.2">
      <c r="A13" s="862"/>
      <c r="B13" s="876"/>
      <c r="C13" s="275">
        <v>4</v>
      </c>
      <c r="D13" s="276" t="s">
        <v>153</v>
      </c>
      <c r="E13" s="865"/>
      <c r="F13" s="277" t="e">
        <f>#REF!+#REF!+#REF!</f>
        <v>#REF!</v>
      </c>
      <c r="G13" s="278" t="e">
        <f>#REF!*2</f>
        <v>#REF!</v>
      </c>
      <c r="H13" s="278"/>
      <c r="I13" s="278"/>
      <c r="J13" s="278" t="e">
        <f>#REF!</f>
        <v>#REF!</v>
      </c>
      <c r="K13" s="278"/>
      <c r="L13" s="279" t="e">
        <f t="shared" si="1"/>
        <v>#REF!</v>
      </c>
      <c r="M13" s="857"/>
    </row>
    <row r="14" spans="1:13" s="280" customFormat="1" ht="35.25" customHeight="1" x14ac:dyDescent="0.2">
      <c r="A14" s="862"/>
      <c r="B14" s="876"/>
      <c r="C14" s="275">
        <v>5</v>
      </c>
      <c r="D14" s="276" t="s">
        <v>154</v>
      </c>
      <c r="E14" s="865"/>
      <c r="F14" s="277" t="e">
        <f>#REF!+#REF!+#REF!+#REF!*2</f>
        <v>#REF!</v>
      </c>
      <c r="G14" s="278" t="e">
        <f>#REF!*2</f>
        <v>#REF!</v>
      </c>
      <c r="H14" s="278"/>
      <c r="I14" s="278"/>
      <c r="J14" s="278" t="e">
        <f>#REF!</f>
        <v>#REF!</v>
      </c>
      <c r="K14" s="278"/>
      <c r="L14" s="279" t="e">
        <f t="shared" si="1"/>
        <v>#REF!</v>
      </c>
      <c r="M14" s="857"/>
    </row>
    <row r="15" spans="1:13" s="280" customFormat="1" ht="20.25" customHeight="1" x14ac:dyDescent="0.2">
      <c r="A15" s="862"/>
      <c r="B15" s="876"/>
      <c r="C15" s="275">
        <v>6</v>
      </c>
      <c r="D15" s="276" t="s">
        <v>155</v>
      </c>
      <c r="E15" s="865"/>
      <c r="F15" s="277" t="e">
        <f>#REF!+#REF!*2</f>
        <v>#REF!</v>
      </c>
      <c r="G15" s="278"/>
      <c r="H15" s="278"/>
      <c r="I15" s="278"/>
      <c r="J15" s="278"/>
      <c r="K15" s="278"/>
      <c r="L15" s="279" t="e">
        <f t="shared" si="1"/>
        <v>#REF!</v>
      </c>
      <c r="M15" s="857"/>
    </row>
    <row r="16" spans="1:13" s="280" customFormat="1" ht="21" customHeight="1" x14ac:dyDescent="0.2">
      <c r="A16" s="862"/>
      <c r="B16" s="876"/>
      <c r="C16" s="275">
        <v>7</v>
      </c>
      <c r="D16" s="276" t="s">
        <v>156</v>
      </c>
      <c r="E16" s="865"/>
      <c r="F16" s="281" t="e">
        <f>#REF!+#REF!+#REF!*2</f>
        <v>#REF!</v>
      </c>
      <c r="G16" s="282"/>
      <c r="H16" s="282"/>
      <c r="I16" s="282"/>
      <c r="J16" s="282" t="e">
        <f>#REF!</f>
        <v>#REF!</v>
      </c>
      <c r="K16" s="282"/>
      <c r="L16" s="279" t="e">
        <f t="shared" si="1"/>
        <v>#REF!</v>
      </c>
      <c r="M16" s="857"/>
    </row>
    <row r="17" spans="1:20" s="280" customFormat="1" ht="18.75" customHeight="1" x14ac:dyDescent="0.2">
      <c r="A17" s="862"/>
      <c r="B17" s="876"/>
      <c r="C17" s="275">
        <v>8</v>
      </c>
      <c r="D17" s="276" t="s">
        <v>170</v>
      </c>
      <c r="E17" s="865"/>
      <c r="F17" s="281" t="e">
        <f>#REF!*2</f>
        <v>#REF!</v>
      </c>
      <c r="G17" s="282"/>
      <c r="H17" s="282"/>
      <c r="I17" s="282"/>
      <c r="J17" s="282"/>
      <c r="K17" s="282"/>
      <c r="L17" s="279" t="e">
        <f t="shared" si="1"/>
        <v>#REF!</v>
      </c>
      <c r="M17" s="857"/>
    </row>
    <row r="18" spans="1:20" s="280" customFormat="1" ht="24.75" customHeight="1" x14ac:dyDescent="0.2">
      <c r="A18" s="862"/>
      <c r="B18" s="876"/>
      <c r="C18" s="275">
        <v>9</v>
      </c>
      <c r="D18" s="276" t="s">
        <v>140</v>
      </c>
      <c r="E18" s="865"/>
      <c r="F18" s="281" t="e">
        <f>#REF!*2</f>
        <v>#REF!</v>
      </c>
      <c r="G18" s="282"/>
      <c r="H18" s="282"/>
      <c r="I18" s="282"/>
      <c r="J18" s="282"/>
      <c r="K18" s="282"/>
      <c r="L18" s="279" t="e">
        <f t="shared" si="1"/>
        <v>#REF!</v>
      </c>
      <c r="M18" s="857"/>
    </row>
    <row r="19" spans="1:20" s="280" customFormat="1" ht="18" customHeight="1" x14ac:dyDescent="0.2">
      <c r="A19" s="862"/>
      <c r="B19" s="876"/>
      <c r="C19" s="275">
        <v>10</v>
      </c>
      <c r="D19" s="276" t="s">
        <v>141</v>
      </c>
      <c r="E19" s="865"/>
      <c r="F19" s="281" t="e">
        <f>#REF!+#REF!+#REF!+#REF!*2</f>
        <v>#REF!</v>
      </c>
      <c r="G19" s="282" t="e">
        <f>#REF!*2</f>
        <v>#REF!</v>
      </c>
      <c r="H19" s="282"/>
      <c r="I19" s="282"/>
      <c r="J19" s="282"/>
      <c r="K19" s="282"/>
      <c r="L19" s="279" t="e">
        <f t="shared" si="1"/>
        <v>#REF!</v>
      </c>
      <c r="M19" s="857"/>
    </row>
    <row r="20" spans="1:20" s="280" customFormat="1" ht="30" customHeight="1" thickBot="1" x14ac:dyDescent="0.25">
      <c r="A20" s="862"/>
      <c r="B20" s="860"/>
      <c r="C20" s="283">
        <v>11</v>
      </c>
      <c r="D20" s="284" t="s">
        <v>175</v>
      </c>
      <c r="E20" s="866"/>
      <c r="F20" s="285" t="e">
        <f>#REF!+#REF!*2</f>
        <v>#REF!</v>
      </c>
      <c r="G20" s="286"/>
      <c r="H20" s="286" t="e">
        <f>#REF!*5</f>
        <v>#REF!</v>
      </c>
      <c r="I20" s="286"/>
      <c r="J20" s="286"/>
      <c r="K20" s="286"/>
      <c r="L20" s="287" t="e">
        <f t="shared" si="1"/>
        <v>#REF!</v>
      </c>
      <c r="M20" s="858"/>
    </row>
    <row r="21" spans="1:20" ht="40.15" customHeight="1" x14ac:dyDescent="0.2">
      <c r="A21" s="862"/>
      <c r="B21" s="859" t="s">
        <v>142</v>
      </c>
      <c r="C21" s="208">
        <v>1</v>
      </c>
      <c r="D21" s="222" t="s">
        <v>157</v>
      </c>
      <c r="E21" s="867">
        <v>6</v>
      </c>
      <c r="F21" s="879"/>
      <c r="G21" s="879"/>
      <c r="H21" s="879"/>
      <c r="I21" s="879"/>
      <c r="J21" s="879"/>
      <c r="K21" s="879"/>
      <c r="L21" s="879"/>
      <c r="M21" s="856" t="e">
        <f>SUM(L21:L38)</f>
        <v>#REF!</v>
      </c>
    </row>
    <row r="22" spans="1:20" ht="51" x14ac:dyDescent="0.2">
      <c r="A22" s="862"/>
      <c r="B22" s="876"/>
      <c r="C22" s="210">
        <v>1.1000000000000001</v>
      </c>
      <c r="D22" s="220" t="s">
        <v>158</v>
      </c>
      <c r="E22" s="868"/>
      <c r="F22" s="228" t="e">
        <f>#REF!+#REF!+#REF!*5</f>
        <v>#REF!</v>
      </c>
      <c r="G22" s="229"/>
      <c r="H22" s="229" t="e">
        <f>#REF!*4</f>
        <v>#REF!</v>
      </c>
      <c r="I22" s="229"/>
      <c r="J22" s="229" t="e">
        <f>#REF!</f>
        <v>#REF!</v>
      </c>
      <c r="K22" s="229"/>
      <c r="L22" s="238" t="e">
        <f>SUM(F22:K22)</f>
        <v>#REF!</v>
      </c>
      <c r="M22" s="877"/>
    </row>
    <row r="23" spans="1:20" ht="89.25" x14ac:dyDescent="0.2">
      <c r="A23" s="862"/>
      <c r="B23" s="876"/>
      <c r="C23" s="210">
        <v>1.2</v>
      </c>
      <c r="D23" s="220" t="s">
        <v>159</v>
      </c>
      <c r="E23" s="868"/>
      <c r="F23" s="228" t="e">
        <f>#REF!+#REF!+#REF!*5</f>
        <v>#REF!</v>
      </c>
      <c r="G23" s="229"/>
      <c r="H23" s="229"/>
      <c r="I23" s="229"/>
      <c r="J23" s="229"/>
      <c r="K23" s="229"/>
      <c r="L23" s="238" t="e">
        <f t="shared" ref="L23:L26" si="2">SUM(F23:K23)</f>
        <v>#REF!</v>
      </c>
      <c r="M23" s="877"/>
    </row>
    <row r="24" spans="1:20" ht="51" x14ac:dyDescent="0.2">
      <c r="A24" s="862"/>
      <c r="B24" s="876"/>
      <c r="C24" s="210">
        <v>1.3</v>
      </c>
      <c r="D24" s="220" t="s">
        <v>165</v>
      </c>
      <c r="E24" s="868"/>
      <c r="F24" s="228" t="e">
        <f>#REF!*3</f>
        <v>#REF!</v>
      </c>
      <c r="G24" s="229" t="e">
        <f>#REF!*3</f>
        <v>#REF!</v>
      </c>
      <c r="H24" s="229"/>
      <c r="I24" s="229"/>
      <c r="J24" s="229"/>
      <c r="K24" s="229" t="e">
        <f>#REF!</f>
        <v>#REF!</v>
      </c>
      <c r="L24" s="238" t="e">
        <f t="shared" si="2"/>
        <v>#REF!</v>
      </c>
      <c r="M24" s="877"/>
      <c r="N24" s="203"/>
      <c r="O24" s="203"/>
      <c r="P24" s="203"/>
      <c r="Q24" s="203"/>
      <c r="R24" s="203"/>
      <c r="S24" s="203"/>
      <c r="T24" s="203"/>
    </row>
    <row r="25" spans="1:20" ht="38.25" x14ac:dyDescent="0.2">
      <c r="A25" s="862"/>
      <c r="B25" s="876"/>
      <c r="C25" s="210">
        <v>1.4</v>
      </c>
      <c r="D25" s="220" t="s">
        <v>176</v>
      </c>
      <c r="E25" s="868"/>
      <c r="F25" s="228" t="e">
        <f>#REF!+#REF!*5</f>
        <v>#REF!</v>
      </c>
      <c r="G25" s="229"/>
      <c r="H25" s="229" t="e">
        <f>#REF!*4</f>
        <v>#REF!</v>
      </c>
      <c r="I25" s="229"/>
      <c r="J25" s="229"/>
      <c r="K25" s="229" t="e">
        <f>#REF!</f>
        <v>#REF!</v>
      </c>
      <c r="L25" s="238" t="e">
        <f t="shared" si="2"/>
        <v>#REF!</v>
      </c>
      <c r="M25" s="877"/>
    </row>
    <row r="26" spans="1:20" ht="38.25" x14ac:dyDescent="0.2">
      <c r="A26" s="862"/>
      <c r="B26" s="876"/>
      <c r="C26" s="210">
        <v>1.5</v>
      </c>
      <c r="D26" s="220" t="s">
        <v>160</v>
      </c>
      <c r="E26" s="868"/>
      <c r="F26" s="228" t="e">
        <f>#REF!*5+#REF!</f>
        <v>#REF!</v>
      </c>
      <c r="G26" s="229"/>
      <c r="H26" s="229"/>
      <c r="I26" s="229"/>
      <c r="J26" s="229"/>
      <c r="K26" s="229"/>
      <c r="L26" s="238" t="e">
        <f t="shared" si="2"/>
        <v>#REF!</v>
      </c>
      <c r="M26" s="877"/>
    </row>
    <row r="27" spans="1:20" ht="38.25" x14ac:dyDescent="0.2">
      <c r="A27" s="862"/>
      <c r="B27" s="876"/>
      <c r="C27" s="42">
        <v>2</v>
      </c>
      <c r="D27" s="223" t="s">
        <v>161</v>
      </c>
      <c r="E27" s="868"/>
      <c r="F27" s="850"/>
      <c r="G27" s="850"/>
      <c r="H27" s="850"/>
      <c r="I27" s="850"/>
      <c r="J27" s="850"/>
      <c r="K27" s="850"/>
      <c r="L27" s="850"/>
      <c r="M27" s="877"/>
    </row>
    <row r="28" spans="1:20" ht="51" x14ac:dyDescent="0.2">
      <c r="A28" s="862"/>
      <c r="B28" s="876"/>
      <c r="C28" s="210">
        <v>2.1</v>
      </c>
      <c r="D28" s="220" t="s">
        <v>162</v>
      </c>
      <c r="E28" s="868"/>
      <c r="F28" s="228" t="e">
        <f>#REF!+#REF!*5</f>
        <v>#REF!</v>
      </c>
      <c r="G28" s="229"/>
      <c r="H28" s="229"/>
      <c r="I28" s="229"/>
      <c r="J28" s="229"/>
      <c r="K28" s="229"/>
      <c r="L28" s="238" t="e">
        <f>SUM(F28:K28)</f>
        <v>#REF!</v>
      </c>
      <c r="M28" s="877"/>
    </row>
    <row r="29" spans="1:20" ht="38.25" x14ac:dyDescent="0.2">
      <c r="A29" s="862"/>
      <c r="B29" s="876"/>
      <c r="C29" s="210">
        <v>2.2000000000000002</v>
      </c>
      <c r="D29" s="220" t="s">
        <v>177</v>
      </c>
      <c r="E29" s="868"/>
      <c r="F29" s="228" t="e">
        <f>#REF!+#REF!*5</f>
        <v>#REF!</v>
      </c>
      <c r="G29" s="229"/>
      <c r="H29" s="229"/>
      <c r="I29" s="229"/>
      <c r="J29" s="229"/>
      <c r="K29" s="229" t="e">
        <f>#REF!</f>
        <v>#REF!</v>
      </c>
      <c r="L29" s="238" t="e">
        <f t="shared" ref="L29:L31" si="3">SUM(F29:K29)</f>
        <v>#REF!</v>
      </c>
      <c r="M29" s="877"/>
    </row>
    <row r="30" spans="1:20" ht="51" x14ac:dyDescent="0.2">
      <c r="A30" s="862"/>
      <c r="B30" s="876"/>
      <c r="C30" s="210">
        <v>2.2999999999999998</v>
      </c>
      <c r="D30" s="220" t="s">
        <v>163</v>
      </c>
      <c r="E30" s="868"/>
      <c r="F30" s="228" t="e">
        <f>#REF!*3</f>
        <v>#REF!</v>
      </c>
      <c r="G30" s="229" t="e">
        <f>#REF!*3</f>
        <v>#REF!</v>
      </c>
      <c r="H30" s="229"/>
      <c r="I30" s="229"/>
      <c r="J30" s="229"/>
      <c r="K30" s="229"/>
      <c r="L30" s="238" t="e">
        <f t="shared" si="3"/>
        <v>#REF!</v>
      </c>
      <c r="M30" s="877"/>
    </row>
    <row r="31" spans="1:20" ht="30" customHeight="1" x14ac:dyDescent="0.2">
      <c r="A31" s="862"/>
      <c r="B31" s="876"/>
      <c r="C31" s="210">
        <v>2.4</v>
      </c>
      <c r="D31" s="220" t="s">
        <v>164</v>
      </c>
      <c r="E31" s="868"/>
      <c r="F31" s="228" t="e">
        <f>#REF!+#REF!*5</f>
        <v>#REF!</v>
      </c>
      <c r="G31" s="229"/>
      <c r="H31" s="229" t="e">
        <f>#REF!*5</f>
        <v>#REF!</v>
      </c>
      <c r="I31" s="229"/>
      <c r="J31" s="229"/>
      <c r="K31" s="229" t="e">
        <f>#REF!</f>
        <v>#REF!</v>
      </c>
      <c r="L31" s="238" t="e">
        <f t="shared" si="3"/>
        <v>#REF!</v>
      </c>
      <c r="M31" s="877"/>
    </row>
    <row r="32" spans="1:20" ht="50.45" customHeight="1" x14ac:dyDescent="0.2">
      <c r="A32" s="862"/>
      <c r="B32" s="876"/>
      <c r="C32" s="42">
        <v>3</v>
      </c>
      <c r="D32" s="223" t="s">
        <v>171</v>
      </c>
      <c r="E32" s="868"/>
      <c r="F32" s="850"/>
      <c r="G32" s="850"/>
      <c r="H32" s="850"/>
      <c r="I32" s="850"/>
      <c r="J32" s="850"/>
      <c r="K32" s="850"/>
      <c r="L32" s="850"/>
      <c r="M32" s="877"/>
    </row>
    <row r="33" spans="1:13" ht="38.25" x14ac:dyDescent="0.2">
      <c r="A33" s="862"/>
      <c r="B33" s="876"/>
      <c r="C33" s="210">
        <v>3.1</v>
      </c>
      <c r="D33" s="220" t="s">
        <v>166</v>
      </c>
      <c r="E33" s="868"/>
      <c r="F33" s="228" t="e">
        <f>#REF!+#REF!*5</f>
        <v>#REF!</v>
      </c>
      <c r="G33" s="229" t="e">
        <f>#REF!*2</f>
        <v>#REF!</v>
      </c>
      <c r="H33" s="229"/>
      <c r="I33" s="229"/>
      <c r="J33" s="229"/>
      <c r="K33" s="229"/>
      <c r="L33" s="238" t="e">
        <f>SUM(F33:K33)</f>
        <v>#REF!</v>
      </c>
      <c r="M33" s="877"/>
    </row>
    <row r="34" spans="1:13" ht="30" customHeight="1" x14ac:dyDescent="0.2">
      <c r="A34" s="862"/>
      <c r="B34" s="876"/>
      <c r="C34" s="210">
        <v>3.2</v>
      </c>
      <c r="D34" s="220" t="s">
        <v>167</v>
      </c>
      <c r="E34" s="868"/>
      <c r="F34" s="228" t="e">
        <f>#REF!*5</f>
        <v>#REF!</v>
      </c>
      <c r="G34" s="229"/>
      <c r="H34" s="229"/>
      <c r="I34" s="229"/>
      <c r="J34" s="229"/>
      <c r="K34" s="229"/>
      <c r="L34" s="238" t="e">
        <f t="shared" ref="L34:L38" si="4">SUM(F34:K34)</f>
        <v>#REF!</v>
      </c>
      <c r="M34" s="877"/>
    </row>
    <row r="35" spans="1:13" ht="89.25" x14ac:dyDescent="0.2">
      <c r="A35" s="862"/>
      <c r="B35" s="876"/>
      <c r="C35" s="210">
        <v>3.3</v>
      </c>
      <c r="D35" s="220" t="s">
        <v>178</v>
      </c>
      <c r="E35" s="868"/>
      <c r="F35" s="228" t="e">
        <f>#REF!*5</f>
        <v>#REF!</v>
      </c>
      <c r="G35" s="229"/>
      <c r="H35" s="229"/>
      <c r="I35" s="229"/>
      <c r="J35" s="229"/>
      <c r="K35" s="229"/>
      <c r="L35" s="238" t="e">
        <f t="shared" si="4"/>
        <v>#REF!</v>
      </c>
      <c r="M35" s="877"/>
    </row>
    <row r="36" spans="1:13" ht="25.5" x14ac:dyDescent="0.2">
      <c r="A36" s="862"/>
      <c r="B36" s="876"/>
      <c r="C36" s="210">
        <v>3.4</v>
      </c>
      <c r="D36" s="220" t="s">
        <v>168</v>
      </c>
      <c r="E36" s="868"/>
      <c r="F36" s="228" t="e">
        <f>#REF!*5</f>
        <v>#REF!</v>
      </c>
      <c r="G36" s="229"/>
      <c r="H36" s="229" t="e">
        <f>#REF!*4</f>
        <v>#REF!</v>
      </c>
      <c r="I36" s="229"/>
      <c r="J36" s="229"/>
      <c r="K36" s="229"/>
      <c r="L36" s="238" t="e">
        <f t="shared" si="4"/>
        <v>#REF!</v>
      </c>
      <c r="M36" s="877"/>
    </row>
    <row r="37" spans="1:13" ht="38.25" x14ac:dyDescent="0.2">
      <c r="A37" s="862"/>
      <c r="B37" s="876"/>
      <c r="C37" s="42">
        <v>4</v>
      </c>
      <c r="D37" s="223" t="s">
        <v>169</v>
      </c>
      <c r="E37" s="868"/>
      <c r="F37" s="228" t="e">
        <f>#REF!+#REF!*5</f>
        <v>#REF!</v>
      </c>
      <c r="G37" s="229"/>
      <c r="H37" s="229"/>
      <c r="I37" s="229"/>
      <c r="J37" s="229"/>
      <c r="K37" s="229" t="e">
        <f>#REF!*4</f>
        <v>#REF!</v>
      </c>
      <c r="L37" s="238" t="e">
        <f t="shared" si="4"/>
        <v>#REF!</v>
      </c>
      <c r="M37" s="877"/>
    </row>
    <row r="38" spans="1:13" ht="30" customHeight="1" thickBot="1" x14ac:dyDescent="0.25">
      <c r="A38" s="862"/>
      <c r="B38" s="860"/>
      <c r="C38" s="243">
        <v>5</v>
      </c>
      <c r="D38" s="224" t="s">
        <v>184</v>
      </c>
      <c r="E38" s="869"/>
      <c r="F38" s="230" t="e">
        <f>#REF!+#REF!+#REF!*3+#REF!</f>
        <v>#REF!</v>
      </c>
      <c r="G38" s="231"/>
      <c r="H38" s="231"/>
      <c r="I38" s="231"/>
      <c r="J38" s="231"/>
      <c r="K38" s="231"/>
      <c r="L38" s="239" t="e">
        <f t="shared" si="4"/>
        <v>#REF!</v>
      </c>
      <c r="M38" s="878"/>
    </row>
    <row r="39" spans="1:13" ht="30" customHeight="1" x14ac:dyDescent="0.2">
      <c r="A39" s="862"/>
      <c r="B39" s="859" t="s">
        <v>143</v>
      </c>
      <c r="C39" s="211">
        <v>1</v>
      </c>
      <c r="D39" s="219" t="s">
        <v>144</v>
      </c>
      <c r="E39" s="864">
        <v>2</v>
      </c>
      <c r="F39" s="226" t="e">
        <f>#REF!+#REF!*2</f>
        <v>#REF!</v>
      </c>
      <c r="G39" s="227" t="e">
        <f>#REF!*4*2</f>
        <v>#REF!</v>
      </c>
      <c r="H39" s="227"/>
      <c r="I39" s="227" t="e">
        <f>#REF!*2</f>
        <v>#REF!</v>
      </c>
      <c r="J39" s="227" t="e">
        <f>#REF!</f>
        <v>#REF!</v>
      </c>
      <c r="K39" s="227" t="e">
        <f>#REF!</f>
        <v>#REF!</v>
      </c>
      <c r="L39" s="237" t="e">
        <f>SUM(F39:K39)</f>
        <v>#REF!</v>
      </c>
      <c r="M39" s="856" t="e">
        <f>SUM(L39:L40)</f>
        <v>#REF!</v>
      </c>
    </row>
    <row r="40" spans="1:13" ht="30" customHeight="1" thickBot="1" x14ac:dyDescent="0.25">
      <c r="A40" s="862"/>
      <c r="B40" s="860"/>
      <c r="C40" s="215">
        <v>2</v>
      </c>
      <c r="D40" s="221" t="s">
        <v>145</v>
      </c>
      <c r="E40" s="866"/>
      <c r="F40" s="230" t="e">
        <f>#REF!+#REF!*2</f>
        <v>#REF!</v>
      </c>
      <c r="G40" s="231" t="e">
        <f>#REF!*4*2</f>
        <v>#REF!</v>
      </c>
      <c r="H40" s="231"/>
      <c r="I40" s="231" t="e">
        <f>#REF!*2</f>
        <v>#REF!</v>
      </c>
      <c r="J40" s="231" t="e">
        <f>#REF!</f>
        <v>#REF!</v>
      </c>
      <c r="K40" s="231" t="e">
        <f>#REF!</f>
        <v>#REF!</v>
      </c>
      <c r="L40" s="239" t="e">
        <f>SUM(F40:K40)</f>
        <v>#REF!</v>
      </c>
      <c r="M40" s="858"/>
    </row>
    <row r="41" spans="1:13" ht="57.6" customHeight="1" thickBot="1" x14ac:dyDescent="0.25">
      <c r="A41" s="863"/>
      <c r="B41" s="206" t="s">
        <v>146</v>
      </c>
      <c r="C41" s="288">
        <v>1</v>
      </c>
      <c r="D41" s="289" t="s">
        <v>147</v>
      </c>
      <c r="E41" s="290">
        <v>2</v>
      </c>
      <c r="F41" s="291" t="e">
        <f>#REF!*2</f>
        <v>#REF!</v>
      </c>
      <c r="G41" s="292" t="e">
        <f>#REF!*2</f>
        <v>#REF!</v>
      </c>
      <c r="H41" s="292"/>
      <c r="I41" s="292"/>
      <c r="J41" s="292"/>
      <c r="K41" s="292" t="e">
        <f>#REF!</f>
        <v>#REF!</v>
      </c>
      <c r="L41" s="293" t="e">
        <f>SUM(F41:K41)</f>
        <v>#REF!</v>
      </c>
      <c r="M41" s="294" t="e">
        <f>SUM(L41)</f>
        <v>#REF!</v>
      </c>
    </row>
    <row r="42" spans="1:13" ht="14.45" customHeight="1" thickBot="1" x14ac:dyDescent="0.25">
      <c r="A42" s="212"/>
      <c r="B42" s="212"/>
      <c r="C42" s="212"/>
      <c r="D42" s="212"/>
      <c r="E42" s="205">
        <f>SUM(E5:E41)</f>
        <v>15</v>
      </c>
      <c r="F42" s="234" t="e">
        <f>SUM(F5:F41)</f>
        <v>#REF!</v>
      </c>
      <c r="G42" s="235" t="e">
        <f>SUM(G5:G41)</f>
        <v>#REF!</v>
      </c>
      <c r="H42" s="235" t="e">
        <f>SUM(H5:H41)</f>
        <v>#REF!</v>
      </c>
      <c r="I42" s="235" t="e">
        <f t="shared" ref="I42:K42" si="5">SUM(I5:I41)</f>
        <v>#REF!</v>
      </c>
      <c r="J42" s="235" t="e">
        <f t="shared" si="5"/>
        <v>#REF!</v>
      </c>
      <c r="K42" s="236" t="e">
        <f t="shared" si="5"/>
        <v>#REF!</v>
      </c>
      <c r="L42" s="214"/>
      <c r="M42" s="242" t="e">
        <f>SUM(M5:M41)</f>
        <v>#REF!</v>
      </c>
    </row>
    <row r="43" spans="1:13" ht="14.45" customHeight="1" x14ac:dyDescent="0.2">
      <c r="A43" s="212"/>
      <c r="B43" s="212"/>
      <c r="C43" s="212"/>
      <c r="D43" s="212"/>
      <c r="E43" s="212"/>
      <c r="F43" s="212"/>
      <c r="G43" s="212"/>
      <c r="H43" s="212"/>
      <c r="I43" s="212"/>
      <c r="J43" s="212"/>
      <c r="K43" s="212"/>
    </row>
    <row r="44" spans="1:13" ht="18" customHeight="1" x14ac:dyDescent="0.2">
      <c r="A44" s="212"/>
      <c r="B44" s="212"/>
      <c r="C44" s="212"/>
      <c r="D44" s="212"/>
      <c r="E44" s="212"/>
      <c r="F44" s="212"/>
      <c r="G44" s="212"/>
      <c r="H44" s="212"/>
      <c r="I44" s="212"/>
      <c r="J44" s="212"/>
      <c r="K44" s="212"/>
      <c r="M44" s="216" t="e">
        <f>SUM(F42:K42)</f>
        <v>#REF!</v>
      </c>
    </row>
    <row r="45" spans="1:13" ht="18" customHeight="1" x14ac:dyDescent="0.2">
      <c r="A45" s="212"/>
      <c r="B45" s="212"/>
      <c r="C45" s="212"/>
      <c r="D45" s="212"/>
      <c r="E45" s="212"/>
      <c r="F45" s="212"/>
      <c r="G45" s="212"/>
      <c r="H45" s="212"/>
      <c r="I45" s="212"/>
      <c r="J45" s="212"/>
      <c r="K45" s="212"/>
    </row>
    <row r="46" spans="1:13" ht="14.45" customHeight="1" x14ac:dyDescent="0.2">
      <c r="A46" s="212"/>
      <c r="B46" s="212"/>
      <c r="C46" s="212"/>
      <c r="D46" s="212"/>
      <c r="E46" s="212"/>
      <c r="F46" s="212"/>
      <c r="G46" s="212"/>
      <c r="H46" s="212"/>
      <c r="I46" s="212"/>
      <c r="J46" s="212"/>
      <c r="K46" s="212"/>
    </row>
    <row r="47" spans="1:13" ht="14.45" customHeight="1" x14ac:dyDescent="0.2">
      <c r="A47" s="212"/>
      <c r="B47" s="212"/>
      <c r="C47" s="212"/>
      <c r="D47" s="212"/>
      <c r="E47" s="212"/>
      <c r="F47" s="212"/>
      <c r="G47" s="212"/>
      <c r="H47" s="212"/>
      <c r="I47" s="212"/>
      <c r="J47" s="212"/>
      <c r="K47" s="212"/>
    </row>
    <row r="48" spans="1:13" ht="18.75" customHeight="1" x14ac:dyDescent="0.2">
      <c r="A48" s="212"/>
      <c r="B48" s="212"/>
      <c r="C48" s="212"/>
      <c r="D48" s="212"/>
      <c r="E48" s="212"/>
      <c r="F48" s="212"/>
      <c r="G48" s="212"/>
      <c r="H48" s="212"/>
      <c r="I48" s="212"/>
      <c r="J48" s="212"/>
      <c r="K48" s="212"/>
    </row>
    <row r="49" spans="1:12" s="213" customFormat="1" ht="18.75" customHeight="1" x14ac:dyDescent="0.2">
      <c r="A49" s="212"/>
      <c r="B49" s="212"/>
      <c r="C49" s="212"/>
      <c r="D49" s="212"/>
      <c r="E49" s="212"/>
      <c r="F49" s="212"/>
      <c r="G49" s="212"/>
      <c r="H49" s="212"/>
      <c r="I49" s="212"/>
      <c r="J49" s="212"/>
      <c r="K49" s="212"/>
      <c r="L49" s="204"/>
    </row>
    <row r="50" spans="1:12" s="213" customFormat="1" ht="14.45" customHeight="1" x14ac:dyDescent="0.2">
      <c r="A50" s="212"/>
      <c r="B50" s="212"/>
      <c r="C50" s="212"/>
      <c r="D50" s="212"/>
      <c r="E50" s="212"/>
      <c r="F50" s="212"/>
      <c r="G50" s="212"/>
      <c r="H50" s="212"/>
      <c r="I50" s="212"/>
      <c r="J50" s="212"/>
      <c r="K50" s="212"/>
      <c r="L50" s="204"/>
    </row>
    <row r="51" spans="1:12" s="213" customFormat="1" ht="14.45" customHeight="1" x14ac:dyDescent="0.2">
      <c r="A51" s="212"/>
      <c r="B51" s="212"/>
      <c r="C51" s="212"/>
      <c r="D51" s="212"/>
      <c r="E51" s="212"/>
      <c r="F51" s="212"/>
      <c r="G51" s="212"/>
      <c r="H51" s="212"/>
      <c r="I51" s="212"/>
      <c r="J51" s="212"/>
      <c r="K51" s="212"/>
      <c r="L51" s="204"/>
    </row>
    <row r="52" spans="1:12" s="213" customFormat="1" ht="14.45" customHeight="1" x14ac:dyDescent="0.2">
      <c r="A52" s="212"/>
      <c r="B52" s="212"/>
      <c r="C52" s="212"/>
      <c r="D52" s="212"/>
      <c r="E52" s="212"/>
      <c r="F52" s="212"/>
      <c r="G52" s="212"/>
      <c r="H52" s="212"/>
      <c r="I52" s="212"/>
      <c r="J52" s="212"/>
      <c r="K52" s="212"/>
      <c r="L52" s="204"/>
    </row>
    <row r="53" spans="1:12" s="213" customFormat="1" ht="14.45" customHeight="1" x14ac:dyDescent="0.2">
      <c r="A53" s="212"/>
      <c r="B53" s="212"/>
      <c r="C53" s="212"/>
      <c r="D53" s="212"/>
      <c r="E53" s="212"/>
      <c r="F53" s="212"/>
      <c r="G53" s="212"/>
      <c r="H53" s="212"/>
      <c r="I53" s="212"/>
      <c r="J53" s="212"/>
      <c r="K53" s="212"/>
      <c r="L53" s="204"/>
    </row>
    <row r="54" spans="1:12" s="213" customFormat="1" ht="14.45" customHeight="1" x14ac:dyDescent="0.2">
      <c r="A54" s="212"/>
      <c r="B54" s="212"/>
      <c r="C54" s="212"/>
      <c r="D54" s="212"/>
      <c r="E54" s="212"/>
      <c r="F54" s="212"/>
      <c r="G54" s="212"/>
      <c r="H54" s="212"/>
      <c r="I54" s="212"/>
      <c r="J54" s="212"/>
      <c r="K54" s="212"/>
      <c r="L54" s="204"/>
    </row>
    <row r="55" spans="1:12" s="213" customFormat="1" ht="14.45" customHeight="1" x14ac:dyDescent="0.2">
      <c r="A55" s="212"/>
      <c r="B55" s="212"/>
      <c r="C55" s="212"/>
      <c r="D55" s="212"/>
      <c r="E55" s="212"/>
      <c r="F55" s="212"/>
      <c r="G55" s="212"/>
      <c r="H55" s="212"/>
      <c r="I55" s="212"/>
      <c r="J55" s="212"/>
      <c r="K55" s="212"/>
      <c r="L55" s="204"/>
    </row>
    <row r="56" spans="1:12" s="213" customFormat="1" ht="14.45" customHeight="1" x14ac:dyDescent="0.2">
      <c r="A56" s="212"/>
      <c r="B56" s="212"/>
      <c r="C56" s="212"/>
      <c r="D56" s="212"/>
      <c r="E56" s="212"/>
      <c r="F56" s="212"/>
      <c r="G56" s="212"/>
      <c r="H56" s="212"/>
      <c r="I56" s="212"/>
      <c r="J56" s="212"/>
      <c r="K56" s="212"/>
      <c r="L56" s="204"/>
    </row>
    <row r="57" spans="1:12" s="213" customFormat="1" ht="14.45" customHeight="1" x14ac:dyDescent="0.2">
      <c r="A57" s="212"/>
      <c r="B57" s="212"/>
      <c r="C57" s="212"/>
      <c r="D57" s="212"/>
      <c r="E57" s="212"/>
      <c r="F57" s="212"/>
      <c r="G57" s="212"/>
      <c r="H57" s="212"/>
      <c r="I57" s="212"/>
      <c r="J57" s="212"/>
      <c r="K57" s="212"/>
      <c r="L57" s="204"/>
    </row>
    <row r="58" spans="1:12" s="213" customFormat="1" ht="14.45" customHeight="1" x14ac:dyDescent="0.2">
      <c r="A58" s="212"/>
      <c r="B58" s="212"/>
      <c r="C58" s="212"/>
      <c r="D58" s="212"/>
      <c r="E58" s="212"/>
      <c r="F58" s="212"/>
      <c r="G58" s="212"/>
      <c r="H58" s="212"/>
      <c r="I58" s="212"/>
      <c r="J58" s="212"/>
      <c r="K58" s="212"/>
      <c r="L58" s="204"/>
    </row>
    <row r="59" spans="1:12" s="213" customFormat="1" ht="14.45" customHeight="1" x14ac:dyDescent="0.2">
      <c r="A59" s="212"/>
      <c r="B59" s="212"/>
      <c r="C59" s="212"/>
      <c r="D59" s="212"/>
      <c r="E59" s="212"/>
      <c r="F59" s="212"/>
      <c r="G59" s="212"/>
      <c r="H59" s="212"/>
      <c r="I59" s="212"/>
      <c r="J59" s="212"/>
      <c r="K59" s="212"/>
      <c r="L59" s="204"/>
    </row>
    <row r="60" spans="1:12" s="213" customFormat="1" ht="14.45" customHeight="1" x14ac:dyDescent="0.2">
      <c r="A60" s="212"/>
      <c r="B60" s="212"/>
      <c r="C60" s="212"/>
      <c r="D60" s="212"/>
      <c r="E60" s="212"/>
      <c r="F60" s="212"/>
      <c r="G60" s="212"/>
      <c r="H60" s="212"/>
      <c r="I60" s="212"/>
      <c r="J60" s="212"/>
      <c r="K60" s="212"/>
      <c r="L60" s="204"/>
    </row>
    <row r="61" spans="1:12" s="213" customFormat="1" ht="14.45" customHeight="1" x14ac:dyDescent="0.2">
      <c r="A61" s="212"/>
      <c r="B61" s="212"/>
      <c r="C61" s="212"/>
      <c r="D61" s="212"/>
      <c r="E61" s="212"/>
      <c r="F61" s="212"/>
      <c r="G61" s="212"/>
      <c r="H61" s="212"/>
      <c r="I61" s="212"/>
      <c r="J61" s="212"/>
      <c r="K61" s="212"/>
      <c r="L61" s="204"/>
    </row>
    <row r="62" spans="1:12" s="213" customFormat="1" ht="14.45" customHeight="1" x14ac:dyDescent="0.2">
      <c r="A62" s="212"/>
      <c r="B62" s="212"/>
      <c r="C62" s="212"/>
      <c r="D62" s="212"/>
      <c r="E62" s="212"/>
      <c r="F62" s="212"/>
      <c r="G62" s="212"/>
      <c r="H62" s="212"/>
      <c r="I62" s="212"/>
      <c r="J62" s="212"/>
      <c r="K62" s="212"/>
      <c r="L62" s="204"/>
    </row>
    <row r="63" spans="1:12" s="213" customFormat="1" ht="15" customHeight="1" x14ac:dyDescent="0.2">
      <c r="A63" s="212"/>
      <c r="B63" s="212"/>
      <c r="C63" s="212"/>
      <c r="D63" s="212"/>
      <c r="E63" s="212"/>
      <c r="F63" s="212"/>
      <c r="G63" s="212"/>
      <c r="H63" s="212"/>
      <c r="I63" s="212"/>
      <c r="J63" s="212"/>
      <c r="K63" s="212"/>
      <c r="L63" s="204"/>
    </row>
  </sheetData>
  <mergeCells count="18">
    <mergeCell ref="F32:L32"/>
    <mergeCell ref="B39:B40"/>
    <mergeCell ref="E39:E40"/>
    <mergeCell ref="M39:M40"/>
    <mergeCell ref="A1:M1"/>
    <mergeCell ref="A2:L2"/>
    <mergeCell ref="A5:A41"/>
    <mergeCell ref="B5:B9"/>
    <mergeCell ref="E5:E9"/>
    <mergeCell ref="M5:M9"/>
    <mergeCell ref="B10:B20"/>
    <mergeCell ref="E10:E20"/>
    <mergeCell ref="M10:M20"/>
    <mergeCell ref="B21:B38"/>
    <mergeCell ref="E21:E38"/>
    <mergeCell ref="F21:L21"/>
    <mergeCell ref="M21:M38"/>
    <mergeCell ref="F27:L27"/>
  </mergeCells>
  <printOptions horizontalCentered="1" verticalCentered="1"/>
  <pageMargins left="0.19685039370078741" right="0.27559055118110237" top="0.55118110236220474" bottom="0.35433070866141736" header="0.31496062992125984" footer="0.31496062992125984"/>
  <pageSetup paperSize="5" scale="6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J69"/>
  <sheetViews>
    <sheetView topLeftCell="B1" workbookViewId="0">
      <selection activeCell="H54" sqref="H54"/>
    </sheetView>
  </sheetViews>
  <sheetFormatPr baseColWidth="10" defaultColWidth="10.85546875" defaultRowHeight="15" x14ac:dyDescent="0.25"/>
  <cols>
    <col min="1" max="1" width="2.85546875" style="58" customWidth="1"/>
    <col min="2" max="2" width="6.28515625" style="60" bestFit="1" customWidth="1"/>
    <col min="3" max="3" width="47.7109375" style="58" customWidth="1"/>
    <col min="4" max="4" width="13.7109375" style="57" customWidth="1"/>
    <col min="5" max="6" width="11" style="57" customWidth="1"/>
    <col min="7" max="27" width="6" style="58" customWidth="1"/>
    <col min="28" max="36" width="5.85546875" style="58" customWidth="1"/>
    <col min="37" max="16384" width="10.85546875" style="58"/>
  </cols>
  <sheetData>
    <row r="1" spans="1:36" x14ac:dyDescent="0.25">
      <c r="A1" s="56" t="s">
        <v>129</v>
      </c>
      <c r="B1" s="56"/>
      <c r="C1" s="56"/>
    </row>
    <row r="2" spans="1:36" x14ac:dyDescent="0.25">
      <c r="A2" s="56" t="s">
        <v>130</v>
      </c>
      <c r="B2" s="56"/>
    </row>
    <row r="3" spans="1:36" ht="12.75" customHeight="1" x14ac:dyDescent="0.25">
      <c r="A3" s="56" t="str">
        <f>'PRESUPUESTO FINAL (3)'!A2:K2</f>
        <v>PROYECTO: FORTALECIMIENTO DEL ORDENAMIENTO TERRITORIAL PARA LA CONSTRUCCION DE VISION REGIONAL EN EL DEPARTAMENTO DEL HUILA</v>
      </c>
      <c r="B3" s="59"/>
      <c r="C3" s="59"/>
      <c r="D3" s="59"/>
      <c r="E3" s="59"/>
      <c r="F3" s="59"/>
    </row>
    <row r="4" spans="1:36" x14ac:dyDescent="0.25">
      <c r="C4" s="57"/>
    </row>
    <row r="5" spans="1:36" ht="24" thickBot="1" x14ac:dyDescent="0.3">
      <c r="A5" s="61"/>
      <c r="B5" s="62"/>
      <c r="C5" s="1401" t="s">
        <v>131</v>
      </c>
      <c r="D5" s="1401"/>
      <c r="E5" s="1401"/>
      <c r="F5" s="1401"/>
      <c r="I5" s="1402">
        <f>'PRESUPUESTO FINAL (3)'!A3</f>
        <v>0</v>
      </c>
      <c r="J5" s="1402"/>
      <c r="K5" s="1402"/>
      <c r="L5" s="1402"/>
      <c r="M5" s="1402"/>
      <c r="N5" s="1402"/>
    </row>
    <row r="6" spans="1:36" ht="27.75" customHeight="1" thickBot="1" x14ac:dyDescent="0.3">
      <c r="A6" s="63"/>
      <c r="B6" s="1403" t="s">
        <v>53</v>
      </c>
      <c r="C6" s="1405" t="s">
        <v>26</v>
      </c>
      <c r="D6" s="1407" t="s">
        <v>76</v>
      </c>
      <c r="E6" s="1407" t="s">
        <v>77</v>
      </c>
      <c r="F6" s="1409" t="s">
        <v>78</v>
      </c>
      <c r="G6" s="1395" t="s">
        <v>123</v>
      </c>
      <c r="H6" s="1396"/>
      <c r="I6" s="1396"/>
      <c r="J6" s="1396"/>
      <c r="K6" s="1396"/>
      <c r="L6" s="1395" t="s">
        <v>124</v>
      </c>
      <c r="M6" s="1396"/>
      <c r="N6" s="1396"/>
      <c r="O6" s="1396"/>
      <c r="P6" s="1396"/>
      <c r="Q6" s="1395" t="s">
        <v>125</v>
      </c>
      <c r="R6" s="1396"/>
      <c r="S6" s="1396"/>
      <c r="T6" s="1396"/>
      <c r="U6" s="1396"/>
      <c r="V6" s="1395" t="s">
        <v>126</v>
      </c>
      <c r="W6" s="1396"/>
      <c r="X6" s="1396"/>
      <c r="Y6" s="1396"/>
      <c r="Z6" s="1396"/>
      <c r="AA6" s="1395" t="s">
        <v>127</v>
      </c>
      <c r="AB6" s="1396"/>
      <c r="AC6" s="1396"/>
      <c r="AD6" s="1396"/>
      <c r="AE6" s="1396"/>
      <c r="AF6" s="1395" t="s">
        <v>128</v>
      </c>
      <c r="AG6" s="1396"/>
      <c r="AH6" s="1396"/>
      <c r="AI6" s="1396"/>
      <c r="AJ6" s="1396"/>
    </row>
    <row r="7" spans="1:36" s="55" customFormat="1" ht="15.75" thickBot="1" x14ac:dyDescent="0.3">
      <c r="A7" s="60"/>
      <c r="B7" s="1404"/>
      <c r="C7" s="1406"/>
      <c r="D7" s="1408"/>
      <c r="E7" s="1408"/>
      <c r="F7" s="1410"/>
      <c r="G7" s="64" t="s">
        <v>79</v>
      </c>
      <c r="H7" s="64" t="s">
        <v>80</v>
      </c>
      <c r="I7" s="64" t="s">
        <v>81</v>
      </c>
      <c r="J7" s="64" t="s">
        <v>82</v>
      </c>
      <c r="K7" s="64" t="s">
        <v>83</v>
      </c>
      <c r="L7" s="64" t="s">
        <v>84</v>
      </c>
      <c r="M7" s="64" t="s">
        <v>85</v>
      </c>
      <c r="N7" s="64" t="s">
        <v>86</v>
      </c>
      <c r="O7" s="64" t="s">
        <v>87</v>
      </c>
      <c r="P7" s="116" t="s">
        <v>88</v>
      </c>
      <c r="Q7" s="64" t="s">
        <v>89</v>
      </c>
      <c r="R7" s="64" t="s">
        <v>90</v>
      </c>
      <c r="S7" s="64" t="s">
        <v>91</v>
      </c>
      <c r="T7" s="64" t="s">
        <v>92</v>
      </c>
      <c r="U7" s="116" t="s">
        <v>93</v>
      </c>
      <c r="V7" s="113" t="s">
        <v>94</v>
      </c>
      <c r="W7" s="64" t="s">
        <v>95</v>
      </c>
      <c r="X7" s="64" t="s">
        <v>96</v>
      </c>
      <c r="Y7" s="64" t="s">
        <v>97</v>
      </c>
      <c r="Z7" s="64" t="s">
        <v>98</v>
      </c>
      <c r="AA7" s="64" t="s">
        <v>99</v>
      </c>
      <c r="AB7" s="64" t="s">
        <v>100</v>
      </c>
      <c r="AC7" s="64" t="s">
        <v>101</v>
      </c>
      <c r="AD7" s="64" t="s">
        <v>102</v>
      </c>
      <c r="AE7" s="64" t="s">
        <v>103</v>
      </c>
      <c r="AF7" s="64" t="s">
        <v>104</v>
      </c>
      <c r="AG7" s="64" t="s">
        <v>105</v>
      </c>
      <c r="AH7" s="64" t="s">
        <v>106</v>
      </c>
      <c r="AI7" s="64" t="s">
        <v>107</v>
      </c>
      <c r="AJ7" s="116" t="s">
        <v>108</v>
      </c>
    </row>
    <row r="8" spans="1:36" x14ac:dyDescent="0.25">
      <c r="A8" s="60"/>
      <c r="B8" s="1397">
        <f>'[5]PPTO GENERAL PIGOANZA'!B7</f>
        <v>1</v>
      </c>
      <c r="C8" s="94"/>
      <c r="D8" s="137"/>
      <c r="E8" s="138"/>
      <c r="F8" s="139"/>
      <c r="G8" s="141"/>
      <c r="H8" s="140"/>
      <c r="I8" s="140"/>
      <c r="J8" s="140"/>
      <c r="K8" s="142"/>
      <c r="L8" s="146"/>
      <c r="M8" s="140"/>
      <c r="N8" s="140"/>
      <c r="O8" s="140"/>
      <c r="P8" s="142"/>
      <c r="Q8" s="141"/>
      <c r="R8" s="140"/>
      <c r="S8" s="105"/>
      <c r="T8" s="105"/>
      <c r="U8" s="127"/>
      <c r="V8" s="104"/>
      <c r="W8" s="105"/>
      <c r="X8" s="105"/>
      <c r="Y8" s="105"/>
      <c r="Z8" s="127"/>
      <c r="AA8" s="104"/>
      <c r="AB8" s="105"/>
      <c r="AC8" s="105"/>
      <c r="AD8" s="105"/>
      <c r="AE8" s="127"/>
      <c r="AF8" s="104"/>
      <c r="AG8" s="105"/>
      <c r="AH8" s="105"/>
      <c r="AI8" s="105"/>
      <c r="AJ8" s="127"/>
    </row>
    <row r="9" spans="1:36" x14ac:dyDescent="0.25">
      <c r="A9" s="56"/>
      <c r="B9" s="1387"/>
      <c r="C9" s="90" t="s">
        <v>75</v>
      </c>
      <c r="D9" s="143" t="e">
        <f>SUM('PRESUPUESTO FINAL (3)'!#REF!)*'FM (2)'!C12</f>
        <v>#REF!</v>
      </c>
      <c r="E9" s="66" t="e">
        <f>D9/$D$58</f>
        <v>#REF!</v>
      </c>
      <c r="F9" s="67" t="e">
        <f>E9</f>
        <v>#REF!</v>
      </c>
      <c r="G9" s="1398"/>
      <c r="H9" s="1399"/>
      <c r="I9" s="1399"/>
      <c r="J9" s="1399"/>
      <c r="K9" s="1400"/>
      <c r="L9" s="114"/>
      <c r="M9" s="69"/>
      <c r="N9" s="69"/>
      <c r="O9" s="69"/>
      <c r="P9" s="117"/>
      <c r="Q9" s="107"/>
      <c r="R9" s="69"/>
      <c r="S9" s="69"/>
      <c r="T9" s="69"/>
      <c r="U9" s="117"/>
      <c r="V9" s="107"/>
      <c r="W9" s="69"/>
      <c r="X9" s="69"/>
      <c r="Y9" s="69"/>
      <c r="Z9" s="117"/>
      <c r="AA9" s="107"/>
      <c r="AB9" s="69"/>
      <c r="AC9" s="69"/>
      <c r="AD9" s="69"/>
      <c r="AE9" s="117"/>
      <c r="AF9" s="120"/>
      <c r="AG9" s="69"/>
      <c r="AH9" s="69"/>
      <c r="AI9" s="69"/>
      <c r="AJ9" s="109"/>
    </row>
    <row r="10" spans="1:36" x14ac:dyDescent="0.25">
      <c r="A10" s="56"/>
      <c r="B10" s="1387"/>
      <c r="C10" s="84"/>
      <c r="D10" s="143"/>
      <c r="E10" s="66"/>
      <c r="F10" s="67"/>
      <c r="G10" s="120"/>
      <c r="H10" s="95"/>
      <c r="I10" s="69"/>
      <c r="J10" s="69"/>
      <c r="K10" s="117"/>
      <c r="L10" s="114"/>
      <c r="M10" s="69"/>
      <c r="N10" s="69"/>
      <c r="O10" s="69"/>
      <c r="P10" s="117"/>
      <c r="Q10" s="107"/>
      <c r="R10" s="69"/>
      <c r="S10" s="69"/>
      <c r="T10" s="69"/>
      <c r="U10" s="117"/>
      <c r="V10" s="107"/>
      <c r="W10" s="69"/>
      <c r="X10" s="69"/>
      <c r="Y10" s="69"/>
      <c r="Z10" s="117"/>
      <c r="AA10" s="107"/>
      <c r="AB10" s="69"/>
      <c r="AC10" s="69"/>
      <c r="AD10" s="69"/>
      <c r="AE10" s="117"/>
      <c r="AF10" s="120"/>
      <c r="AG10" s="69"/>
      <c r="AH10" s="69"/>
      <c r="AI10" s="69"/>
      <c r="AJ10" s="109"/>
    </row>
    <row r="11" spans="1:36" ht="16.350000000000001" customHeight="1" x14ac:dyDescent="0.25">
      <c r="A11" s="56"/>
      <c r="B11" s="1387"/>
      <c r="C11" s="85" t="s">
        <v>109</v>
      </c>
      <c r="D11" s="143"/>
      <c r="E11" s="66"/>
      <c r="F11" s="67"/>
      <c r="G11" s="118"/>
      <c r="H11" s="97"/>
      <c r="I11" s="69"/>
      <c r="J11" s="69"/>
      <c r="K11" s="109"/>
      <c r="L11" s="114"/>
      <c r="M11" s="69"/>
      <c r="N11" s="69"/>
      <c r="O11" s="95"/>
      <c r="P11" s="117"/>
      <c r="Q11" s="107"/>
      <c r="R11" s="69"/>
      <c r="S11" s="69"/>
      <c r="T11" s="69"/>
      <c r="U11" s="117"/>
      <c r="V11" s="107"/>
      <c r="W11" s="69"/>
      <c r="X11" s="69"/>
      <c r="Y11" s="69"/>
      <c r="Z11" s="117"/>
      <c r="AA11" s="107"/>
      <c r="AB11" s="69"/>
      <c r="AC11" s="69"/>
      <c r="AD11" s="69"/>
      <c r="AE11" s="117"/>
      <c r="AF11" s="120"/>
      <c r="AG11" s="69"/>
      <c r="AH11" s="69"/>
      <c r="AI11" s="69"/>
      <c r="AJ11" s="109"/>
    </row>
    <row r="12" spans="1:36" x14ac:dyDescent="0.25">
      <c r="A12" s="56"/>
      <c r="B12" s="1387"/>
      <c r="C12" s="85"/>
      <c r="D12" s="143"/>
      <c r="E12" s="66"/>
      <c r="F12" s="67"/>
      <c r="G12" s="107"/>
      <c r="H12" s="98"/>
      <c r="I12" s="69"/>
      <c r="J12" s="69"/>
      <c r="K12" s="117"/>
      <c r="L12" s="114"/>
      <c r="M12" s="69"/>
      <c r="N12" s="69"/>
      <c r="O12" s="69"/>
      <c r="P12" s="117"/>
      <c r="Q12" s="107"/>
      <c r="R12" s="69"/>
      <c r="S12" s="69"/>
      <c r="T12" s="69"/>
      <c r="U12" s="117"/>
      <c r="V12" s="107"/>
      <c r="W12" s="69"/>
      <c r="X12" s="69"/>
      <c r="Y12" s="69"/>
      <c r="Z12" s="117"/>
      <c r="AA12" s="107"/>
      <c r="AB12" s="69"/>
      <c r="AC12" s="69"/>
      <c r="AD12" s="69"/>
      <c r="AE12" s="117"/>
      <c r="AF12" s="120"/>
      <c r="AG12" s="69"/>
      <c r="AH12" s="69"/>
      <c r="AI12" s="69"/>
      <c r="AJ12" s="109"/>
    </row>
    <row r="13" spans="1:36" x14ac:dyDescent="0.25">
      <c r="A13" s="56"/>
      <c r="B13" s="1387"/>
      <c r="C13" s="85" t="s">
        <v>29</v>
      </c>
      <c r="D13" s="143"/>
      <c r="E13" s="66"/>
      <c r="F13" s="67"/>
      <c r="G13" s="120"/>
      <c r="H13" s="97"/>
      <c r="I13" s="97"/>
      <c r="J13" s="69"/>
      <c r="K13" s="109"/>
      <c r="L13" s="114"/>
      <c r="M13" s="69"/>
      <c r="N13" s="69"/>
      <c r="O13" s="95"/>
      <c r="P13" s="117"/>
      <c r="Q13" s="107"/>
      <c r="R13" s="69"/>
      <c r="S13" s="95"/>
      <c r="T13" s="69"/>
      <c r="U13" s="117"/>
      <c r="V13" s="107"/>
      <c r="W13" s="95"/>
      <c r="X13" s="69"/>
      <c r="Y13" s="69"/>
      <c r="Z13" s="117"/>
      <c r="AA13" s="107"/>
      <c r="AB13" s="69"/>
      <c r="AC13" s="69"/>
      <c r="AD13" s="69"/>
      <c r="AE13" s="117"/>
      <c r="AF13" s="120"/>
      <c r="AG13" s="69"/>
      <c r="AH13" s="69"/>
      <c r="AI13" s="69"/>
      <c r="AJ13" s="109"/>
    </row>
    <row r="14" spans="1:36" x14ac:dyDescent="0.25">
      <c r="A14" s="56"/>
      <c r="B14" s="1387"/>
      <c r="C14" s="85"/>
      <c r="D14" s="143"/>
      <c r="E14" s="66"/>
      <c r="F14" s="67"/>
      <c r="G14" s="107"/>
      <c r="H14" s="69"/>
      <c r="I14" s="69"/>
      <c r="J14" s="69"/>
      <c r="K14" s="117"/>
      <c r="L14" s="114"/>
      <c r="M14" s="69"/>
      <c r="N14" s="69"/>
      <c r="O14" s="69"/>
      <c r="P14" s="117"/>
      <c r="Q14" s="107"/>
      <c r="R14" s="69"/>
      <c r="S14" s="69"/>
      <c r="T14" s="69"/>
      <c r="U14" s="117"/>
      <c r="V14" s="107"/>
      <c r="W14" s="69"/>
      <c r="X14" s="69"/>
      <c r="Y14" s="69"/>
      <c r="Z14" s="117"/>
      <c r="AA14" s="107"/>
      <c r="AB14" s="69"/>
      <c r="AC14" s="69"/>
      <c r="AD14" s="69"/>
      <c r="AE14" s="117"/>
      <c r="AF14" s="120"/>
      <c r="AG14" s="69"/>
      <c r="AH14" s="69"/>
      <c r="AI14" s="69"/>
      <c r="AJ14" s="109"/>
    </row>
    <row r="15" spans="1:36" ht="25.5" x14ac:dyDescent="0.25">
      <c r="A15" s="56"/>
      <c r="B15" s="1387"/>
      <c r="C15" s="86" t="s">
        <v>110</v>
      </c>
      <c r="D15" s="143"/>
      <c r="E15" s="66"/>
      <c r="F15" s="67"/>
      <c r="G15" s="120"/>
      <c r="H15" s="97"/>
      <c r="I15" s="97"/>
      <c r="J15" s="69"/>
      <c r="K15" s="109"/>
      <c r="L15" s="114"/>
      <c r="M15" s="69"/>
      <c r="N15" s="69"/>
      <c r="O15" s="95"/>
      <c r="P15" s="117"/>
      <c r="Q15" s="107"/>
      <c r="R15" s="69"/>
      <c r="S15" s="95"/>
      <c r="T15" s="69"/>
      <c r="U15" s="117"/>
      <c r="V15" s="107"/>
      <c r="W15" s="95"/>
      <c r="X15" s="69"/>
      <c r="Y15" s="69"/>
      <c r="Z15" s="117"/>
      <c r="AA15" s="120"/>
      <c r="AB15" s="69"/>
      <c r="AC15" s="69"/>
      <c r="AD15" s="69"/>
      <c r="AE15" s="117"/>
      <c r="AF15" s="120"/>
      <c r="AG15" s="69"/>
      <c r="AH15" s="69"/>
      <c r="AI15" s="69"/>
      <c r="AJ15" s="109"/>
    </row>
    <row r="16" spans="1:36" x14ac:dyDescent="0.25">
      <c r="A16" s="56"/>
      <c r="B16" s="1387"/>
      <c r="C16" s="87"/>
      <c r="D16" s="143"/>
      <c r="E16" s="66"/>
      <c r="F16" s="67"/>
      <c r="G16" s="107"/>
      <c r="H16" s="69"/>
      <c r="I16" s="69"/>
      <c r="J16" s="69"/>
      <c r="K16" s="117"/>
      <c r="L16" s="114"/>
      <c r="M16" s="69"/>
      <c r="N16" s="69"/>
      <c r="O16" s="69"/>
      <c r="P16" s="117"/>
      <c r="Q16" s="107"/>
      <c r="R16" s="69"/>
      <c r="S16" s="69"/>
      <c r="T16" s="69"/>
      <c r="U16" s="117"/>
      <c r="V16" s="107"/>
      <c r="W16" s="69"/>
      <c r="X16" s="69"/>
      <c r="Y16" s="69"/>
      <c r="Z16" s="117"/>
      <c r="AA16" s="107"/>
      <c r="AB16" s="69"/>
      <c r="AC16" s="69"/>
      <c r="AD16" s="69"/>
      <c r="AE16" s="117"/>
      <c r="AF16" s="120"/>
      <c r="AG16" s="69"/>
      <c r="AH16" s="69"/>
      <c r="AI16" s="69"/>
      <c r="AJ16" s="109"/>
    </row>
    <row r="17" spans="1:36" x14ac:dyDescent="0.25">
      <c r="A17" s="56"/>
      <c r="B17" s="1387"/>
      <c r="C17" s="85" t="s">
        <v>111</v>
      </c>
      <c r="D17" s="143"/>
      <c r="E17" s="66"/>
      <c r="F17" s="67"/>
      <c r="G17" s="128"/>
      <c r="H17" s="97"/>
      <c r="I17" s="97"/>
      <c r="J17" s="69"/>
      <c r="K17" s="109"/>
      <c r="L17" s="114"/>
      <c r="M17" s="69"/>
      <c r="N17" s="69"/>
      <c r="O17" s="95"/>
      <c r="P17" s="117"/>
      <c r="Q17" s="107"/>
      <c r="R17" s="69"/>
      <c r="S17" s="69"/>
      <c r="T17" s="69"/>
      <c r="U17" s="117"/>
      <c r="V17" s="107"/>
      <c r="W17" s="69"/>
      <c r="X17" s="69"/>
      <c r="Y17" s="69"/>
      <c r="Z17" s="117"/>
      <c r="AA17" s="120"/>
      <c r="AB17" s="69"/>
      <c r="AC17" s="69"/>
      <c r="AD17" s="69"/>
      <c r="AE17" s="117"/>
      <c r="AF17" s="120"/>
      <c r="AG17" s="69"/>
      <c r="AH17" s="69"/>
      <c r="AI17" s="69"/>
      <c r="AJ17" s="109"/>
    </row>
    <row r="18" spans="1:36" x14ac:dyDescent="0.25">
      <c r="A18" s="56"/>
      <c r="B18" s="1387"/>
      <c r="C18" s="85"/>
      <c r="D18" s="143"/>
      <c r="E18" s="66"/>
      <c r="F18" s="67"/>
      <c r="G18" s="107"/>
      <c r="H18" s="69"/>
      <c r="I18" s="69"/>
      <c r="J18" s="69"/>
      <c r="K18" s="117"/>
      <c r="L18" s="114"/>
      <c r="M18" s="69"/>
      <c r="N18" s="69"/>
      <c r="O18" s="69"/>
      <c r="P18" s="117"/>
      <c r="Q18" s="107"/>
      <c r="R18" s="69"/>
      <c r="S18" s="69"/>
      <c r="T18" s="69"/>
      <c r="U18" s="117"/>
      <c r="V18" s="107"/>
      <c r="W18" s="69"/>
      <c r="X18" s="69"/>
      <c r="Y18" s="69"/>
      <c r="Z18" s="117"/>
      <c r="AA18" s="107"/>
      <c r="AB18" s="69"/>
      <c r="AC18" s="69"/>
      <c r="AD18" s="69"/>
      <c r="AE18" s="117"/>
      <c r="AF18" s="120"/>
      <c r="AG18" s="69"/>
      <c r="AH18" s="69"/>
      <c r="AI18" s="69"/>
      <c r="AJ18" s="109"/>
    </row>
    <row r="19" spans="1:36" ht="15.75" thickBot="1" x14ac:dyDescent="0.3">
      <c r="A19" s="56"/>
      <c r="B19" s="1388"/>
      <c r="C19" s="88" t="s">
        <v>112</v>
      </c>
      <c r="D19" s="144"/>
      <c r="E19" s="70"/>
      <c r="F19" s="71"/>
      <c r="G19" s="110"/>
      <c r="H19" s="111"/>
      <c r="I19" s="111"/>
      <c r="J19" s="126"/>
      <c r="K19" s="130"/>
      <c r="L19" s="147"/>
      <c r="M19" s="126"/>
      <c r="N19" s="126"/>
      <c r="O19" s="145"/>
      <c r="P19" s="122"/>
      <c r="Q19" s="125"/>
      <c r="R19" s="126"/>
      <c r="S19" s="145"/>
      <c r="T19" s="126"/>
      <c r="U19" s="122"/>
      <c r="V19" s="125"/>
      <c r="W19" s="145"/>
      <c r="X19" s="126"/>
      <c r="Y19" s="126"/>
      <c r="Z19" s="122"/>
      <c r="AA19" s="125"/>
      <c r="AB19" s="126"/>
      <c r="AC19" s="126"/>
      <c r="AD19" s="126"/>
      <c r="AE19" s="122"/>
      <c r="AF19" s="129"/>
      <c r="AG19" s="126"/>
      <c r="AH19" s="126"/>
      <c r="AI19" s="126"/>
      <c r="AJ19" s="130"/>
    </row>
    <row r="20" spans="1:36" x14ac:dyDescent="0.25">
      <c r="A20" s="56"/>
      <c r="B20" s="1386">
        <v>2</v>
      </c>
      <c r="C20" s="84"/>
      <c r="D20" s="93"/>
      <c r="E20" s="131"/>
      <c r="F20" s="132"/>
      <c r="G20" s="104"/>
      <c r="H20" s="105"/>
      <c r="I20" s="105"/>
      <c r="J20" s="105"/>
      <c r="K20" s="127"/>
      <c r="L20" s="152"/>
      <c r="M20" s="105"/>
      <c r="N20" s="105"/>
      <c r="O20" s="105"/>
      <c r="P20" s="127"/>
      <c r="Q20" s="104"/>
      <c r="R20" s="105"/>
      <c r="S20" s="105"/>
      <c r="T20" s="105"/>
      <c r="U20" s="127"/>
      <c r="V20" s="104"/>
      <c r="W20" s="105"/>
      <c r="X20" s="105"/>
      <c r="Y20" s="105"/>
      <c r="Z20" s="127"/>
      <c r="AA20" s="104"/>
      <c r="AB20" s="105"/>
      <c r="AC20" s="105"/>
      <c r="AD20" s="105"/>
      <c r="AE20" s="127"/>
      <c r="AF20" s="153"/>
      <c r="AG20" s="105"/>
      <c r="AH20" s="105"/>
      <c r="AI20" s="105"/>
      <c r="AJ20" s="154"/>
    </row>
    <row r="21" spans="1:36" x14ac:dyDescent="0.25">
      <c r="A21" s="56"/>
      <c r="B21" s="1387"/>
      <c r="C21" s="84" t="s">
        <v>113</v>
      </c>
      <c r="D21" s="57" t="e">
        <f>SUM('PRESUPUESTO FINAL (3)'!#REF!)*'FM (2)'!C12</f>
        <v>#REF!</v>
      </c>
      <c r="E21" s="66" t="e">
        <f>D21/$D$58</f>
        <v>#REF!</v>
      </c>
      <c r="F21" s="67" t="e">
        <f>F9+E21</f>
        <v>#REF!</v>
      </c>
      <c r="G21" s="107"/>
      <c r="H21" s="69"/>
      <c r="I21" s="69"/>
      <c r="J21" s="97"/>
      <c r="K21" s="121"/>
      <c r="L21" s="114"/>
      <c r="M21" s="69"/>
      <c r="N21" s="69"/>
      <c r="O21" s="95"/>
      <c r="P21" s="117"/>
      <c r="Q21" s="107"/>
      <c r="R21" s="69"/>
      <c r="S21" s="95"/>
      <c r="T21" s="69"/>
      <c r="U21" s="117"/>
      <c r="V21" s="107"/>
      <c r="W21" s="69"/>
      <c r="X21" s="69"/>
      <c r="Y21" s="69"/>
      <c r="Z21" s="117"/>
      <c r="AA21" s="107"/>
      <c r="AB21" s="69"/>
      <c r="AC21" s="69"/>
      <c r="AD21" s="69"/>
      <c r="AE21" s="117"/>
      <c r="AF21" s="120"/>
      <c r="AG21" s="69"/>
      <c r="AH21" s="69"/>
      <c r="AI21" s="69"/>
      <c r="AJ21" s="109"/>
    </row>
    <row r="22" spans="1:36" ht="15.75" thickBot="1" x14ac:dyDescent="0.3">
      <c r="A22" s="56"/>
      <c r="B22" s="1388"/>
      <c r="C22" s="91"/>
      <c r="D22" s="196"/>
      <c r="E22" s="197"/>
      <c r="F22" s="198"/>
      <c r="G22" s="125"/>
      <c r="H22" s="126"/>
      <c r="I22" s="126"/>
      <c r="J22" s="126"/>
      <c r="K22" s="122"/>
      <c r="L22" s="147"/>
      <c r="M22" s="126"/>
      <c r="N22" s="126"/>
      <c r="O22" s="126"/>
      <c r="P22" s="122"/>
      <c r="Q22" s="125"/>
      <c r="R22" s="126"/>
      <c r="S22" s="126"/>
      <c r="T22" s="126"/>
      <c r="U22" s="122"/>
      <c r="V22" s="125"/>
      <c r="W22" s="126"/>
      <c r="X22" s="126"/>
      <c r="Y22" s="126"/>
      <c r="Z22" s="122"/>
      <c r="AA22" s="125"/>
      <c r="AB22" s="126"/>
      <c r="AC22" s="126"/>
      <c r="AD22" s="126"/>
      <c r="AE22" s="122"/>
      <c r="AF22" s="129"/>
      <c r="AG22" s="126"/>
      <c r="AH22" s="126"/>
      <c r="AI22" s="126"/>
      <c r="AJ22" s="130"/>
    </row>
    <row r="23" spans="1:36" x14ac:dyDescent="0.25">
      <c r="B23" s="1386">
        <v>3</v>
      </c>
      <c r="C23" s="92"/>
      <c r="D23" s="137"/>
      <c r="E23" s="199"/>
      <c r="F23" s="200"/>
      <c r="G23" s="104"/>
      <c r="H23" s="105"/>
      <c r="I23" s="105"/>
      <c r="J23" s="105"/>
      <c r="K23" s="127"/>
      <c r="L23" s="152"/>
      <c r="M23" s="105"/>
      <c r="N23" s="105"/>
      <c r="O23" s="105"/>
      <c r="P23" s="127"/>
      <c r="Q23" s="104"/>
      <c r="R23" s="105"/>
      <c r="S23" s="105"/>
      <c r="T23" s="105"/>
      <c r="U23" s="127"/>
      <c r="V23" s="104"/>
      <c r="W23" s="105"/>
      <c r="X23" s="105"/>
      <c r="Y23" s="105"/>
      <c r="Z23" s="127"/>
      <c r="AA23" s="104"/>
      <c r="AB23" s="105"/>
      <c r="AC23" s="105"/>
      <c r="AD23" s="105"/>
      <c r="AE23" s="127"/>
      <c r="AF23" s="153"/>
      <c r="AG23" s="105"/>
      <c r="AH23" s="105"/>
      <c r="AI23" s="105"/>
      <c r="AJ23" s="154"/>
    </row>
    <row r="24" spans="1:36" ht="15.75" customHeight="1" x14ac:dyDescent="0.25">
      <c r="A24" s="56"/>
      <c r="B24" s="1387"/>
      <c r="C24" s="90" t="s">
        <v>114</v>
      </c>
      <c r="D24" s="143" t="e">
        <f>SUM('PRESUPUESTO FINAL (3)'!#REF!)*'FM (2)'!C12</f>
        <v>#REF!</v>
      </c>
      <c r="E24" s="66" t="e">
        <f>D24/$D$58</f>
        <v>#REF!</v>
      </c>
      <c r="F24" s="201" t="e">
        <f>F21+E24</f>
        <v>#REF!</v>
      </c>
      <c r="G24" s="107"/>
      <c r="H24" s="69"/>
      <c r="I24" s="69"/>
      <c r="J24" s="69"/>
      <c r="K24" s="109"/>
      <c r="L24" s="115"/>
      <c r="M24" s="97"/>
      <c r="N24" s="69"/>
      <c r="O24" s="95"/>
      <c r="P24" s="117"/>
      <c r="Q24" s="107"/>
      <c r="R24" s="69"/>
      <c r="S24" s="95"/>
      <c r="T24" s="69"/>
      <c r="U24" s="117"/>
      <c r="V24" s="107"/>
      <c r="W24" s="95"/>
      <c r="X24" s="69"/>
      <c r="Y24" s="69"/>
      <c r="Z24" s="117"/>
      <c r="AA24" s="120"/>
      <c r="AB24" s="69"/>
      <c r="AC24" s="69"/>
      <c r="AD24" s="69"/>
      <c r="AE24" s="117"/>
      <c r="AF24" s="120"/>
      <c r="AG24" s="69"/>
      <c r="AH24" s="69"/>
      <c r="AI24" s="69"/>
      <c r="AJ24" s="109"/>
    </row>
    <row r="25" spans="1:36" ht="15.75" thickBot="1" x14ac:dyDescent="0.3">
      <c r="A25" s="56"/>
      <c r="B25" s="1388"/>
      <c r="C25" s="91"/>
      <c r="D25" s="144"/>
      <c r="E25" s="70"/>
      <c r="F25" s="202"/>
      <c r="G25" s="125"/>
      <c r="H25" s="126"/>
      <c r="I25" s="126"/>
      <c r="J25" s="126"/>
      <c r="K25" s="162"/>
      <c r="L25" s="163"/>
      <c r="M25" s="39"/>
      <c r="N25" s="39"/>
      <c r="O25" s="164"/>
      <c r="P25" s="165"/>
      <c r="Q25" s="166"/>
      <c r="R25" s="39"/>
      <c r="S25" s="39"/>
      <c r="T25" s="126"/>
      <c r="U25" s="122"/>
      <c r="V25" s="125"/>
      <c r="W25" s="126"/>
      <c r="X25" s="126"/>
      <c r="Y25" s="126"/>
      <c r="Z25" s="122"/>
      <c r="AA25" s="125"/>
      <c r="AB25" s="126"/>
      <c r="AC25" s="126"/>
      <c r="AD25" s="126"/>
      <c r="AE25" s="122"/>
      <c r="AF25" s="129"/>
      <c r="AG25" s="126"/>
      <c r="AH25" s="126"/>
      <c r="AI25" s="126"/>
      <c r="AJ25" s="130"/>
    </row>
    <row r="26" spans="1:36" x14ac:dyDescent="0.25">
      <c r="A26" s="56"/>
      <c r="B26" s="1386">
        <v>4</v>
      </c>
      <c r="C26" s="84"/>
      <c r="D26" s="93"/>
      <c r="E26" s="131"/>
      <c r="F26" s="132"/>
      <c r="G26" s="155"/>
      <c r="H26" s="156"/>
      <c r="I26" s="156"/>
      <c r="J26" s="156"/>
      <c r="K26" s="157"/>
      <c r="L26" s="158"/>
      <c r="M26" s="40"/>
      <c r="N26" s="40"/>
      <c r="O26" s="159"/>
      <c r="P26" s="160"/>
      <c r="Q26" s="161"/>
      <c r="R26" s="40"/>
      <c r="S26" s="73"/>
      <c r="T26" s="73"/>
      <c r="U26" s="134"/>
      <c r="V26" s="133"/>
      <c r="W26" s="73"/>
      <c r="X26" s="73"/>
      <c r="Y26" s="73"/>
      <c r="Z26" s="134"/>
      <c r="AA26" s="133"/>
      <c r="AB26" s="73"/>
      <c r="AC26" s="73"/>
      <c r="AD26" s="73"/>
      <c r="AE26" s="134"/>
      <c r="AF26" s="135"/>
      <c r="AG26" s="73"/>
      <c r="AH26" s="73"/>
      <c r="AI26" s="73"/>
      <c r="AJ26" s="136"/>
    </row>
    <row r="27" spans="1:36" x14ac:dyDescent="0.25">
      <c r="A27" s="56"/>
      <c r="B27" s="1387"/>
      <c r="C27" s="84" t="s">
        <v>115</v>
      </c>
      <c r="D27" s="82" t="e">
        <f>SUM('PRESUPUESTO FINAL (3)'!#REF!)*'FM (2)'!C12</f>
        <v>#REF!</v>
      </c>
      <c r="E27" s="66" t="e">
        <f>D27/$D$58</f>
        <v>#REF!</v>
      </c>
      <c r="F27" s="67" t="e">
        <f>F24+E27</f>
        <v>#REF!</v>
      </c>
      <c r="G27" s="107"/>
      <c r="H27" s="69"/>
      <c r="I27" s="69"/>
      <c r="J27" s="69"/>
      <c r="K27" s="109"/>
      <c r="L27" s="102"/>
      <c r="M27" s="95"/>
      <c r="N27" s="95"/>
      <c r="O27" s="95"/>
      <c r="P27" s="109"/>
      <c r="Q27" s="120"/>
      <c r="R27" s="95"/>
      <c r="S27" s="95"/>
      <c r="T27" s="95"/>
      <c r="U27" s="109"/>
      <c r="V27" s="120"/>
      <c r="W27" s="95"/>
      <c r="X27" s="95"/>
      <c r="Y27" s="95"/>
      <c r="Z27" s="109"/>
      <c r="AA27" s="120"/>
      <c r="AB27" s="95"/>
      <c r="AC27" s="95"/>
      <c r="AD27" s="95"/>
      <c r="AE27" s="117"/>
      <c r="AF27" s="120"/>
      <c r="AG27" s="69"/>
      <c r="AH27" s="69"/>
      <c r="AI27" s="69"/>
      <c r="AJ27" s="109"/>
    </row>
    <row r="28" spans="1:36" x14ac:dyDescent="0.25">
      <c r="A28" s="56"/>
      <c r="B28" s="1387"/>
      <c r="C28" s="84"/>
      <c r="D28" s="82"/>
      <c r="E28" s="66"/>
      <c r="F28" s="67"/>
      <c r="G28" s="133"/>
      <c r="H28" s="73"/>
      <c r="I28" s="73"/>
      <c r="J28" s="73"/>
      <c r="K28" s="151"/>
      <c r="L28" s="101"/>
      <c r="M28" s="38"/>
      <c r="N28" s="38"/>
      <c r="O28" s="99"/>
      <c r="P28" s="119"/>
      <c r="Q28" s="123"/>
      <c r="R28" s="38"/>
      <c r="S28" s="69"/>
      <c r="T28" s="69"/>
      <c r="U28" s="117"/>
      <c r="V28" s="107"/>
      <c r="W28" s="69"/>
      <c r="X28" s="69"/>
      <c r="Y28" s="69"/>
      <c r="Z28" s="117"/>
      <c r="AA28" s="107"/>
      <c r="AB28" s="69"/>
      <c r="AC28" s="69"/>
      <c r="AD28" s="69"/>
      <c r="AE28" s="117"/>
      <c r="AF28" s="120"/>
      <c r="AG28" s="69"/>
      <c r="AH28" s="69"/>
      <c r="AI28" s="69"/>
      <c r="AJ28" s="109"/>
    </row>
    <row r="29" spans="1:36" x14ac:dyDescent="0.25">
      <c r="A29" s="56"/>
      <c r="B29" s="1387"/>
      <c r="C29" s="85" t="s">
        <v>116</v>
      </c>
      <c r="D29" s="82"/>
      <c r="E29" s="66"/>
      <c r="F29" s="67"/>
      <c r="G29" s="107"/>
      <c r="H29" s="69"/>
      <c r="I29" s="69"/>
      <c r="J29" s="69"/>
      <c r="K29" s="108"/>
      <c r="L29" s="101"/>
      <c r="M29" s="38"/>
      <c r="N29" s="100"/>
      <c r="O29" s="96"/>
      <c r="P29" s="109"/>
      <c r="Q29" s="120"/>
      <c r="R29" s="95"/>
      <c r="S29" s="95"/>
      <c r="T29" s="69"/>
      <c r="U29" s="117"/>
      <c r="V29" s="107"/>
      <c r="W29" s="95"/>
      <c r="X29" s="69"/>
      <c r="Y29" s="69"/>
      <c r="Z29" s="117"/>
      <c r="AA29" s="120"/>
      <c r="AB29" s="69"/>
      <c r="AC29" s="69"/>
      <c r="AD29" s="69"/>
      <c r="AE29" s="117"/>
      <c r="AF29" s="120"/>
      <c r="AG29" s="69"/>
      <c r="AH29" s="69"/>
      <c r="AI29" s="69"/>
      <c r="AJ29" s="109"/>
    </row>
    <row r="30" spans="1:36" x14ac:dyDescent="0.25">
      <c r="A30" s="56"/>
      <c r="B30" s="1387"/>
      <c r="C30" s="85"/>
      <c r="D30" s="82"/>
      <c r="E30" s="66"/>
      <c r="F30" s="67"/>
      <c r="G30" s="107"/>
      <c r="H30" s="69"/>
      <c r="I30" s="69"/>
      <c r="J30" s="69"/>
      <c r="K30" s="108"/>
      <c r="L30" s="101"/>
      <c r="M30" s="38"/>
      <c r="N30" s="38"/>
      <c r="O30" s="99"/>
      <c r="P30" s="119"/>
      <c r="Q30" s="123"/>
      <c r="R30" s="38"/>
      <c r="S30" s="69"/>
      <c r="T30" s="69"/>
      <c r="U30" s="117"/>
      <c r="V30" s="107"/>
      <c r="W30" s="69"/>
      <c r="X30" s="69"/>
      <c r="Y30" s="69"/>
      <c r="Z30" s="117"/>
      <c r="AA30" s="107"/>
      <c r="AB30" s="69"/>
      <c r="AC30" s="69"/>
      <c r="AD30" s="69"/>
      <c r="AE30" s="117"/>
      <c r="AF30" s="120"/>
      <c r="AG30" s="69"/>
      <c r="AH30" s="69"/>
      <c r="AI30" s="69"/>
      <c r="AJ30" s="109"/>
    </row>
    <row r="31" spans="1:36" x14ac:dyDescent="0.25">
      <c r="A31" s="56"/>
      <c r="B31" s="1387"/>
      <c r="C31" s="85" t="s">
        <v>117</v>
      </c>
      <c r="D31" s="82"/>
      <c r="E31" s="66"/>
      <c r="F31" s="67"/>
      <c r="G31" s="107"/>
      <c r="H31" s="69"/>
      <c r="I31" s="69"/>
      <c r="J31" s="69"/>
      <c r="K31" s="108"/>
      <c r="L31" s="101"/>
      <c r="M31" s="38"/>
      <c r="N31" s="38"/>
      <c r="O31" s="96"/>
      <c r="P31" s="121"/>
      <c r="Q31" s="118"/>
      <c r="R31" s="95"/>
      <c r="S31" s="69"/>
      <c r="T31" s="69"/>
      <c r="U31" s="117"/>
      <c r="V31" s="107"/>
      <c r="W31" s="95"/>
      <c r="X31" s="69"/>
      <c r="Y31" s="69"/>
      <c r="Z31" s="117"/>
      <c r="AA31" s="120"/>
      <c r="AB31" s="69"/>
      <c r="AC31" s="69"/>
      <c r="AD31" s="69"/>
      <c r="AE31" s="117"/>
      <c r="AF31" s="120"/>
      <c r="AG31" s="69"/>
      <c r="AH31" s="69"/>
      <c r="AI31" s="69"/>
      <c r="AJ31" s="109"/>
    </row>
    <row r="32" spans="1:36" x14ac:dyDescent="0.25">
      <c r="A32" s="56"/>
      <c r="B32" s="1387"/>
      <c r="C32" s="85"/>
      <c r="D32" s="82"/>
      <c r="E32" s="66"/>
      <c r="F32" s="67"/>
      <c r="G32" s="107"/>
      <c r="H32" s="69"/>
      <c r="I32" s="69"/>
      <c r="J32" s="69"/>
      <c r="K32" s="108"/>
      <c r="L32" s="101"/>
      <c r="M32" s="38"/>
      <c r="N32" s="38"/>
      <c r="O32" s="99"/>
      <c r="P32" s="119"/>
      <c r="Q32" s="123"/>
      <c r="R32" s="38"/>
      <c r="S32" s="38"/>
      <c r="T32" s="69"/>
      <c r="U32" s="117"/>
      <c r="V32" s="107"/>
      <c r="W32" s="69"/>
      <c r="X32" s="69"/>
      <c r="Y32" s="69"/>
      <c r="Z32" s="117"/>
      <c r="AA32" s="107"/>
      <c r="AB32" s="69"/>
      <c r="AC32" s="69"/>
      <c r="AD32" s="69"/>
      <c r="AE32" s="117"/>
      <c r="AF32" s="120"/>
      <c r="AG32" s="69"/>
      <c r="AH32" s="69"/>
      <c r="AI32" s="69"/>
      <c r="AJ32" s="109"/>
    </row>
    <row r="33" spans="1:36" ht="15.75" thickBot="1" x14ac:dyDescent="0.3">
      <c r="A33" s="56"/>
      <c r="B33" s="1388"/>
      <c r="C33" s="85" t="s">
        <v>118</v>
      </c>
      <c r="D33" s="196"/>
      <c r="E33" s="197"/>
      <c r="F33" s="198"/>
      <c r="G33" s="149"/>
      <c r="H33" s="103"/>
      <c r="I33" s="103"/>
      <c r="J33" s="103"/>
      <c r="K33" s="150"/>
      <c r="L33" s="167"/>
      <c r="M33" s="168"/>
      <c r="N33" s="168"/>
      <c r="O33" s="169"/>
      <c r="P33" s="170"/>
      <c r="Q33" s="171"/>
      <c r="R33" s="172"/>
      <c r="S33" s="169"/>
      <c r="T33" s="172"/>
      <c r="U33" s="173"/>
      <c r="V33" s="174"/>
      <c r="W33" s="169"/>
      <c r="X33" s="172"/>
      <c r="Y33" s="172"/>
      <c r="Z33" s="173"/>
      <c r="AA33" s="175"/>
      <c r="AB33" s="103"/>
      <c r="AC33" s="103"/>
      <c r="AD33" s="103"/>
      <c r="AE33" s="176"/>
      <c r="AF33" s="175"/>
      <c r="AG33" s="103"/>
      <c r="AH33" s="103"/>
      <c r="AI33" s="103"/>
      <c r="AJ33" s="177"/>
    </row>
    <row r="34" spans="1:36" x14ac:dyDescent="0.25">
      <c r="A34" s="56"/>
      <c r="B34" s="1386">
        <v>5</v>
      </c>
      <c r="C34" s="89"/>
      <c r="D34" s="137"/>
      <c r="E34" s="199"/>
      <c r="F34" s="200"/>
      <c r="G34" s="104"/>
      <c r="H34" s="105"/>
      <c r="I34" s="105"/>
      <c r="J34" s="105"/>
      <c r="K34" s="106"/>
      <c r="L34" s="178"/>
      <c r="M34" s="37"/>
      <c r="N34" s="37"/>
      <c r="O34" s="179"/>
      <c r="P34" s="180"/>
      <c r="Q34" s="181"/>
      <c r="R34" s="37"/>
      <c r="S34" s="105"/>
      <c r="T34" s="105"/>
      <c r="U34" s="127"/>
      <c r="V34" s="104"/>
      <c r="W34" s="105"/>
      <c r="X34" s="105"/>
      <c r="Y34" s="105"/>
      <c r="Z34" s="127"/>
      <c r="AA34" s="104"/>
      <c r="AB34" s="105"/>
      <c r="AC34" s="105"/>
      <c r="AD34" s="105"/>
      <c r="AE34" s="127"/>
      <c r="AF34" s="153"/>
      <c r="AG34" s="105"/>
      <c r="AH34" s="105"/>
      <c r="AI34" s="105"/>
      <c r="AJ34" s="154"/>
    </row>
    <row r="35" spans="1:36" x14ac:dyDescent="0.25">
      <c r="A35" s="56"/>
      <c r="B35" s="1387"/>
      <c r="C35" s="90" t="s">
        <v>72</v>
      </c>
      <c r="D35" s="143" t="e">
        <f>SUM('PRESUPUESTO FINAL (3)'!#REF!)*'FM (2)'!C12</f>
        <v>#REF!</v>
      </c>
      <c r="E35" s="66" t="e">
        <f>D35/$D$58</f>
        <v>#REF!</v>
      </c>
      <c r="F35" s="201" t="e">
        <f>F27+E35</f>
        <v>#REF!</v>
      </c>
      <c r="G35" s="107"/>
      <c r="H35" s="69"/>
      <c r="I35" s="69"/>
      <c r="J35" s="69"/>
      <c r="K35" s="108"/>
      <c r="L35" s="101"/>
      <c r="M35" s="38"/>
      <c r="N35" s="38"/>
      <c r="O35" s="95"/>
      <c r="P35" s="117"/>
      <c r="Q35" s="107"/>
      <c r="R35" s="69"/>
      <c r="S35" s="95"/>
      <c r="T35" s="69"/>
      <c r="U35" s="117"/>
      <c r="V35" s="107"/>
      <c r="W35" s="95"/>
      <c r="X35" s="69"/>
      <c r="Y35" s="69"/>
      <c r="Z35" s="117"/>
      <c r="AA35" s="107"/>
      <c r="AB35" s="69"/>
      <c r="AC35" s="69"/>
      <c r="AD35" s="69"/>
      <c r="AE35" s="117"/>
      <c r="AF35" s="120"/>
      <c r="AG35" s="69"/>
      <c r="AH35" s="69"/>
      <c r="AI35" s="69"/>
      <c r="AJ35" s="109"/>
    </row>
    <row r="36" spans="1:36" x14ac:dyDescent="0.25">
      <c r="A36" s="56"/>
      <c r="B36" s="1387"/>
      <c r="C36" s="84"/>
      <c r="D36" s="143"/>
      <c r="E36" s="66"/>
      <c r="F36" s="201"/>
      <c r="G36" s="107"/>
      <c r="H36" s="69"/>
      <c r="I36" s="69"/>
      <c r="J36" s="69"/>
      <c r="K36" s="108"/>
      <c r="L36" s="101"/>
      <c r="M36" s="38"/>
      <c r="N36" s="38"/>
      <c r="O36" s="99"/>
      <c r="P36" s="119"/>
      <c r="Q36" s="123"/>
      <c r="R36" s="38"/>
      <c r="S36" s="69"/>
      <c r="T36" s="69"/>
      <c r="U36" s="117"/>
      <c r="V36" s="107"/>
      <c r="W36" s="69"/>
      <c r="X36" s="69"/>
      <c r="Y36" s="69"/>
      <c r="Z36" s="117"/>
      <c r="AA36" s="107"/>
      <c r="AB36" s="69"/>
      <c r="AC36" s="69"/>
      <c r="AD36" s="69"/>
      <c r="AE36" s="117"/>
      <c r="AF36" s="120"/>
      <c r="AG36" s="69"/>
      <c r="AH36" s="69"/>
      <c r="AI36" s="69"/>
      <c r="AJ36" s="109"/>
    </row>
    <row r="37" spans="1:36" x14ac:dyDescent="0.25">
      <c r="A37" s="56"/>
      <c r="B37" s="1387"/>
      <c r="C37" s="85" t="s">
        <v>109</v>
      </c>
      <c r="D37" s="143"/>
      <c r="E37" s="66"/>
      <c r="F37" s="201"/>
      <c r="G37" s="107"/>
      <c r="H37" s="69"/>
      <c r="I37" s="69"/>
      <c r="J37" s="69"/>
      <c r="K37" s="108"/>
      <c r="L37" s="101"/>
      <c r="M37" s="38"/>
      <c r="N37" s="38"/>
      <c r="O37" s="99"/>
      <c r="P37" s="119"/>
      <c r="Q37" s="123"/>
      <c r="R37" s="100"/>
      <c r="S37" s="96"/>
      <c r="T37" s="97"/>
      <c r="U37" s="117"/>
      <c r="V37" s="107"/>
      <c r="W37" s="95"/>
      <c r="X37" s="69"/>
      <c r="Y37" s="69"/>
      <c r="Z37" s="117"/>
      <c r="AA37" s="107"/>
      <c r="AB37" s="69"/>
      <c r="AC37" s="69"/>
      <c r="AD37" s="69"/>
      <c r="AE37" s="117"/>
      <c r="AF37" s="120"/>
      <c r="AG37" s="69"/>
      <c r="AH37" s="69"/>
      <c r="AI37" s="69"/>
      <c r="AJ37" s="109"/>
    </row>
    <row r="38" spans="1:36" x14ac:dyDescent="0.25">
      <c r="A38" s="56"/>
      <c r="B38" s="1387"/>
      <c r="C38" s="85"/>
      <c r="D38" s="143"/>
      <c r="E38" s="66"/>
      <c r="F38" s="201"/>
      <c r="G38" s="107"/>
      <c r="H38" s="69"/>
      <c r="I38" s="69"/>
      <c r="J38" s="69"/>
      <c r="K38" s="108"/>
      <c r="L38" s="101"/>
      <c r="M38" s="38"/>
      <c r="N38" s="38"/>
      <c r="O38" s="99"/>
      <c r="P38" s="119"/>
      <c r="Q38" s="123"/>
      <c r="R38" s="38"/>
      <c r="S38" s="69"/>
      <c r="T38" s="69"/>
      <c r="U38" s="117"/>
      <c r="V38" s="107"/>
      <c r="W38" s="69"/>
      <c r="X38" s="69"/>
      <c r="Y38" s="69"/>
      <c r="Z38" s="117"/>
      <c r="AA38" s="107"/>
      <c r="AB38" s="69"/>
      <c r="AC38" s="69"/>
      <c r="AD38" s="69"/>
      <c r="AE38" s="117"/>
      <c r="AF38" s="120"/>
      <c r="AG38" s="69"/>
      <c r="AH38" s="69"/>
      <c r="AI38" s="69"/>
      <c r="AJ38" s="109"/>
    </row>
    <row r="39" spans="1:36" x14ac:dyDescent="0.25">
      <c r="A39" s="56"/>
      <c r="B39" s="1387"/>
      <c r="C39" s="85" t="s">
        <v>29</v>
      </c>
      <c r="D39" s="143"/>
      <c r="E39" s="66"/>
      <c r="F39" s="201"/>
      <c r="G39" s="107"/>
      <c r="H39" s="69"/>
      <c r="I39" s="69"/>
      <c r="J39" s="69"/>
      <c r="K39" s="108"/>
      <c r="L39" s="101"/>
      <c r="M39" s="38"/>
      <c r="N39" s="38"/>
      <c r="O39" s="99"/>
      <c r="P39" s="119"/>
      <c r="Q39" s="123"/>
      <c r="R39" s="38"/>
      <c r="S39" s="97"/>
      <c r="T39" s="97"/>
      <c r="U39" s="124"/>
      <c r="V39" s="128"/>
      <c r="W39" s="96"/>
      <c r="X39" s="69"/>
      <c r="Y39" s="69"/>
      <c r="Z39" s="117"/>
      <c r="AA39" s="107"/>
      <c r="AB39" s="69"/>
      <c r="AC39" s="69"/>
      <c r="AD39" s="69"/>
      <c r="AE39" s="117"/>
      <c r="AF39" s="120"/>
      <c r="AG39" s="69"/>
      <c r="AH39" s="69"/>
      <c r="AI39" s="69"/>
      <c r="AJ39" s="109"/>
    </row>
    <row r="40" spans="1:36" x14ac:dyDescent="0.25">
      <c r="A40" s="56"/>
      <c r="B40" s="1387"/>
      <c r="C40" s="85"/>
      <c r="D40" s="143"/>
      <c r="E40" s="66"/>
      <c r="F40" s="201"/>
      <c r="G40" s="107"/>
      <c r="H40" s="69"/>
      <c r="I40" s="69"/>
      <c r="J40" s="69"/>
      <c r="K40" s="108"/>
      <c r="L40" s="101"/>
      <c r="M40" s="38"/>
      <c r="N40" s="38"/>
      <c r="O40" s="99"/>
      <c r="P40" s="119"/>
      <c r="Q40" s="123"/>
      <c r="R40" s="38"/>
      <c r="S40" s="69"/>
      <c r="T40" s="69"/>
      <c r="U40" s="117"/>
      <c r="V40" s="107"/>
      <c r="W40" s="69"/>
      <c r="X40" s="69"/>
      <c r="Y40" s="69"/>
      <c r="Z40" s="117"/>
      <c r="AA40" s="107"/>
      <c r="AB40" s="69"/>
      <c r="AC40" s="69"/>
      <c r="AD40" s="69"/>
      <c r="AE40" s="117"/>
      <c r="AF40" s="120"/>
      <c r="AG40" s="69"/>
      <c r="AH40" s="69"/>
      <c r="AI40" s="69"/>
      <c r="AJ40" s="109"/>
    </row>
    <row r="41" spans="1:36" ht="25.5" x14ac:dyDescent="0.25">
      <c r="A41" s="56"/>
      <c r="B41" s="1387"/>
      <c r="C41" s="86" t="s">
        <v>110</v>
      </c>
      <c r="D41" s="143"/>
      <c r="E41" s="66"/>
      <c r="F41" s="201"/>
      <c r="G41" s="107"/>
      <c r="H41" s="69"/>
      <c r="I41" s="69"/>
      <c r="J41" s="69"/>
      <c r="K41" s="108"/>
      <c r="L41" s="101"/>
      <c r="M41" s="38"/>
      <c r="N41" s="38"/>
      <c r="O41" s="99"/>
      <c r="P41" s="119"/>
      <c r="Q41" s="123"/>
      <c r="R41" s="38"/>
      <c r="S41" s="69"/>
      <c r="T41" s="97"/>
      <c r="U41" s="124"/>
      <c r="V41" s="128"/>
      <c r="W41" s="69"/>
      <c r="X41" s="69"/>
      <c r="Y41" s="69"/>
      <c r="Z41" s="117"/>
      <c r="AA41" s="120"/>
      <c r="AB41" s="69"/>
      <c r="AC41" s="69"/>
      <c r="AD41" s="69"/>
      <c r="AE41" s="117"/>
      <c r="AF41" s="120"/>
      <c r="AG41" s="69"/>
      <c r="AH41" s="69"/>
      <c r="AI41" s="69"/>
      <c r="AJ41" s="109"/>
    </row>
    <row r="42" spans="1:36" x14ac:dyDescent="0.25">
      <c r="A42" s="56"/>
      <c r="B42" s="1387"/>
      <c r="C42" s="87"/>
      <c r="D42" s="143"/>
      <c r="E42" s="66"/>
      <c r="F42" s="201"/>
      <c r="G42" s="107"/>
      <c r="H42" s="69"/>
      <c r="I42" s="69"/>
      <c r="J42" s="69"/>
      <c r="K42" s="108"/>
      <c r="L42" s="101"/>
      <c r="M42" s="38"/>
      <c r="N42" s="38"/>
      <c r="O42" s="99"/>
      <c r="P42" s="119"/>
      <c r="Q42" s="123"/>
      <c r="R42" s="38"/>
      <c r="S42" s="69"/>
      <c r="T42" s="69"/>
      <c r="U42" s="117"/>
      <c r="V42" s="107"/>
      <c r="W42" s="69"/>
      <c r="X42" s="69"/>
      <c r="Y42" s="69"/>
      <c r="Z42" s="117"/>
      <c r="AA42" s="107"/>
      <c r="AB42" s="69"/>
      <c r="AC42" s="69"/>
      <c r="AD42" s="69"/>
      <c r="AE42" s="117"/>
      <c r="AF42" s="120"/>
      <c r="AG42" s="69"/>
      <c r="AH42" s="69"/>
      <c r="AI42" s="69"/>
      <c r="AJ42" s="109"/>
    </row>
    <row r="43" spans="1:36" x14ac:dyDescent="0.25">
      <c r="A43" s="56"/>
      <c r="B43" s="1387"/>
      <c r="C43" s="85" t="s">
        <v>111</v>
      </c>
      <c r="D43" s="143"/>
      <c r="E43" s="66"/>
      <c r="F43" s="201"/>
      <c r="G43" s="107"/>
      <c r="H43" s="69"/>
      <c r="I43" s="69"/>
      <c r="J43" s="69"/>
      <c r="K43" s="108"/>
      <c r="L43" s="101"/>
      <c r="M43" s="38"/>
      <c r="N43" s="38"/>
      <c r="O43" s="99"/>
      <c r="P43" s="119"/>
      <c r="Q43" s="123"/>
      <c r="R43" s="38"/>
      <c r="S43" s="69"/>
      <c r="T43" s="69"/>
      <c r="U43" s="117"/>
      <c r="V43" s="128"/>
      <c r="W43" s="96"/>
      <c r="X43" s="97"/>
      <c r="Y43" s="97"/>
      <c r="Z43" s="117"/>
      <c r="AA43" s="120"/>
      <c r="AB43" s="69"/>
      <c r="AC43" s="69"/>
      <c r="AD43" s="69"/>
      <c r="AE43" s="117"/>
      <c r="AF43" s="120"/>
      <c r="AG43" s="69"/>
      <c r="AH43" s="69"/>
      <c r="AI43" s="69"/>
      <c r="AJ43" s="109"/>
    </row>
    <row r="44" spans="1:36" x14ac:dyDescent="0.25">
      <c r="A44" s="56"/>
      <c r="B44" s="1387"/>
      <c r="C44" s="85"/>
      <c r="D44" s="143"/>
      <c r="E44" s="66"/>
      <c r="F44" s="201"/>
      <c r="G44" s="107"/>
      <c r="H44" s="69"/>
      <c r="I44" s="69"/>
      <c r="J44" s="69"/>
      <c r="K44" s="108"/>
      <c r="L44" s="101"/>
      <c r="M44" s="38"/>
      <c r="N44" s="38"/>
      <c r="O44" s="99"/>
      <c r="P44" s="119"/>
      <c r="Q44" s="123"/>
      <c r="R44" s="38"/>
      <c r="S44" s="69"/>
      <c r="T44" s="69"/>
      <c r="U44" s="117"/>
      <c r="V44" s="107"/>
      <c r="W44" s="69"/>
      <c r="X44" s="69"/>
      <c r="Y44" s="69"/>
      <c r="Z44" s="117"/>
      <c r="AA44" s="107"/>
      <c r="AB44" s="69"/>
      <c r="AC44" s="69"/>
      <c r="AD44" s="69"/>
      <c r="AE44" s="117"/>
      <c r="AF44" s="120"/>
      <c r="AG44" s="69"/>
      <c r="AH44" s="69"/>
      <c r="AI44" s="69"/>
      <c r="AJ44" s="109"/>
    </row>
    <row r="45" spans="1:36" ht="15.75" thickBot="1" x14ac:dyDescent="0.3">
      <c r="A45" s="56"/>
      <c r="B45" s="1388"/>
      <c r="C45" s="88" t="s">
        <v>112</v>
      </c>
      <c r="D45" s="144"/>
      <c r="E45" s="70"/>
      <c r="F45" s="202"/>
      <c r="G45" s="125"/>
      <c r="H45" s="126"/>
      <c r="I45" s="126"/>
      <c r="J45" s="126"/>
      <c r="K45" s="162"/>
      <c r="L45" s="163"/>
      <c r="M45" s="39"/>
      <c r="N45" s="39"/>
      <c r="O45" s="164"/>
      <c r="P45" s="165"/>
      <c r="Q45" s="182"/>
      <c r="R45" s="183"/>
      <c r="S45" s="184"/>
      <c r="T45" s="111"/>
      <c r="U45" s="112"/>
      <c r="V45" s="110"/>
      <c r="W45" s="184"/>
      <c r="X45" s="111"/>
      <c r="Y45" s="111"/>
      <c r="Z45" s="122"/>
      <c r="AA45" s="129"/>
      <c r="AB45" s="126"/>
      <c r="AC45" s="126"/>
      <c r="AD45" s="126"/>
      <c r="AE45" s="122"/>
      <c r="AF45" s="129"/>
      <c r="AG45" s="126"/>
      <c r="AH45" s="126"/>
      <c r="AI45" s="126"/>
      <c r="AJ45" s="130"/>
    </row>
    <row r="46" spans="1:36" x14ac:dyDescent="0.25">
      <c r="A46" s="56"/>
      <c r="B46" s="1386">
        <v>6</v>
      </c>
      <c r="C46" s="1392" t="s">
        <v>119</v>
      </c>
      <c r="D46" s="137"/>
      <c r="E46" s="199"/>
      <c r="F46" s="200"/>
      <c r="G46" s="133"/>
      <c r="H46" s="73"/>
      <c r="I46" s="73"/>
      <c r="J46" s="73"/>
      <c r="K46" s="151"/>
      <c r="L46" s="158"/>
      <c r="M46" s="40"/>
      <c r="N46" s="40"/>
      <c r="O46" s="159"/>
      <c r="P46" s="160"/>
      <c r="Q46" s="161"/>
      <c r="R46" s="40"/>
      <c r="S46" s="73"/>
      <c r="T46" s="73"/>
      <c r="U46" s="134"/>
      <c r="V46" s="133"/>
      <c r="W46" s="73"/>
      <c r="X46" s="73"/>
      <c r="Y46" s="73"/>
      <c r="Z46" s="134"/>
      <c r="AA46" s="133"/>
      <c r="AB46" s="73"/>
      <c r="AC46" s="73"/>
      <c r="AD46" s="73"/>
      <c r="AE46" s="134"/>
      <c r="AF46" s="135"/>
      <c r="AG46" s="73"/>
      <c r="AH46" s="73"/>
      <c r="AI46" s="73"/>
      <c r="AJ46" s="136"/>
    </row>
    <row r="47" spans="1:36" x14ac:dyDescent="0.25">
      <c r="A47" s="56"/>
      <c r="B47" s="1387"/>
      <c r="C47" s="1393"/>
      <c r="D47" s="143" t="e">
        <f>SUM('PRESUPUESTO FINAL (3)'!#REF!)*'FM (2)'!C12</f>
        <v>#REF!</v>
      </c>
      <c r="E47" s="66" t="e">
        <f>D47/$D$58</f>
        <v>#REF!</v>
      </c>
      <c r="F47" s="201" t="e">
        <f>F35+E47</f>
        <v>#REF!</v>
      </c>
      <c r="G47" s="107"/>
      <c r="H47" s="69"/>
      <c r="I47" s="69"/>
      <c r="J47" s="69"/>
      <c r="K47" s="108"/>
      <c r="L47" s="101"/>
      <c r="M47" s="38"/>
      <c r="N47" s="38"/>
      <c r="O47" s="99"/>
      <c r="P47" s="119"/>
      <c r="Q47" s="123"/>
      <c r="R47" s="38"/>
      <c r="S47" s="69"/>
      <c r="T47" s="69"/>
      <c r="U47" s="117"/>
      <c r="V47" s="107"/>
      <c r="W47" s="69"/>
      <c r="X47" s="69"/>
      <c r="Y47" s="69"/>
      <c r="Z47" s="117"/>
      <c r="AA47" s="120"/>
      <c r="AB47" s="69"/>
      <c r="AC47" s="69"/>
      <c r="AD47" s="69"/>
      <c r="AE47" s="117"/>
      <c r="AF47" s="120"/>
      <c r="AG47" s="69"/>
      <c r="AH47" s="69"/>
      <c r="AI47" s="69"/>
      <c r="AJ47" s="109"/>
    </row>
    <row r="48" spans="1:36" ht="15.75" thickBot="1" x14ac:dyDescent="0.3">
      <c r="A48" s="56"/>
      <c r="B48" s="1388"/>
      <c r="C48" s="1394"/>
      <c r="D48" s="144"/>
      <c r="E48" s="70"/>
      <c r="F48" s="202"/>
      <c r="G48" s="149"/>
      <c r="H48" s="103"/>
      <c r="I48" s="103"/>
      <c r="J48" s="103"/>
      <c r="K48" s="150"/>
      <c r="L48" s="167"/>
      <c r="M48" s="168"/>
      <c r="N48" s="168"/>
      <c r="O48" s="185"/>
      <c r="P48" s="186"/>
      <c r="Q48" s="187"/>
      <c r="R48" s="168"/>
      <c r="S48" s="103"/>
      <c r="T48" s="103"/>
      <c r="U48" s="176"/>
      <c r="V48" s="149"/>
      <c r="W48" s="103"/>
      <c r="X48" s="103"/>
      <c r="Y48" s="103"/>
      <c r="Z48" s="188"/>
      <c r="AA48" s="189"/>
      <c r="AB48" s="190"/>
      <c r="AC48" s="190"/>
      <c r="AD48" s="190"/>
      <c r="AE48" s="188"/>
      <c r="AF48" s="175"/>
      <c r="AG48" s="103"/>
      <c r="AH48" s="103"/>
      <c r="AI48" s="103"/>
      <c r="AJ48" s="177"/>
    </row>
    <row r="49" spans="1:36" x14ac:dyDescent="0.25">
      <c r="A49" s="56"/>
      <c r="B49" s="1386">
        <v>7</v>
      </c>
      <c r="C49" s="1389" t="s">
        <v>120</v>
      </c>
      <c r="D49" s="93"/>
      <c r="E49" s="131"/>
      <c r="F49" s="132"/>
      <c r="G49" s="104"/>
      <c r="H49" s="105"/>
      <c r="I49" s="105"/>
      <c r="J49" s="105"/>
      <c r="K49" s="106"/>
      <c r="L49" s="178"/>
      <c r="M49" s="37"/>
      <c r="N49" s="37"/>
      <c r="O49" s="179"/>
      <c r="P49" s="180"/>
      <c r="Q49" s="181"/>
      <c r="R49" s="37"/>
      <c r="S49" s="105"/>
      <c r="T49" s="105"/>
      <c r="U49" s="127"/>
      <c r="V49" s="104"/>
      <c r="W49" s="105"/>
      <c r="X49" s="105"/>
      <c r="Y49" s="105"/>
      <c r="Z49" s="127"/>
      <c r="AA49" s="104"/>
      <c r="AB49" s="105"/>
      <c r="AC49" s="105"/>
      <c r="AD49" s="105"/>
      <c r="AE49" s="127"/>
      <c r="AF49" s="153"/>
      <c r="AG49" s="105"/>
      <c r="AH49" s="105"/>
      <c r="AI49" s="105"/>
      <c r="AJ49" s="154"/>
    </row>
    <row r="50" spans="1:36" x14ac:dyDescent="0.25">
      <c r="A50" s="56"/>
      <c r="B50" s="1387"/>
      <c r="C50" s="1390"/>
      <c r="D50" s="82" t="e">
        <f>SUM('PRESUPUESTO FINAL (3)'!#REF!)*'FM (2)'!C12</f>
        <v>#REF!</v>
      </c>
      <c r="E50" s="66" t="e">
        <f>D50/$D$58</f>
        <v>#REF!</v>
      </c>
      <c r="F50" s="67" t="e">
        <f>F47+E50</f>
        <v>#REF!</v>
      </c>
      <c r="G50" s="107"/>
      <c r="H50" s="69"/>
      <c r="I50" s="69"/>
      <c r="J50" s="69"/>
      <c r="K50" s="108"/>
      <c r="L50" s="101"/>
      <c r="M50" s="38"/>
      <c r="N50" s="38"/>
      <c r="O50" s="99"/>
      <c r="P50" s="119"/>
      <c r="Q50" s="123"/>
      <c r="R50" s="38"/>
      <c r="S50" s="95"/>
      <c r="T50" s="69"/>
      <c r="U50" s="117"/>
      <c r="V50" s="107"/>
      <c r="W50" s="95"/>
      <c r="X50" s="69"/>
      <c r="Y50" s="69"/>
      <c r="Z50" s="117"/>
      <c r="AA50" s="120"/>
      <c r="AB50" s="69"/>
      <c r="AC50" s="69"/>
      <c r="AD50" s="69"/>
      <c r="AE50" s="117"/>
      <c r="AF50" s="120"/>
      <c r="AG50" s="69"/>
      <c r="AH50" s="69"/>
      <c r="AI50" s="69"/>
      <c r="AJ50" s="109"/>
    </row>
    <row r="51" spans="1:36" ht="15.75" thickBot="1" x14ac:dyDescent="0.3">
      <c r="A51" s="56"/>
      <c r="B51" s="1388"/>
      <c r="C51" s="1391"/>
      <c r="D51" s="196"/>
      <c r="E51" s="197"/>
      <c r="F51" s="198"/>
      <c r="G51" s="125"/>
      <c r="H51" s="126"/>
      <c r="I51" s="126"/>
      <c r="J51" s="126"/>
      <c r="K51" s="162"/>
      <c r="L51" s="163"/>
      <c r="M51" s="39"/>
      <c r="N51" s="39"/>
      <c r="O51" s="164"/>
      <c r="P51" s="165"/>
      <c r="Q51" s="166"/>
      <c r="R51" s="39"/>
      <c r="S51" s="126"/>
      <c r="T51" s="126"/>
      <c r="U51" s="122"/>
      <c r="V51" s="125"/>
      <c r="W51" s="126"/>
      <c r="X51" s="126"/>
      <c r="Y51" s="126"/>
      <c r="Z51" s="122"/>
      <c r="AA51" s="125"/>
      <c r="AB51" s="126"/>
      <c r="AC51" s="126"/>
      <c r="AD51" s="126"/>
      <c r="AE51" s="112"/>
      <c r="AF51" s="191"/>
      <c r="AG51" s="111"/>
      <c r="AH51" s="111"/>
      <c r="AI51" s="111"/>
      <c r="AJ51" s="192"/>
    </row>
    <row r="52" spans="1:36" x14ac:dyDescent="0.25">
      <c r="A52" s="56"/>
      <c r="B52" s="1386">
        <v>8</v>
      </c>
      <c r="C52" s="1389" t="s">
        <v>121</v>
      </c>
      <c r="D52" s="137"/>
      <c r="E52" s="199"/>
      <c r="F52" s="200"/>
      <c r="G52" s="133"/>
      <c r="H52" s="73"/>
      <c r="I52" s="73"/>
      <c r="J52" s="73"/>
      <c r="K52" s="151"/>
      <c r="L52" s="158"/>
      <c r="M52" s="40"/>
      <c r="N52" s="40"/>
      <c r="O52" s="159"/>
      <c r="P52" s="160"/>
      <c r="Q52" s="161"/>
      <c r="R52" s="40"/>
      <c r="S52" s="73"/>
      <c r="T52" s="73"/>
      <c r="U52" s="134"/>
      <c r="V52" s="133"/>
      <c r="W52" s="73"/>
      <c r="X52" s="73"/>
      <c r="Y52" s="73"/>
      <c r="Z52" s="134"/>
      <c r="AA52" s="133"/>
      <c r="AB52" s="73"/>
      <c r="AC52" s="73"/>
      <c r="AD52" s="73"/>
      <c r="AE52" s="134"/>
      <c r="AF52" s="135"/>
      <c r="AG52" s="73"/>
      <c r="AH52" s="73"/>
      <c r="AI52" s="73"/>
      <c r="AJ52" s="136"/>
    </row>
    <row r="53" spans="1:36" x14ac:dyDescent="0.25">
      <c r="A53" s="56"/>
      <c r="B53" s="1387"/>
      <c r="C53" s="1390"/>
      <c r="D53" s="143" t="e">
        <f>SUM('PRESUPUESTO FINAL (3)'!#REF!)*'FM (2)'!C12</f>
        <v>#REF!</v>
      </c>
      <c r="E53" s="66" t="e">
        <f>D53/$D$58</f>
        <v>#REF!</v>
      </c>
      <c r="F53" s="201" t="e">
        <f>F50+E53</f>
        <v>#REF!</v>
      </c>
      <c r="G53" s="107"/>
      <c r="H53" s="69"/>
      <c r="I53" s="69"/>
      <c r="J53" s="69"/>
      <c r="K53" s="108"/>
      <c r="L53" s="101"/>
      <c r="M53" s="38"/>
      <c r="N53" s="38"/>
      <c r="O53" s="99"/>
      <c r="P53" s="119"/>
      <c r="Q53" s="123"/>
      <c r="R53" s="38"/>
      <c r="S53" s="69"/>
      <c r="T53" s="69"/>
      <c r="U53" s="117"/>
      <c r="V53" s="107"/>
      <c r="W53" s="69"/>
      <c r="X53" s="69"/>
      <c r="Y53" s="69"/>
      <c r="Z53" s="117"/>
      <c r="AA53" s="120"/>
      <c r="AB53" s="69"/>
      <c r="AC53" s="69"/>
      <c r="AD53" s="69"/>
      <c r="AE53" s="117"/>
      <c r="AF53" s="120"/>
      <c r="AG53" s="69"/>
      <c r="AH53" s="69"/>
      <c r="AI53" s="69"/>
      <c r="AJ53" s="109"/>
    </row>
    <row r="54" spans="1:36" ht="15.75" thickBot="1" x14ac:dyDescent="0.3">
      <c r="A54" s="56"/>
      <c r="B54" s="1388"/>
      <c r="C54" s="1391"/>
      <c r="D54" s="144"/>
      <c r="E54" s="70"/>
      <c r="F54" s="202"/>
      <c r="G54" s="149"/>
      <c r="H54" s="190"/>
      <c r="I54" s="103"/>
      <c r="J54" s="190"/>
      <c r="K54" s="150"/>
      <c r="L54" s="193"/>
      <c r="M54" s="168"/>
      <c r="N54" s="168"/>
      <c r="O54" s="185"/>
      <c r="P54" s="186"/>
      <c r="Q54" s="187"/>
      <c r="R54" s="194"/>
      <c r="S54" s="190"/>
      <c r="T54" s="190"/>
      <c r="U54" s="188"/>
      <c r="V54" s="189"/>
      <c r="W54" s="103"/>
      <c r="X54" s="103"/>
      <c r="Y54" s="103"/>
      <c r="Z54" s="188"/>
      <c r="AA54" s="149"/>
      <c r="AB54" s="103"/>
      <c r="AC54" s="190"/>
      <c r="AD54" s="103"/>
      <c r="AE54" s="176"/>
      <c r="AF54" s="195"/>
      <c r="AG54" s="103"/>
      <c r="AH54" s="103"/>
      <c r="AI54" s="190"/>
      <c r="AJ54" s="177"/>
    </row>
    <row r="55" spans="1:36" x14ac:dyDescent="0.25">
      <c r="A55" s="56"/>
      <c r="B55" s="1386">
        <v>9</v>
      </c>
      <c r="C55" s="1389" t="s">
        <v>122</v>
      </c>
      <c r="D55" s="137"/>
      <c r="E55" s="199"/>
      <c r="F55" s="200"/>
      <c r="G55" s="104"/>
      <c r="H55" s="105"/>
      <c r="I55" s="105"/>
      <c r="J55" s="105"/>
      <c r="K55" s="106"/>
      <c r="L55" s="178"/>
      <c r="M55" s="37"/>
      <c r="N55" s="37"/>
      <c r="O55" s="179"/>
      <c r="P55" s="180"/>
      <c r="Q55" s="181"/>
      <c r="R55" s="37"/>
      <c r="S55" s="105"/>
      <c r="T55" s="105"/>
      <c r="U55" s="127"/>
      <c r="V55" s="104"/>
      <c r="W55" s="105"/>
      <c r="X55" s="105"/>
      <c r="Y55" s="105"/>
      <c r="Z55" s="127"/>
      <c r="AA55" s="104"/>
      <c r="AB55" s="105"/>
      <c r="AC55" s="105"/>
      <c r="AD55" s="105"/>
      <c r="AE55" s="127"/>
      <c r="AF55" s="153"/>
      <c r="AG55" s="105"/>
      <c r="AH55" s="105"/>
      <c r="AI55" s="105"/>
      <c r="AJ55" s="154"/>
    </row>
    <row r="56" spans="1:36" x14ac:dyDescent="0.25">
      <c r="A56" s="56"/>
      <c r="B56" s="1387"/>
      <c r="C56" s="1390"/>
      <c r="D56" s="143"/>
      <c r="E56" s="66" t="e">
        <f>D56/$D$58</f>
        <v>#REF!</v>
      </c>
      <c r="F56" s="201" t="e">
        <f>F53+E56</f>
        <v>#REF!</v>
      </c>
      <c r="G56" s="107"/>
      <c r="H56" s="69"/>
      <c r="I56" s="69"/>
      <c r="J56" s="69"/>
      <c r="K56" s="109"/>
      <c r="L56" s="102"/>
      <c r="M56" s="69"/>
      <c r="N56" s="69"/>
      <c r="O56" s="95"/>
      <c r="P56" s="117"/>
      <c r="Q56" s="107"/>
      <c r="R56" s="69"/>
      <c r="S56" s="95"/>
      <c r="T56" s="69"/>
      <c r="U56" s="117"/>
      <c r="V56" s="107"/>
      <c r="W56" s="95"/>
      <c r="X56" s="69"/>
      <c r="Y56" s="69"/>
      <c r="Z56" s="117"/>
      <c r="AA56" s="120"/>
      <c r="AB56" s="69"/>
      <c r="AC56" s="69"/>
      <c r="AD56" s="69"/>
      <c r="AE56" s="117"/>
      <c r="AF56" s="120"/>
      <c r="AG56" s="69"/>
      <c r="AH56" s="69"/>
      <c r="AI56" s="69"/>
      <c r="AJ56" s="109"/>
    </row>
    <row r="57" spans="1:36" ht="15.75" thickBot="1" x14ac:dyDescent="0.3">
      <c r="A57" s="56"/>
      <c r="B57" s="1388"/>
      <c r="C57" s="1391"/>
      <c r="D57" s="144"/>
      <c r="E57" s="70"/>
      <c r="F57" s="202"/>
      <c r="G57" s="110"/>
      <c r="H57" s="111"/>
      <c r="I57" s="111"/>
      <c r="J57" s="111"/>
      <c r="K57" s="112"/>
      <c r="L57" s="148"/>
      <c r="M57" s="111"/>
      <c r="N57" s="111"/>
      <c r="O57" s="111"/>
      <c r="P57" s="122"/>
      <c r="Q57" s="125"/>
      <c r="R57" s="126"/>
      <c r="S57" s="126"/>
      <c r="T57" s="126"/>
      <c r="U57" s="122"/>
      <c r="V57" s="125"/>
      <c r="W57" s="126"/>
      <c r="X57" s="126"/>
      <c r="Y57" s="126"/>
      <c r="Z57" s="122"/>
      <c r="AA57" s="125"/>
      <c r="AB57" s="126"/>
      <c r="AC57" s="126"/>
      <c r="AD57" s="126"/>
      <c r="AE57" s="122"/>
      <c r="AF57" s="129"/>
      <c r="AG57" s="126"/>
      <c r="AH57" s="126"/>
      <c r="AI57" s="126"/>
      <c r="AJ57" s="130"/>
    </row>
    <row r="58" spans="1:36" x14ac:dyDescent="0.25">
      <c r="A58" s="56"/>
      <c r="C58" s="83" t="s">
        <v>52</v>
      </c>
      <c r="D58" s="143" t="e">
        <f>SUM(D9:D57)</f>
        <v>#REF!</v>
      </c>
      <c r="E58" s="72"/>
    </row>
    <row r="60" spans="1:36" x14ac:dyDescent="0.25">
      <c r="C60" s="68"/>
      <c r="J60" s="65"/>
      <c r="K60" s="65"/>
      <c r="L60" s="65"/>
      <c r="M60" s="65"/>
      <c r="O60" s="1385"/>
      <c r="P60" s="1385"/>
      <c r="Q60" s="1385"/>
      <c r="R60" s="1385"/>
    </row>
    <row r="61" spans="1:36" x14ac:dyDescent="0.25">
      <c r="J61" s="65"/>
      <c r="K61" s="65"/>
      <c r="L61" s="65"/>
      <c r="M61" s="65"/>
      <c r="O61" s="1385"/>
      <c r="P61" s="1385"/>
      <c r="Q61" s="1385"/>
      <c r="R61" s="1385"/>
    </row>
    <row r="62" spans="1:36" x14ac:dyDescent="0.25">
      <c r="C62" s="56"/>
      <c r="G62" s="74"/>
      <c r="H62" s="75"/>
      <c r="I62" s="76"/>
      <c r="J62" s="65"/>
      <c r="M62" s="77"/>
      <c r="N62" s="77"/>
      <c r="O62" s="1385"/>
      <c r="P62" s="1385"/>
      <c r="Q62" s="1385"/>
      <c r="R62" s="1385"/>
    </row>
    <row r="63" spans="1:36" x14ac:dyDescent="0.25">
      <c r="C63" s="56"/>
      <c r="F63" s="58"/>
    </row>
    <row r="64" spans="1:36" x14ac:dyDescent="0.25">
      <c r="C64" s="78"/>
      <c r="F64" s="58"/>
      <c r="O64" s="79"/>
    </row>
    <row r="67" spans="3:3" x14ac:dyDescent="0.25">
      <c r="C67" s="80"/>
    </row>
    <row r="68" spans="3:3" x14ac:dyDescent="0.25">
      <c r="C68" s="78"/>
    </row>
    <row r="69" spans="3:3" x14ac:dyDescent="0.25">
      <c r="C69" s="81"/>
    </row>
  </sheetData>
  <mergeCells count="30">
    <mergeCell ref="B8:B19"/>
    <mergeCell ref="G9:K9"/>
    <mergeCell ref="C5:F5"/>
    <mergeCell ref="I5:N5"/>
    <mergeCell ref="B6:B7"/>
    <mergeCell ref="C6:C7"/>
    <mergeCell ref="D6:D7"/>
    <mergeCell ref="E6:E7"/>
    <mergeCell ref="F6:F7"/>
    <mergeCell ref="G6:K6"/>
    <mergeCell ref="L6:P6"/>
    <mergeCell ref="C46:C48"/>
    <mergeCell ref="Q6:U6"/>
    <mergeCell ref="V6:Z6"/>
    <mergeCell ref="AA6:AE6"/>
    <mergeCell ref="AF6:AJ6"/>
    <mergeCell ref="B20:B22"/>
    <mergeCell ref="B23:B25"/>
    <mergeCell ref="B26:B33"/>
    <mergeCell ref="B34:B45"/>
    <mergeCell ref="B46:B48"/>
    <mergeCell ref="O60:R60"/>
    <mergeCell ref="O61:R61"/>
    <mergeCell ref="O62:R62"/>
    <mergeCell ref="B49:B51"/>
    <mergeCell ref="C49:C51"/>
    <mergeCell ref="B52:B54"/>
    <mergeCell ref="C52:C54"/>
    <mergeCell ref="B55:B57"/>
    <mergeCell ref="C55:C57"/>
  </mergeCell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31"/>
  <sheetViews>
    <sheetView workbookViewId="0">
      <selection activeCell="H54" sqref="H54"/>
    </sheetView>
  </sheetViews>
  <sheetFormatPr baseColWidth="10" defaultColWidth="11.42578125" defaultRowHeight="15" x14ac:dyDescent="0.25"/>
  <cols>
    <col min="4" max="4" width="16.7109375" customWidth="1"/>
    <col min="6" max="6" width="18.85546875" customWidth="1"/>
    <col min="7" max="7" width="15.28515625" customWidth="1"/>
    <col min="8" max="8" width="17.7109375" customWidth="1"/>
  </cols>
  <sheetData>
    <row r="1" spans="1:8" ht="15.75" thickBot="1" x14ac:dyDescent="0.3">
      <c r="A1" s="3"/>
      <c r="B1" s="4"/>
      <c r="C1" s="4"/>
      <c r="D1" s="4"/>
      <c r="E1" s="4"/>
      <c r="F1" s="4"/>
      <c r="G1" s="4"/>
      <c r="H1" s="5"/>
    </row>
    <row r="2" spans="1:8" ht="30" customHeight="1" thickBot="1" x14ac:dyDescent="0.3">
      <c r="A2" s="882" t="s">
        <v>41</v>
      </c>
      <c r="B2" s="883"/>
      <c r="C2" s="883"/>
      <c r="D2" s="883"/>
      <c r="E2" s="883"/>
      <c r="F2" s="883"/>
      <c r="G2" s="883"/>
      <c r="H2" s="884"/>
    </row>
    <row r="3" spans="1:8" ht="15.75" thickBot="1" x14ac:dyDescent="0.3">
      <c r="A3" s="885">
        <f>'PRESUPUESTO FINAL (3)'!A3</f>
        <v>0</v>
      </c>
      <c r="B3" s="886"/>
      <c r="C3" s="886"/>
      <c r="D3" s="886"/>
      <c r="E3" s="886"/>
      <c r="F3" s="886"/>
      <c r="G3" s="886"/>
      <c r="H3" s="887"/>
    </row>
    <row r="4" spans="1:8" ht="42" customHeight="1" thickBot="1" x14ac:dyDescent="0.3">
      <c r="A4" s="888" t="s">
        <v>10</v>
      </c>
      <c r="B4" s="889"/>
      <c r="C4" s="889"/>
      <c r="D4" s="890"/>
      <c r="E4" s="6" t="s">
        <v>11</v>
      </c>
      <c r="F4" s="7" t="s">
        <v>12</v>
      </c>
      <c r="G4" s="8" t="s">
        <v>13</v>
      </c>
      <c r="H4" s="9" t="s">
        <v>2</v>
      </c>
    </row>
    <row r="5" spans="1:8" x14ac:dyDescent="0.25">
      <c r="A5" s="891" t="s">
        <v>14</v>
      </c>
      <c r="B5" s="892"/>
      <c r="C5" s="892"/>
      <c r="D5" s="893"/>
      <c r="E5" s="10"/>
      <c r="F5" s="10"/>
      <c r="G5" s="10"/>
      <c r="H5" s="10"/>
    </row>
    <row r="6" spans="1:8" ht="28.9" customHeight="1" x14ac:dyDescent="0.25">
      <c r="A6" s="894" t="s">
        <v>44</v>
      </c>
      <c r="B6" s="895"/>
      <c r="C6" s="895"/>
      <c r="D6" s="896"/>
      <c r="E6" s="1">
        <v>15</v>
      </c>
      <c r="F6" s="11">
        <v>4500000</v>
      </c>
      <c r="G6" s="41">
        <v>0.5</v>
      </c>
      <c r="H6" s="13">
        <f>+E6*F6*G6</f>
        <v>33750000</v>
      </c>
    </row>
    <row r="7" spans="1:8" x14ac:dyDescent="0.25">
      <c r="A7" s="894" t="s">
        <v>182</v>
      </c>
      <c r="B7" s="895"/>
      <c r="C7" s="895"/>
      <c r="D7" s="896"/>
      <c r="E7" s="1">
        <f>+E6</f>
        <v>15</v>
      </c>
      <c r="F7" s="11">
        <v>4500000</v>
      </c>
      <c r="G7" s="41">
        <v>0.5</v>
      </c>
      <c r="H7" s="13">
        <f t="shared" ref="H7:H8" si="0">+E7*F7*G7</f>
        <v>33750000</v>
      </c>
    </row>
    <row r="8" spans="1:8" ht="15" customHeight="1" thickBot="1" x14ac:dyDescent="0.3">
      <c r="A8" s="894" t="s">
        <v>15</v>
      </c>
      <c r="B8" s="895"/>
      <c r="C8" s="895"/>
      <c r="D8" s="896"/>
      <c r="E8" s="1">
        <f>+E7</f>
        <v>15</v>
      </c>
      <c r="F8" s="11">
        <v>3500000</v>
      </c>
      <c r="G8" s="41">
        <v>0.3</v>
      </c>
      <c r="H8" s="13">
        <f t="shared" si="0"/>
        <v>15750000</v>
      </c>
    </row>
    <row r="9" spans="1:8" ht="15.75" thickBot="1" x14ac:dyDescent="0.3">
      <c r="A9" s="14"/>
      <c r="E9" s="897" t="s">
        <v>16</v>
      </c>
      <c r="F9" s="898"/>
      <c r="G9" s="898"/>
      <c r="H9" s="15">
        <f>SUM(H6:H8)</f>
        <v>83250000</v>
      </c>
    </row>
    <row r="10" spans="1:8" ht="15.75" thickBot="1" x14ac:dyDescent="0.3">
      <c r="A10" s="14"/>
      <c r="E10" s="899" t="s">
        <v>17</v>
      </c>
      <c r="F10" s="900"/>
      <c r="G10" s="900"/>
      <c r="H10" s="36">
        <v>2.1800000000000002</v>
      </c>
    </row>
    <row r="11" spans="1:8" ht="16.5" thickBot="1" x14ac:dyDescent="0.3">
      <c r="A11" s="14"/>
      <c r="E11" s="880" t="s">
        <v>18</v>
      </c>
      <c r="F11" s="881"/>
      <c r="G11" s="881"/>
      <c r="H11" s="15">
        <f>+H9*H10</f>
        <v>181485000</v>
      </c>
    </row>
    <row r="12" spans="1:8" ht="15.75" thickBot="1" x14ac:dyDescent="0.3">
      <c r="A12" s="14"/>
      <c r="H12" s="16"/>
    </row>
    <row r="13" spans="1:8" ht="16.5" thickBot="1" x14ac:dyDescent="0.3">
      <c r="A13" s="888" t="s">
        <v>10</v>
      </c>
      <c r="B13" s="889"/>
      <c r="C13" s="889"/>
      <c r="D13" s="890"/>
      <c r="E13" s="6" t="s">
        <v>0</v>
      </c>
      <c r="F13" s="7" t="s">
        <v>19</v>
      </c>
      <c r="G13" s="8" t="s">
        <v>33</v>
      </c>
      <c r="H13" s="17" t="s">
        <v>2</v>
      </c>
    </row>
    <row r="14" spans="1:8" x14ac:dyDescent="0.25">
      <c r="A14" s="891" t="s">
        <v>20</v>
      </c>
      <c r="B14" s="892"/>
      <c r="C14" s="892"/>
      <c r="D14" s="893"/>
      <c r="E14" s="10"/>
      <c r="F14" s="10"/>
      <c r="G14" s="10"/>
      <c r="H14" s="18"/>
    </row>
    <row r="15" spans="1:8" x14ac:dyDescent="0.25">
      <c r="A15" s="894" t="s">
        <v>21</v>
      </c>
      <c r="B15" s="895"/>
      <c r="C15" s="895"/>
      <c r="D15" s="896"/>
      <c r="E15" s="1"/>
      <c r="F15" s="1"/>
      <c r="G15" s="19"/>
      <c r="H15" s="20"/>
    </row>
    <row r="16" spans="1:8" ht="15.75" thickBot="1" x14ac:dyDescent="0.3">
      <c r="A16" s="894" t="s">
        <v>22</v>
      </c>
      <c r="B16" s="895"/>
      <c r="C16" s="895"/>
      <c r="D16" s="896"/>
      <c r="E16" s="1" t="s">
        <v>9</v>
      </c>
      <c r="F16" s="11">
        <v>4000000</v>
      </c>
      <c r="G16" s="12">
        <v>9</v>
      </c>
      <c r="H16" s="13">
        <f>+F16*G16</f>
        <v>36000000</v>
      </c>
    </row>
    <row r="17" spans="1:8" ht="15.75" thickBot="1" x14ac:dyDescent="0.3">
      <c r="A17" s="14"/>
      <c r="E17" s="901" t="s">
        <v>23</v>
      </c>
      <c r="F17" s="902"/>
      <c r="G17" s="903"/>
      <c r="H17" s="15">
        <f>SUM(H16:H16)</f>
        <v>36000000</v>
      </c>
    </row>
    <row r="18" spans="1:8" ht="15.75" thickBot="1" x14ac:dyDescent="0.3">
      <c r="A18" s="14"/>
      <c r="H18" s="16"/>
    </row>
    <row r="19" spans="1:8" ht="15.75" thickBot="1" x14ac:dyDescent="0.3">
      <c r="A19" s="14"/>
      <c r="E19" s="904" t="s">
        <v>24</v>
      </c>
      <c r="F19" s="905"/>
      <c r="G19" s="906"/>
      <c r="H19" s="21">
        <f>+H11+H17</f>
        <v>217485000</v>
      </c>
    </row>
    <row r="20" spans="1:8" ht="15.75" thickBot="1" x14ac:dyDescent="0.3">
      <c r="A20" s="14"/>
      <c r="E20" s="904" t="s">
        <v>45</v>
      </c>
      <c r="F20" s="905"/>
      <c r="G20" s="906"/>
      <c r="H20" s="21">
        <f>+H19*0.16</f>
        <v>34797600</v>
      </c>
    </row>
    <row r="21" spans="1:8" ht="16.5" thickBot="1" x14ac:dyDescent="0.3">
      <c r="A21" s="14"/>
      <c r="E21" s="907" t="s">
        <v>46</v>
      </c>
      <c r="F21" s="908"/>
      <c r="G21" s="909"/>
      <c r="H21" s="22">
        <f>+H20+H19</f>
        <v>252282600</v>
      </c>
    </row>
    <row r="22" spans="1:8" x14ac:dyDescent="0.25">
      <c r="A22" s="14"/>
      <c r="H22" s="23"/>
    </row>
    <row r="23" spans="1:8" ht="15.75" thickBot="1" x14ac:dyDescent="0.3">
      <c r="A23" s="24"/>
      <c r="B23" s="25"/>
      <c r="C23" s="25"/>
      <c r="D23" s="25"/>
      <c r="E23" s="25"/>
      <c r="F23" s="25"/>
      <c r="G23" s="25"/>
      <c r="H23" s="26"/>
    </row>
    <row r="24" spans="1:8" x14ac:dyDescent="0.25">
      <c r="A24" s="3"/>
      <c r="B24" s="4"/>
      <c r="C24" s="4"/>
      <c r="D24" s="4"/>
      <c r="E24" s="4"/>
      <c r="F24" s="4"/>
      <c r="G24" s="4"/>
      <c r="H24" s="5"/>
    </row>
    <row r="25" spans="1:8" x14ac:dyDescent="0.25">
      <c r="A25" s="14"/>
      <c r="H25" s="23"/>
    </row>
    <row r="26" spans="1:8" x14ac:dyDescent="0.25">
      <c r="A26" s="14"/>
      <c r="H26" s="23"/>
    </row>
    <row r="27" spans="1:8" x14ac:dyDescent="0.25">
      <c r="A27" s="910" t="s">
        <v>25</v>
      </c>
      <c r="B27" s="911"/>
      <c r="C27" s="911"/>
      <c r="D27" s="911"/>
      <c r="H27" s="23"/>
    </row>
    <row r="28" spans="1:8" x14ac:dyDescent="0.25">
      <c r="A28" s="27"/>
      <c r="H28" s="23"/>
    </row>
    <row r="29" spans="1:8" x14ac:dyDescent="0.25">
      <c r="A29" s="14"/>
      <c r="H29" s="23"/>
    </row>
    <row r="30" spans="1:8" x14ac:dyDescent="0.25">
      <c r="A30" s="14"/>
      <c r="H30" s="23"/>
    </row>
    <row r="31" spans="1:8" ht="15.75" thickBot="1" x14ac:dyDescent="0.3">
      <c r="A31" s="24"/>
      <c r="B31" s="25"/>
      <c r="C31" s="25"/>
      <c r="D31" s="25"/>
      <c r="E31" s="25"/>
      <c r="F31" s="25"/>
      <c r="G31" s="25"/>
      <c r="H31" s="26"/>
    </row>
  </sheetData>
  <mergeCells count="19">
    <mergeCell ref="A14:D14"/>
    <mergeCell ref="A2:H2"/>
    <mergeCell ref="A3:H3"/>
    <mergeCell ref="A4:D4"/>
    <mergeCell ref="A5:D5"/>
    <mergeCell ref="A6:D6"/>
    <mergeCell ref="A7:D7"/>
    <mergeCell ref="A8:D8"/>
    <mergeCell ref="E9:G9"/>
    <mergeCell ref="E10:G10"/>
    <mergeCell ref="E11:G11"/>
    <mergeCell ref="A13:D13"/>
    <mergeCell ref="A27:D27"/>
    <mergeCell ref="A15:D15"/>
    <mergeCell ref="A16:D16"/>
    <mergeCell ref="E17:G17"/>
    <mergeCell ref="E19:G19"/>
    <mergeCell ref="E20:G20"/>
    <mergeCell ref="E21:G2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59"/>
  <sheetViews>
    <sheetView workbookViewId="0">
      <selection activeCell="H54" sqref="H54"/>
    </sheetView>
  </sheetViews>
  <sheetFormatPr baseColWidth="10" defaultColWidth="11.42578125" defaultRowHeight="15" x14ac:dyDescent="0.25"/>
  <cols>
    <col min="1" max="1" width="8.28515625" customWidth="1"/>
    <col min="2" max="2" width="72.28515625" customWidth="1"/>
  </cols>
  <sheetData>
    <row r="1" spans="1:3" ht="14.25" customHeight="1" x14ac:dyDescent="0.25">
      <c r="A1" s="1411" t="str">
        <f>'PRESUPUESTO FINAL (3)'!A2:K2</f>
        <v>PROYECTO: FORTALECIMIENTO DEL ORDENAMIENTO TERRITORIAL PARA LA CONSTRUCCION DE VISION REGIONAL EN EL DEPARTAMENTO DEL HUILA</v>
      </c>
      <c r="B1" s="1411"/>
      <c r="C1" s="1411"/>
    </row>
    <row r="2" spans="1:3" ht="20.65" customHeight="1" x14ac:dyDescent="0.25">
      <c r="A2" s="1412" t="s">
        <v>67</v>
      </c>
      <c r="B2" s="1412"/>
      <c r="C2" s="1412"/>
    </row>
    <row r="3" spans="1:3" x14ac:dyDescent="0.25">
      <c r="A3" s="50" t="s">
        <v>53</v>
      </c>
      <c r="B3" s="50" t="s">
        <v>54</v>
      </c>
      <c r="C3" s="50" t="s">
        <v>55</v>
      </c>
    </row>
    <row r="4" spans="1:3" x14ac:dyDescent="0.25">
      <c r="A4" s="50" t="s">
        <v>56</v>
      </c>
      <c r="B4" s="51" t="s">
        <v>57</v>
      </c>
      <c r="C4" s="52">
        <v>1</v>
      </c>
    </row>
    <row r="5" spans="1:3" x14ac:dyDescent="0.25">
      <c r="A5" s="50" t="s">
        <v>58</v>
      </c>
      <c r="B5" s="51" t="s">
        <v>60</v>
      </c>
      <c r="C5" s="52">
        <f>SUM(C6:C9)</f>
        <v>7.0000000000000007E-2</v>
      </c>
    </row>
    <row r="6" spans="1:3" x14ac:dyDescent="0.25">
      <c r="A6" s="48"/>
      <c r="B6" s="47" t="s">
        <v>61</v>
      </c>
      <c r="C6" s="53">
        <v>0.03</v>
      </c>
    </row>
    <row r="7" spans="1:3" x14ac:dyDescent="0.25">
      <c r="A7" s="48"/>
      <c r="B7" s="47" t="s">
        <v>62</v>
      </c>
      <c r="C7" s="53">
        <v>0.02</v>
      </c>
    </row>
    <row r="8" spans="1:3" x14ac:dyDescent="0.25">
      <c r="A8" s="48"/>
      <c r="B8" s="47" t="s">
        <v>63</v>
      </c>
      <c r="C8" s="53">
        <v>0.01</v>
      </c>
    </row>
    <row r="9" spans="1:3" x14ac:dyDescent="0.25">
      <c r="A9" s="48"/>
      <c r="B9" s="47" t="s">
        <v>64</v>
      </c>
      <c r="C9" s="53">
        <v>0.01</v>
      </c>
    </row>
    <row r="10" spans="1:3" x14ac:dyDescent="0.25">
      <c r="A10" s="50" t="s">
        <v>59</v>
      </c>
      <c r="B10" s="51" t="s">
        <v>65</v>
      </c>
      <c r="C10" s="52">
        <v>0.03</v>
      </c>
    </row>
    <row r="11" spans="1:3" x14ac:dyDescent="0.25">
      <c r="A11" s="50"/>
      <c r="B11" s="51" t="s">
        <v>52</v>
      </c>
      <c r="C11" s="52">
        <f>C4+C5+C10</f>
        <v>1.1000000000000001</v>
      </c>
    </row>
    <row r="12" spans="1:3" x14ac:dyDescent="0.25">
      <c r="A12" s="50"/>
      <c r="B12" s="51" t="s">
        <v>66</v>
      </c>
      <c r="C12" s="43">
        <v>1.1000000000000001</v>
      </c>
    </row>
    <row r="13" spans="1:3" x14ac:dyDescent="0.25">
      <c r="A13" s="45"/>
      <c r="B13" s="45"/>
      <c r="C13" s="44"/>
    </row>
    <row r="14" spans="1:3" x14ac:dyDescent="0.25">
      <c r="A14" s="45"/>
      <c r="B14" s="45"/>
      <c r="C14" s="54"/>
    </row>
    <row r="15" spans="1:3" x14ac:dyDescent="0.25">
      <c r="A15" s="45"/>
      <c r="B15" s="45"/>
      <c r="C15" s="54"/>
    </row>
    <row r="16" spans="1:3" x14ac:dyDescent="0.25">
      <c r="A16" s="45"/>
      <c r="B16" s="45"/>
      <c r="C16" s="54"/>
    </row>
    <row r="17" spans="1:3" x14ac:dyDescent="0.25">
      <c r="A17" s="45"/>
      <c r="B17" s="45"/>
      <c r="C17" s="54"/>
    </row>
    <row r="18" spans="1:3" x14ac:dyDescent="0.25">
      <c r="A18" s="45"/>
      <c r="B18" s="45"/>
      <c r="C18" s="54"/>
    </row>
    <row r="19" spans="1:3" x14ac:dyDescent="0.25">
      <c r="A19" s="45"/>
      <c r="B19" s="45"/>
      <c r="C19" s="54"/>
    </row>
    <row r="20" spans="1:3" x14ac:dyDescent="0.25">
      <c r="A20" s="45"/>
      <c r="B20" s="45"/>
      <c r="C20" s="54"/>
    </row>
    <row r="21" spans="1:3" x14ac:dyDescent="0.25">
      <c r="A21" s="45"/>
      <c r="B21" s="45"/>
      <c r="C21" s="54"/>
    </row>
    <row r="22" spans="1:3" x14ac:dyDescent="0.25">
      <c r="A22" s="45"/>
      <c r="B22" s="45"/>
      <c r="C22" s="54"/>
    </row>
    <row r="23" spans="1:3" ht="15.75" x14ac:dyDescent="0.25">
      <c r="A23" s="45"/>
      <c r="B23" s="1413"/>
      <c r="C23" s="1413"/>
    </row>
    <row r="24" spans="1:3" x14ac:dyDescent="0.25">
      <c r="A24" s="45"/>
      <c r="B24" s="46"/>
      <c r="C24" s="49"/>
    </row>
    <row r="25" spans="1:3" x14ac:dyDescent="0.25">
      <c r="A25" s="45"/>
      <c r="B25" s="46"/>
      <c r="C25" s="49"/>
    </row>
    <row r="26" spans="1:3" x14ac:dyDescent="0.25">
      <c r="A26" s="45"/>
      <c r="B26" s="45"/>
      <c r="C26" s="54"/>
    </row>
    <row r="27" spans="1:3" x14ac:dyDescent="0.25">
      <c r="A27" s="45"/>
      <c r="B27" s="45"/>
      <c r="C27" s="54"/>
    </row>
    <row r="28" spans="1:3" x14ac:dyDescent="0.25">
      <c r="C28" s="54"/>
    </row>
    <row r="29" spans="1:3" x14ac:dyDescent="0.25">
      <c r="C29" s="54"/>
    </row>
    <row r="30" spans="1:3" x14ac:dyDescent="0.25">
      <c r="C30" s="54"/>
    </row>
    <row r="31" spans="1:3" x14ac:dyDescent="0.25">
      <c r="C31" s="54"/>
    </row>
    <row r="32" spans="1:3" x14ac:dyDescent="0.25">
      <c r="C32" s="54"/>
    </row>
    <row r="33" spans="3:3" x14ac:dyDescent="0.25">
      <c r="C33" s="54"/>
    </row>
    <row r="34" spans="3:3" x14ac:dyDescent="0.25">
      <c r="C34" s="54"/>
    </row>
    <row r="35" spans="3:3" x14ac:dyDescent="0.25">
      <c r="C35" s="54"/>
    </row>
    <row r="36" spans="3:3" x14ac:dyDescent="0.25">
      <c r="C36" s="54"/>
    </row>
    <row r="37" spans="3:3" x14ac:dyDescent="0.25">
      <c r="C37" s="54"/>
    </row>
    <row r="38" spans="3:3" x14ac:dyDescent="0.25">
      <c r="C38" s="54"/>
    </row>
    <row r="39" spans="3:3" x14ac:dyDescent="0.25">
      <c r="C39" s="54"/>
    </row>
    <row r="40" spans="3:3" x14ac:dyDescent="0.25">
      <c r="C40" s="54"/>
    </row>
    <row r="41" spans="3:3" x14ac:dyDescent="0.25">
      <c r="C41" s="54"/>
    </row>
    <row r="42" spans="3:3" x14ac:dyDescent="0.25">
      <c r="C42" s="54"/>
    </row>
    <row r="43" spans="3:3" x14ac:dyDescent="0.25">
      <c r="C43" s="54"/>
    </row>
    <row r="44" spans="3:3" x14ac:dyDescent="0.25">
      <c r="C44" s="54"/>
    </row>
    <row r="45" spans="3:3" x14ac:dyDescent="0.25">
      <c r="C45" s="54"/>
    </row>
    <row r="46" spans="3:3" x14ac:dyDescent="0.25">
      <c r="C46" s="54"/>
    </row>
    <row r="47" spans="3:3" x14ac:dyDescent="0.25">
      <c r="C47" s="54"/>
    </row>
    <row r="48" spans="3:3" x14ac:dyDescent="0.25">
      <c r="C48" s="54"/>
    </row>
    <row r="49" spans="3:3" x14ac:dyDescent="0.25">
      <c r="C49" s="54"/>
    </row>
    <row r="50" spans="3:3" x14ac:dyDescent="0.25">
      <c r="C50" s="54"/>
    </row>
    <row r="51" spans="3:3" x14ac:dyDescent="0.25">
      <c r="C51" s="54"/>
    </row>
    <row r="52" spans="3:3" x14ac:dyDescent="0.25">
      <c r="C52" s="54"/>
    </row>
    <row r="53" spans="3:3" x14ac:dyDescent="0.25">
      <c r="C53" s="54"/>
    </row>
    <row r="54" spans="3:3" x14ac:dyDescent="0.25">
      <c r="C54" s="54"/>
    </row>
    <row r="55" spans="3:3" x14ac:dyDescent="0.25">
      <c r="C55" s="54"/>
    </row>
    <row r="56" spans="3:3" x14ac:dyDescent="0.25">
      <c r="C56" s="54"/>
    </row>
    <row r="57" spans="3:3" x14ac:dyDescent="0.25">
      <c r="C57" s="54"/>
    </row>
    <row r="58" spans="3:3" x14ac:dyDescent="0.25">
      <c r="C58" s="54"/>
    </row>
    <row r="59" spans="3:3" x14ac:dyDescent="0.25">
      <c r="C59" s="54"/>
    </row>
  </sheetData>
  <mergeCells count="3">
    <mergeCell ref="A1:C1"/>
    <mergeCell ref="A2:C2"/>
    <mergeCell ref="B23:C23"/>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10"/>
  <sheetViews>
    <sheetView workbookViewId="0">
      <selection activeCell="L11" sqref="L11"/>
    </sheetView>
  </sheetViews>
  <sheetFormatPr baseColWidth="10" defaultColWidth="11.42578125" defaultRowHeight="15" x14ac:dyDescent="0.25"/>
  <cols>
    <col min="4" max="4" width="38.7109375" customWidth="1"/>
    <col min="7" max="7" width="16.140625" customWidth="1"/>
    <col min="8" max="8" width="18.28515625" customWidth="1"/>
  </cols>
  <sheetData>
    <row r="1" spans="1:8" ht="15.75" thickBot="1" x14ac:dyDescent="0.3"/>
    <row r="2" spans="1:8" ht="30" customHeight="1" thickBot="1" x14ac:dyDescent="0.3">
      <c r="A2" s="882" t="s">
        <v>34</v>
      </c>
      <c r="B2" s="883"/>
      <c r="C2" s="883"/>
      <c r="D2" s="883"/>
      <c r="E2" s="883"/>
      <c r="F2" s="883"/>
      <c r="G2" s="883"/>
      <c r="H2" s="884"/>
    </row>
    <row r="3" spans="1:8" ht="15.75" thickBot="1" x14ac:dyDescent="0.3">
      <c r="A3" s="885" t="s">
        <v>32</v>
      </c>
      <c r="B3" s="886"/>
      <c r="C3" s="886"/>
      <c r="D3" s="886"/>
      <c r="E3" s="886"/>
      <c r="F3" s="886"/>
      <c r="G3" s="886"/>
      <c r="H3" s="887"/>
    </row>
    <row r="4" spans="1:8" ht="15.75" thickBot="1" x14ac:dyDescent="0.3">
      <c r="A4" s="1420" t="s">
        <v>36</v>
      </c>
      <c r="B4" s="1421"/>
      <c r="C4" s="1421"/>
      <c r="D4" s="1421"/>
      <c r="E4" s="1421"/>
      <c r="F4" s="1421"/>
      <c r="G4" s="1421"/>
      <c r="H4" s="1422"/>
    </row>
    <row r="5" spans="1:8" ht="16.5" thickBot="1" x14ac:dyDescent="0.3">
      <c r="A5" s="1423" t="s">
        <v>26</v>
      </c>
      <c r="B5" s="1424"/>
      <c r="C5" s="1424"/>
      <c r="D5" s="1425"/>
      <c r="E5" s="28" t="s">
        <v>0</v>
      </c>
      <c r="F5" s="29" t="s">
        <v>27</v>
      </c>
      <c r="G5" s="28" t="s">
        <v>8</v>
      </c>
      <c r="H5" s="244" t="s">
        <v>6</v>
      </c>
    </row>
    <row r="6" spans="1:8" x14ac:dyDescent="0.25">
      <c r="A6" s="1426" t="s">
        <v>37</v>
      </c>
      <c r="B6" s="1427"/>
      <c r="C6" s="1427"/>
      <c r="D6" s="1428"/>
      <c r="E6" s="2" t="s">
        <v>7</v>
      </c>
      <c r="F6" s="2">
        <v>1</v>
      </c>
      <c r="G6" s="30">
        <v>5000000</v>
      </c>
      <c r="H6" s="31">
        <f>+F6*G6</f>
        <v>5000000</v>
      </c>
    </row>
    <row r="7" spans="1:8" x14ac:dyDescent="0.25">
      <c r="A7" s="1414" t="s">
        <v>38</v>
      </c>
      <c r="B7" s="895"/>
      <c r="C7" s="895"/>
      <c r="D7" s="896"/>
      <c r="E7" s="1" t="s">
        <v>28</v>
      </c>
      <c r="F7" s="1">
        <v>37</v>
      </c>
      <c r="G7" s="32">
        <v>100000</v>
      </c>
      <c r="H7" s="33">
        <f t="shared" ref="H7:H9" si="0">+F7*G7</f>
        <v>3700000</v>
      </c>
    </row>
    <row r="8" spans="1:8" x14ac:dyDescent="0.25">
      <c r="A8" s="1414" t="s">
        <v>39</v>
      </c>
      <c r="B8" s="895"/>
      <c r="C8" s="895"/>
      <c r="D8" s="896"/>
      <c r="E8" s="1" t="s">
        <v>28</v>
      </c>
      <c r="F8" s="34">
        <v>37</v>
      </c>
      <c r="G8" s="32">
        <v>100000</v>
      </c>
      <c r="H8" s="33">
        <f t="shared" si="0"/>
        <v>3700000</v>
      </c>
    </row>
    <row r="9" spans="1:8" x14ac:dyDescent="0.25">
      <c r="A9" s="1415" t="s">
        <v>40</v>
      </c>
      <c r="B9" s="1416"/>
      <c r="C9" s="1416"/>
      <c r="D9" s="1417"/>
      <c r="E9" s="1" t="s">
        <v>28</v>
      </c>
      <c r="F9" s="34">
        <v>1200</v>
      </c>
      <c r="G9" s="32">
        <v>5500</v>
      </c>
      <c r="H9" s="33">
        <f t="shared" si="0"/>
        <v>6600000</v>
      </c>
    </row>
    <row r="10" spans="1:8" ht="15.75" thickBot="1" x14ac:dyDescent="0.3">
      <c r="A10" s="14"/>
      <c r="E10" s="1418" t="s">
        <v>35</v>
      </c>
      <c r="F10" s="1419"/>
      <c r="G10" s="1419"/>
      <c r="H10" s="35">
        <f>SUM(H6:H9)</f>
        <v>19000000</v>
      </c>
    </row>
  </sheetData>
  <mergeCells count="9">
    <mergeCell ref="A8:D8"/>
    <mergeCell ref="A9:D9"/>
    <mergeCell ref="E10:G10"/>
    <mergeCell ref="A2:H2"/>
    <mergeCell ref="A3:H3"/>
    <mergeCell ref="A4:H4"/>
    <mergeCell ref="A5:D5"/>
    <mergeCell ref="A6:D6"/>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11</vt:i4>
      </vt:variant>
    </vt:vector>
  </HeadingPairs>
  <TitlesOfParts>
    <vt:vector size="30" baseType="lpstr">
      <vt:lpstr>PRESUPUESTO FINAL</vt:lpstr>
      <vt:lpstr>INTERVENTORIA</vt:lpstr>
      <vt:lpstr>PRESUPUESTO  CONSULTORIA </vt:lpstr>
      <vt:lpstr>PRESUPUESTO DEFINITIVO</vt:lpstr>
      <vt:lpstr>PROGRAMACION FINAL</vt:lpstr>
      <vt:lpstr>PRESUPUESTO INTERVENTORIA</vt:lpstr>
      <vt:lpstr>PRESUPUESTO MODIFICADO</vt:lpstr>
      <vt:lpstr>PRESUPUESTO MODIFICADO (2)</vt:lpstr>
      <vt:lpstr>CADENA DE VALOR</vt:lpstr>
      <vt:lpstr>ANALISIS UNITARIOS (2)</vt:lpstr>
      <vt:lpstr>ANALISIS UNITARIOS (3)</vt:lpstr>
      <vt:lpstr>FACTOR MULTIP </vt:lpstr>
      <vt:lpstr>FACTOR MULTIPLICADOR</vt:lpstr>
      <vt:lpstr>CADENA DE VALOR-ACTIVIDADES (2</vt:lpstr>
      <vt:lpstr>PRESUPUESTO FINAL (3)</vt:lpstr>
      <vt:lpstr>PROGRAMACION (2)</vt:lpstr>
      <vt:lpstr>INTERVENTORIA (2)</vt:lpstr>
      <vt:lpstr>FM (2)</vt:lpstr>
      <vt:lpstr>PUBLICACION INFORMACION (2)</vt:lpstr>
      <vt:lpstr>'FACTOR MULTIPLICADOR'!Área_de_impresión</vt:lpstr>
      <vt:lpstr>'PRESUPUESTO  CONSULTORIA '!Área_de_impresión</vt:lpstr>
      <vt:lpstr>'PRESUPUESTO DEFINITIVO'!Área_de_impresión</vt:lpstr>
      <vt:lpstr>'PRESUPUESTO FINAL'!Área_de_impresión</vt:lpstr>
      <vt:lpstr>'PRESUPUESTO FINAL (3)'!Área_de_impresión</vt:lpstr>
      <vt:lpstr>'PRESUPUESTO INTERVENTORIA'!Área_de_impresión</vt:lpstr>
      <vt:lpstr>'PROGRAMACION FINAL'!Área_de_impresión</vt:lpstr>
      <vt:lpstr>'ANALISIS UNITARIOS (2)'!Títulos_a_imprimir</vt:lpstr>
      <vt:lpstr>'ANALISIS UNITARIOS (3)'!Títulos_a_imprimir</vt:lpstr>
      <vt:lpstr>'PRESUPUESTO  CONSULTORIA '!Títulos_a_imprimir</vt:lpstr>
      <vt:lpstr>'PRESUPUESTO INTERVENTORIA'!Títulos_a_imprimir</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BORIS POLANIA</dc:creator>
  <cp:lastModifiedBy>Ronny Fabián Torres Cortés</cp:lastModifiedBy>
  <cp:lastPrinted>2018-09-21T21:44:50Z</cp:lastPrinted>
  <dcterms:created xsi:type="dcterms:W3CDTF">2013-10-25T03:35:48Z</dcterms:created>
  <dcterms:modified xsi:type="dcterms:W3CDTF">2023-10-25T19:31:43Z</dcterms:modified>
</cp:coreProperties>
</file>